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charts/chart34.xml" ContentType="application/vnd.openxmlformats-officedocument.drawingml.char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charts/chart3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37.xml" ContentType="application/vnd.openxmlformats-officedocument.drawingml.chart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drawings/drawing40.xml" ContentType="application/vnd.openxmlformats-officedocument.drawing+xml"/>
  <Override PartName="/xl/worksheets/sheet38.xml" ContentType="application/vnd.openxmlformats-officedocument.spreadsheetml.worksheet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-15" windowWidth="30765" windowHeight="19170"/>
  </bookViews>
  <sheets>
    <sheet name="Summary" sheetId="47" r:id="rId1"/>
    <sheet name="Dut 1" sheetId="1" r:id="rId2"/>
    <sheet name="Dut 2" sheetId="7" r:id="rId3"/>
    <sheet name="Dut 3" sheetId="8" r:id="rId4"/>
    <sheet name="Dut 4" sheetId="9" r:id="rId5"/>
    <sheet name="Dut 5" sheetId="10" r:id="rId6"/>
    <sheet name="Dut 6" sheetId="11" r:id="rId7"/>
    <sheet name="Dut 7" sheetId="12" r:id="rId8"/>
    <sheet name="Dut 8" sheetId="13" r:id="rId9"/>
    <sheet name="Dut 9" sheetId="14" r:id="rId10"/>
    <sheet name="Dut 10" sheetId="15" r:id="rId11"/>
    <sheet name="Dut 11" sheetId="16" r:id="rId12"/>
    <sheet name="Dut 12" sheetId="17" r:id="rId13"/>
    <sheet name="Dut 13" sheetId="18" r:id="rId14"/>
    <sheet name="Dut 14" sheetId="19" r:id="rId15"/>
    <sheet name="Dut 15" sheetId="20" r:id="rId16"/>
    <sheet name="Dut 16" sheetId="21" r:id="rId17"/>
    <sheet name="Dut 17" sheetId="22" r:id="rId18"/>
    <sheet name="Dut 18" sheetId="23" r:id="rId19"/>
    <sheet name="Dut 19" sheetId="24" r:id="rId20"/>
    <sheet name="Dut 20" sheetId="25" r:id="rId21"/>
    <sheet name="Dut 21" sheetId="26" r:id="rId22"/>
    <sheet name="Dut 22" sheetId="27" r:id="rId23"/>
    <sheet name="Dut 23" sheetId="28" r:id="rId24"/>
    <sheet name="Dut 24" sheetId="29" r:id="rId25"/>
    <sheet name="Dut 25" sheetId="30" r:id="rId26"/>
    <sheet name="Dut 26" sheetId="32" r:id="rId27"/>
    <sheet name="Dut 27" sheetId="33" r:id="rId28"/>
    <sheet name="Dut 28" sheetId="31" r:id="rId29"/>
    <sheet name="Dut 29" sheetId="34" r:id="rId30"/>
    <sheet name="Dut 30" sheetId="35" r:id="rId31"/>
    <sheet name="Dut 31" sheetId="36" r:id="rId32"/>
    <sheet name="Dut 32" sheetId="38" r:id="rId33"/>
    <sheet name="Dut 33" sheetId="37" r:id="rId34"/>
    <sheet name="Dut 34" sheetId="39" r:id="rId35"/>
    <sheet name="Dut 35" sheetId="40" r:id="rId36"/>
    <sheet name="Dut 36" sheetId="41" r:id="rId37"/>
    <sheet name="Dut 37" sheetId="42" r:id="rId38"/>
    <sheet name="Dut 38" sheetId="43" r:id="rId39"/>
    <sheet name="Dut 39" sheetId="44" r:id="rId40"/>
    <sheet name="Dut 40" sheetId="45" r:id="rId41"/>
  </sheets>
  <functionGroups/>
  <calcPr calcId="125725"/>
</workbook>
</file>

<file path=xl/calcChain.xml><?xml version="1.0" encoding="utf-8"?>
<calcChain xmlns="http://schemas.openxmlformats.org/spreadsheetml/2006/main">
  <c r="K37" i="7"/>
  <c r="E16" i="47" l="1"/>
  <c r="A110"/>
  <c r="A113" s="1"/>
  <c r="A116" s="1"/>
  <c r="A109"/>
  <c r="A112" s="1"/>
  <c r="A115" s="1"/>
  <c r="A108"/>
  <c r="A111" s="1"/>
  <c r="A114" s="1"/>
  <c r="J98" l="1"/>
  <c r="I98"/>
  <c r="H98"/>
  <c r="G98"/>
  <c r="F98"/>
  <c r="E98"/>
  <c r="D98"/>
  <c r="B101"/>
  <c r="B104" s="1"/>
  <c r="B107" s="1"/>
  <c r="B100"/>
  <c r="B103" s="1"/>
  <c r="B106" s="1"/>
  <c r="B99"/>
  <c r="B102" s="1"/>
  <c r="B105" s="1"/>
  <c r="B93"/>
  <c r="B96" s="1"/>
  <c r="B92"/>
  <c r="B95" s="1"/>
  <c r="B91"/>
  <c r="B94" s="1"/>
  <c r="C14"/>
  <c r="C83"/>
  <c r="C43"/>
  <c r="C47"/>
  <c r="C87"/>
  <c r="B75" l="1"/>
  <c r="B78" s="1"/>
  <c r="B74" l="1"/>
  <c r="B77" s="1"/>
  <c r="B73"/>
  <c r="B76" s="1"/>
  <c r="B66" l="1"/>
  <c r="B69" s="1"/>
  <c r="B65" l="1"/>
  <c r="B68" s="1"/>
  <c r="B64"/>
  <c r="B67" s="1"/>
  <c r="B57" l="1"/>
  <c r="B60" s="1"/>
  <c r="B56" l="1"/>
  <c r="B59" s="1"/>
  <c r="B55"/>
  <c r="B58" s="1"/>
  <c r="B92" i="1" l="1"/>
  <c r="B91"/>
  <c r="B90"/>
  <c r="B89"/>
  <c r="B88"/>
  <c r="B87"/>
  <c r="B86"/>
  <c r="B85"/>
  <c r="B84"/>
  <c r="B80"/>
  <c r="B79"/>
  <c r="B78"/>
  <c r="B77"/>
  <c r="B76"/>
  <c r="B75"/>
  <c r="B74"/>
  <c r="B73"/>
  <c r="B72"/>
  <c r="B34" i="47" l="1"/>
  <c r="B37" s="1"/>
  <c r="B33"/>
  <c r="B36" s="1"/>
  <c r="B32"/>
  <c r="B35" s="1"/>
  <c r="J5" l="1"/>
  <c r="K2"/>
  <c r="J6"/>
  <c r="J3" l="1"/>
  <c r="L2"/>
  <c r="L5" s="1"/>
  <c r="K98"/>
  <c r="K5"/>
  <c r="B88" i="45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K6" i="47"/>
  <c r="L6"/>
  <c r="L3" l="1"/>
  <c r="K3"/>
  <c r="M2"/>
  <c r="M5" s="1"/>
  <c r="L98"/>
  <c r="U58" i="45"/>
  <c r="U70" s="1"/>
  <c r="U82" s="1"/>
  <c r="B47"/>
  <c r="M6" i="47"/>
  <c r="M3" l="1"/>
  <c r="N2"/>
  <c r="N5" s="1"/>
  <c r="M98"/>
  <c r="B76" i="45"/>
  <c r="B50"/>
  <c r="B46"/>
  <c r="N6" i="47"/>
  <c r="N3" l="1"/>
  <c r="O2"/>
  <c r="O5" s="1"/>
  <c r="N98"/>
  <c r="B75" i="45"/>
  <c r="B49"/>
  <c r="B79"/>
  <c r="B53"/>
  <c r="B45"/>
  <c r="O6" i="47"/>
  <c r="O3" l="1"/>
  <c r="P2"/>
  <c r="P5" s="1"/>
  <c r="O98"/>
  <c r="B74" i="45"/>
  <c r="B48"/>
  <c r="B78"/>
  <c r="B52"/>
  <c r="P6" i="47"/>
  <c r="P3" l="1"/>
  <c r="Q2"/>
  <c r="Q5" s="1"/>
  <c r="P98"/>
  <c r="B77" i="45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Q6" i="47"/>
  <c r="E61" i="45"/>
  <c r="E62"/>
  <c r="E65"/>
  <c r="E63"/>
  <c r="E66"/>
  <c r="E67"/>
  <c r="E68"/>
  <c r="E60"/>
  <c r="E64"/>
  <c r="Q3" i="47" l="1"/>
  <c r="R2"/>
  <c r="R5" s="1"/>
  <c r="Q98"/>
  <c r="E72" i="45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R6" i="47"/>
  <c r="R3" l="1"/>
  <c r="S2"/>
  <c r="S5" s="1"/>
  <c r="R98"/>
  <c r="C28" i="45"/>
  <c r="C37" s="1"/>
  <c r="C48" s="1"/>
  <c r="C66" s="1"/>
  <c r="C18"/>
  <c r="C21" s="1"/>
  <c r="J37"/>
  <c r="J34"/>
  <c r="J31"/>
  <c r="C84"/>
  <c r="T72"/>
  <c r="T84" s="1"/>
  <c r="C87"/>
  <c r="T75"/>
  <c r="T87" s="1"/>
  <c r="S6" i="47"/>
  <c r="S3" l="1"/>
  <c r="T2"/>
  <c r="T5" s="1"/>
  <c r="S98"/>
  <c r="G31" i="45"/>
  <c r="H32"/>
  <c r="G32"/>
  <c r="H33"/>
  <c r="G33"/>
  <c r="I31"/>
  <c r="H31"/>
  <c r="I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T6" i="47"/>
  <c r="K7" i="45"/>
  <c r="T3" i="47" l="1"/>
  <c r="U2"/>
  <c r="U5" s="1"/>
  <c r="T98"/>
  <c r="K41" i="45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U6" i="47"/>
  <c r="K6" i="45"/>
  <c r="U3" i="47" l="1"/>
  <c r="V2"/>
  <c r="V5" s="1"/>
  <c r="U98"/>
  <c r="K40" i="45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G48"/>
  <c r="F48" s="1"/>
  <c r="H48"/>
  <c r="I50"/>
  <c r="D50" s="1"/>
  <c r="G50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H45"/>
  <c r="E45" s="1"/>
  <c r="H47"/>
  <c r="I47"/>
  <c r="D47" s="1"/>
  <c r="G47"/>
  <c r="B6"/>
  <c r="V6" i="47"/>
  <c r="V3" l="1"/>
  <c r="W2"/>
  <c r="W5" s="1"/>
  <c r="V98"/>
  <c r="F44" i="45"/>
  <c r="E44"/>
  <c r="F42"/>
  <c r="F47"/>
  <c r="E47"/>
  <c r="E53" s="1"/>
  <c r="F45"/>
  <c r="F50"/>
  <c r="E48"/>
  <c r="D48"/>
  <c r="D46"/>
  <c r="D49"/>
  <c r="D53"/>
  <c r="E55"/>
  <c r="J54"/>
  <c r="F52"/>
  <c r="E43"/>
  <c r="J42"/>
  <c r="E51"/>
  <c r="D51"/>
  <c r="F56"/>
  <c r="E56"/>
  <c r="F54"/>
  <c r="F53"/>
  <c r="F51"/>
  <c r="E46"/>
  <c r="J45"/>
  <c r="E49"/>
  <c r="J48"/>
  <c r="D55"/>
  <c r="D56"/>
  <c r="E54"/>
  <c r="D54"/>
  <c r="D4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W6" i="47"/>
  <c r="K46" i="45"/>
  <c r="K50"/>
  <c r="K8"/>
  <c r="K5"/>
  <c r="K48"/>
  <c r="K47"/>
  <c r="K49"/>
  <c r="K42"/>
  <c r="K9"/>
  <c r="K45"/>
  <c r="K44"/>
  <c r="K10"/>
  <c r="K43"/>
  <c r="K39"/>
  <c r="W3" i="47" l="1"/>
  <c r="X2"/>
  <c r="X5" s="1"/>
  <c r="W98"/>
  <c r="D52" i="45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V87"/>
  <c r="F87" s="1"/>
  <c r="H87" s="1"/>
  <c r="U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K3"/>
  <c r="F3"/>
  <c r="E3"/>
  <c r="P2" s="1"/>
  <c r="D3"/>
  <c r="Q2"/>
  <c r="O2"/>
  <c r="B88" i="44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X6" i="47"/>
  <c r="X3" l="1"/>
  <c r="Y2"/>
  <c r="Y5" s="1"/>
  <c r="X98"/>
  <c r="F93" i="45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U72"/>
  <c r="V72"/>
  <c r="F72" s="1"/>
  <c r="H72" s="1"/>
  <c r="F81" s="1"/>
  <c r="X84"/>
  <c r="H4"/>
  <c r="U58" i="44"/>
  <c r="U70" s="1"/>
  <c r="U82" s="1"/>
  <c r="B47"/>
  <c r="Y6" i="47"/>
  <c r="G85" i="45"/>
  <c r="G89"/>
  <c r="G66"/>
  <c r="G86"/>
  <c r="G67"/>
  <c r="G90"/>
  <c r="G60"/>
  <c r="G65"/>
  <c r="G64"/>
  <c r="G92"/>
  <c r="G88"/>
  <c r="G91"/>
  <c r="G87"/>
  <c r="G61"/>
  <c r="G63"/>
  <c r="G84"/>
  <c r="G68"/>
  <c r="G62"/>
  <c r="Y3" i="47" l="1"/>
  <c r="Z2"/>
  <c r="Z5" s="1"/>
  <c r="Y98"/>
  <c r="I84" i="45"/>
  <c r="I92"/>
  <c r="I89"/>
  <c r="I87"/>
  <c r="I63"/>
  <c r="I61"/>
  <c r="I85"/>
  <c r="I68"/>
  <c r="I65"/>
  <c r="I60"/>
  <c r="I90"/>
  <c r="I88"/>
  <c r="I67"/>
  <c r="I62"/>
  <c r="I86"/>
  <c r="I91"/>
  <c r="I66"/>
  <c r="I64"/>
  <c r="X72"/>
  <c r="X76"/>
  <c r="X77"/>
  <c r="X78"/>
  <c r="H6"/>
  <c r="H5"/>
  <c r="I4"/>
  <c r="X73"/>
  <c r="X74"/>
  <c r="X75"/>
  <c r="X79"/>
  <c r="X80"/>
  <c r="G7"/>
  <c r="O65" s="1"/>
  <c r="B76" i="44"/>
  <c r="B50"/>
  <c r="B46"/>
  <c r="Z6" i="47"/>
  <c r="G80" i="45"/>
  <c r="G77"/>
  <c r="G73"/>
  <c r="G78"/>
  <c r="G75"/>
  <c r="G74"/>
  <c r="G72"/>
  <c r="G76"/>
  <c r="G79"/>
  <c r="Z3" i="47" l="1"/>
  <c r="AA2"/>
  <c r="AA5" s="1"/>
  <c r="Z98"/>
  <c r="I93" i="45"/>
  <c r="I69"/>
  <c r="O3"/>
  <c r="O5"/>
  <c r="I79"/>
  <c r="I74"/>
  <c r="I77"/>
  <c r="I72"/>
  <c r="I80"/>
  <c r="I75"/>
  <c r="I73"/>
  <c r="I78"/>
  <c r="I76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44"/>
  <c r="B49"/>
  <c r="B79"/>
  <c r="B53"/>
  <c r="B45"/>
  <c r="AA6" i="47"/>
  <c r="AA3" l="1"/>
  <c r="AB2"/>
  <c r="AB5" s="1"/>
  <c r="AA98"/>
  <c r="I81" i="45"/>
  <c r="P3"/>
  <c r="P4"/>
  <c r="I7"/>
  <c r="Q65" s="1"/>
  <c r="P7"/>
  <c r="P9"/>
  <c r="P12"/>
  <c r="P16"/>
  <c r="P21"/>
  <c r="P23"/>
  <c r="P25"/>
  <c r="P27"/>
  <c r="P29"/>
  <c r="P31"/>
  <c r="P33"/>
  <c r="P35"/>
  <c r="P38"/>
  <c r="P13"/>
  <c r="P18"/>
  <c r="P20"/>
  <c r="P40"/>
  <c r="P41"/>
  <c r="P43"/>
  <c r="P45"/>
  <c r="P47"/>
  <c r="P49"/>
  <c r="P54"/>
  <c r="P56"/>
  <c r="P51"/>
  <c r="P57"/>
  <c r="P59"/>
  <c r="P61"/>
  <c r="P63"/>
  <c r="P65"/>
  <c r="M65" s="1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2"/>
  <c r="P55"/>
  <c r="P50"/>
  <c r="P53"/>
  <c r="P58"/>
  <c r="P60"/>
  <c r="P62"/>
  <c r="P64"/>
  <c r="B74" i="44"/>
  <c r="B48"/>
  <c r="B78"/>
  <c r="B52"/>
  <c r="AB6" i="47"/>
  <c r="AB3" l="1"/>
  <c r="AC2"/>
  <c r="AC5" s="1"/>
  <c r="AB98"/>
  <c r="Q3" i="45"/>
  <c r="Q5"/>
  <c r="M5" s="1"/>
  <c r="M3"/>
  <c r="Q4"/>
  <c r="M4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44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AC6" i="47"/>
  <c r="E65" i="44"/>
  <c r="E60"/>
  <c r="E64"/>
  <c r="E61"/>
  <c r="E67"/>
  <c r="E66"/>
  <c r="E62"/>
  <c r="E63"/>
  <c r="E68"/>
  <c r="AC3" i="47" l="1"/>
  <c r="AD2"/>
  <c r="AD5" s="1"/>
  <c r="AC98"/>
  <c r="M2" i="45"/>
  <c r="B12" s="1"/>
  <c r="E72" i="44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89"/>
  <c r="S60"/>
  <c r="S72" s="1"/>
  <c r="S84" s="1"/>
  <c r="B90"/>
  <c r="S61"/>
  <c r="S73" s="1"/>
  <c r="S85" s="1"/>
  <c r="B92"/>
  <c r="S63"/>
  <c r="S75" s="1"/>
  <c r="S87" s="1"/>
  <c r="C75"/>
  <c r="T63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AD6" i="47"/>
  <c r="K4" i="45"/>
  <c r="AD3" i="47" l="1"/>
  <c r="AE2"/>
  <c r="AE5" s="1"/>
  <c r="AD98"/>
  <c r="K38" i="45"/>
  <c r="K12"/>
  <c r="C28" i="44"/>
  <c r="C37" s="1"/>
  <c r="C48" s="1"/>
  <c r="C66" s="1"/>
  <c r="C18"/>
  <c r="C21" s="1"/>
  <c r="C84"/>
  <c r="T72"/>
  <c r="T84" s="1"/>
  <c r="C87"/>
  <c r="T75"/>
  <c r="T87" s="1"/>
  <c r="J37"/>
  <c r="J34"/>
  <c r="J31"/>
  <c r="AE6" i="47"/>
  <c r="AE3" l="1"/>
  <c r="AF2"/>
  <c r="AF5" s="1"/>
  <c r="AE98"/>
  <c r="G31" i="44"/>
  <c r="H31"/>
  <c r="I32"/>
  <c r="G33"/>
  <c r="H32"/>
  <c r="G32"/>
  <c r="H33"/>
  <c r="I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AF6" i="47"/>
  <c r="K7" i="44"/>
  <c r="AF3" i="47" l="1"/>
  <c r="AG2"/>
  <c r="AG5" s="1"/>
  <c r="AF98"/>
  <c r="K41" i="44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AG6" i="47"/>
  <c r="K6" i="44"/>
  <c r="AG3" i="47" l="1"/>
  <c r="AH2"/>
  <c r="AH5" s="1"/>
  <c r="AG98"/>
  <c r="K40" i="44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AH6" i="47"/>
  <c r="K48" i="44"/>
  <c r="K50"/>
  <c r="K47"/>
  <c r="K45"/>
  <c r="AH3" i="47" l="1"/>
  <c r="AI2"/>
  <c r="AI5" s="1"/>
  <c r="AH98"/>
  <c r="D49" i="44"/>
  <c r="F44"/>
  <c r="E44"/>
  <c r="F42"/>
  <c r="D46"/>
  <c r="E55"/>
  <c r="J54"/>
  <c r="F52"/>
  <c r="E43"/>
  <c r="J42"/>
  <c r="D53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AI6" i="47"/>
  <c r="K8" i="44"/>
  <c r="K49"/>
  <c r="K46"/>
  <c r="K39"/>
  <c r="K10"/>
  <c r="K43"/>
  <c r="K44"/>
  <c r="K9"/>
  <c r="K42"/>
  <c r="K5"/>
  <c r="AI3" i="47" l="1"/>
  <c r="AJ2"/>
  <c r="AJ5" s="1"/>
  <c r="AI98"/>
  <c r="W92" i="44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U87"/>
  <c r="V87"/>
  <c r="F87" s="1"/>
  <c r="H87" s="1"/>
  <c r="V86"/>
  <c r="F86" s="1"/>
  <c r="H86" s="1"/>
  <c r="W86"/>
  <c r="U86"/>
  <c r="W85"/>
  <c r="U85"/>
  <c r="V85"/>
  <c r="F85" s="1"/>
  <c r="H85" s="1"/>
  <c r="W84"/>
  <c r="U84"/>
  <c r="V84"/>
  <c r="F84" s="1"/>
  <c r="H84" s="1"/>
  <c r="F93" s="1"/>
  <c r="J51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P2" s="1"/>
  <c r="D3"/>
  <c r="Q2"/>
  <c r="O2"/>
  <c r="B88" i="43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AJ6" i="47"/>
  <c r="AJ3" l="1"/>
  <c r="AK2"/>
  <c r="AK5" s="1"/>
  <c r="AJ98"/>
  <c r="F69" i="44"/>
  <c r="G6"/>
  <c r="G5"/>
  <c r="X60"/>
  <c r="X64"/>
  <c r="X65"/>
  <c r="X66"/>
  <c r="X68"/>
  <c r="X85"/>
  <c r="X86"/>
  <c r="X87"/>
  <c r="X91"/>
  <c r="X61"/>
  <c r="X62"/>
  <c r="X63"/>
  <c r="X67"/>
  <c r="W80"/>
  <c r="U80"/>
  <c r="V80"/>
  <c r="F80" s="1"/>
  <c r="H80" s="1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88"/>
  <c r="X89"/>
  <c r="X90"/>
  <c r="X92"/>
  <c r="H4"/>
  <c r="U58" i="43"/>
  <c r="U70" s="1"/>
  <c r="U82" s="1"/>
  <c r="B47"/>
  <c r="AK6" i="47"/>
  <c r="G90" i="44"/>
  <c r="G85"/>
  <c r="G66"/>
  <c r="G67"/>
  <c r="G84"/>
  <c r="G88"/>
  <c r="G61"/>
  <c r="G63"/>
  <c r="G89"/>
  <c r="G62"/>
  <c r="G92"/>
  <c r="G87"/>
  <c r="G91"/>
  <c r="G68"/>
  <c r="G64"/>
  <c r="G86"/>
  <c r="G65"/>
  <c r="G60"/>
  <c r="AK3" i="47" l="1"/>
  <c r="AL2"/>
  <c r="AL5" s="1"/>
  <c r="AK98"/>
  <c r="I92" i="44"/>
  <c r="I89"/>
  <c r="I84"/>
  <c r="I67"/>
  <c r="I62"/>
  <c r="I91"/>
  <c r="I86"/>
  <c r="I68"/>
  <c r="I65"/>
  <c r="I60"/>
  <c r="I90"/>
  <c r="I88"/>
  <c r="I63"/>
  <c r="I61"/>
  <c r="I87"/>
  <c r="I85"/>
  <c r="I66"/>
  <c r="I64"/>
  <c r="H6"/>
  <c r="H5"/>
  <c r="I4"/>
  <c r="X76"/>
  <c r="X77"/>
  <c r="X78"/>
  <c r="X80"/>
  <c r="X72"/>
  <c r="X73"/>
  <c r="X74"/>
  <c r="X75"/>
  <c r="X79"/>
  <c r="G7"/>
  <c r="O65" s="1"/>
  <c r="B76" i="43"/>
  <c r="B50"/>
  <c r="B46"/>
  <c r="AL6" i="47"/>
  <c r="G77" i="44"/>
  <c r="G75"/>
  <c r="G80"/>
  <c r="G74"/>
  <c r="G73"/>
  <c r="G76"/>
  <c r="G72"/>
  <c r="G78"/>
  <c r="G79"/>
  <c r="AL3" i="47" l="1"/>
  <c r="AM2"/>
  <c r="AM5" s="1"/>
  <c r="AL98"/>
  <c r="I93" i="44"/>
  <c r="I69"/>
  <c r="O3"/>
  <c r="O5"/>
  <c r="I75"/>
  <c r="I73"/>
  <c r="I80"/>
  <c r="I77"/>
  <c r="I79"/>
  <c r="I74"/>
  <c r="I72"/>
  <c r="I78"/>
  <c r="I76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43"/>
  <c r="B49"/>
  <c r="B79"/>
  <c r="B53"/>
  <c r="B45"/>
  <c r="AM6" i="47"/>
  <c r="AM3" l="1"/>
  <c r="AN2"/>
  <c r="AN5" s="1"/>
  <c r="AM98"/>
  <c r="I81" i="44"/>
  <c r="P4"/>
  <c r="P7"/>
  <c r="P9"/>
  <c r="P12"/>
  <c r="P16"/>
  <c r="P21"/>
  <c r="P23"/>
  <c r="P25"/>
  <c r="P27"/>
  <c r="P29"/>
  <c r="P31"/>
  <c r="P33"/>
  <c r="P35"/>
  <c r="P38"/>
  <c r="P13"/>
  <c r="P18"/>
  <c r="P20"/>
  <c r="P39"/>
  <c r="P40"/>
  <c r="P43"/>
  <c r="P45"/>
  <c r="P47"/>
  <c r="P49"/>
  <c r="P51"/>
  <c r="P54"/>
  <c r="P56"/>
  <c r="P57"/>
  <c r="P59"/>
  <c r="P61"/>
  <c r="P63"/>
  <c r="P65"/>
  <c r="I7"/>
  <c r="Q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0"/>
  <c r="P52"/>
  <c r="P55"/>
  <c r="P53"/>
  <c r="P58"/>
  <c r="P60"/>
  <c r="P62"/>
  <c r="P64"/>
  <c r="B74" i="43"/>
  <c r="B48"/>
  <c r="B78"/>
  <c r="B52"/>
  <c r="AN6" i="47"/>
  <c r="AN3" l="1"/>
  <c r="AO2"/>
  <c r="AO5" s="1"/>
  <c r="AN98"/>
  <c r="M65" i="44"/>
  <c r="Q4"/>
  <c r="M4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43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AO6" i="47"/>
  <c r="E64" i="43"/>
  <c r="E63"/>
  <c r="E60"/>
  <c r="E65"/>
  <c r="E67"/>
  <c r="E68"/>
  <c r="E61"/>
  <c r="E66"/>
  <c r="E62"/>
  <c r="AO3" i="47" l="1"/>
  <c r="AP2"/>
  <c r="AP5" s="1"/>
  <c r="AO98"/>
  <c r="M2" i="44"/>
  <c r="B12" s="1"/>
  <c r="E72" i="43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AP6" i="47"/>
  <c r="K4" i="44"/>
  <c r="AP3" i="47" l="1"/>
  <c r="AQ2"/>
  <c r="AQ5" s="1"/>
  <c r="AP98"/>
  <c r="K38" i="44"/>
  <c r="K12"/>
  <c r="C28" i="43"/>
  <c r="C37" s="1"/>
  <c r="C48" s="1"/>
  <c r="C66" s="1"/>
  <c r="C18"/>
  <c r="C21" s="1"/>
  <c r="J37"/>
  <c r="J34"/>
  <c r="J31"/>
  <c r="C84"/>
  <c r="T72"/>
  <c r="T84" s="1"/>
  <c r="C87"/>
  <c r="T75"/>
  <c r="T87" s="1"/>
  <c r="AQ6" i="47"/>
  <c r="AQ3" l="1"/>
  <c r="AR2"/>
  <c r="AR5" s="1"/>
  <c r="AQ98"/>
  <c r="G31" i="43"/>
  <c r="H31"/>
  <c r="I32"/>
  <c r="G33"/>
  <c r="H32"/>
  <c r="G32"/>
  <c r="H33"/>
  <c r="I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AR6" i="47"/>
  <c r="K7" i="43"/>
  <c r="AR3" i="47" l="1"/>
  <c r="AS2"/>
  <c r="AS5" s="1"/>
  <c r="AR98"/>
  <c r="K41" i="43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AS6" i="47"/>
  <c r="K6" i="43"/>
  <c r="AS3" i="47" l="1"/>
  <c r="AT2"/>
  <c r="AT5" s="1"/>
  <c r="AS98"/>
  <c r="K40" i="43"/>
  <c r="H49"/>
  <c r="I49"/>
  <c r="G49"/>
  <c r="F49" s="1"/>
  <c r="H43"/>
  <c r="I43"/>
  <c r="G43"/>
  <c r="F43" s="1"/>
  <c r="I54"/>
  <c r="G54"/>
  <c r="H54"/>
  <c r="H56"/>
  <c r="I56"/>
  <c r="G56"/>
  <c r="H46"/>
  <c r="I46"/>
  <c r="D46" s="1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AT6" i="47"/>
  <c r="K48" i="43"/>
  <c r="K47"/>
  <c r="K44"/>
  <c r="K50"/>
  <c r="K45"/>
  <c r="AT3" i="47" l="1"/>
  <c r="AU2"/>
  <c r="AU5" s="1"/>
  <c r="AT98"/>
  <c r="F42" i="43"/>
  <c r="D53"/>
  <c r="E51"/>
  <c r="D49"/>
  <c r="D51"/>
  <c r="E55"/>
  <c r="J54"/>
  <c r="F52"/>
  <c r="E43"/>
  <c r="J42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AU6" i="47"/>
  <c r="K42" i="43"/>
  <c r="K39"/>
  <c r="K8"/>
  <c r="K46"/>
  <c r="K9"/>
  <c r="K10"/>
  <c r="K49"/>
  <c r="K5"/>
  <c r="K43"/>
  <c r="AU3" i="47" l="1"/>
  <c r="AV2"/>
  <c r="AV5" s="1"/>
  <c r="AU98"/>
  <c r="V86" i="43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42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AV6" i="47"/>
  <c r="AV3" l="1"/>
  <c r="AW2"/>
  <c r="AV98"/>
  <c r="F93" i="43"/>
  <c r="F69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H4"/>
  <c r="U58" i="42"/>
  <c r="U70" s="1"/>
  <c r="U82" s="1"/>
  <c r="B47"/>
  <c r="G88" i="43"/>
  <c r="G91"/>
  <c r="G60"/>
  <c r="G85"/>
  <c r="G87"/>
  <c r="G67"/>
  <c r="G65"/>
  <c r="G61"/>
  <c r="G62"/>
  <c r="G90"/>
  <c r="G66"/>
  <c r="G63"/>
  <c r="G89"/>
  <c r="G84"/>
  <c r="G86"/>
  <c r="G68"/>
  <c r="G92"/>
  <c r="G64"/>
  <c r="AW5" i="47" l="1"/>
  <c r="AW98"/>
  <c r="I92" i="43"/>
  <c r="I89"/>
  <c r="I87"/>
  <c r="I63"/>
  <c r="I61"/>
  <c r="I85"/>
  <c r="I68"/>
  <c r="I65"/>
  <c r="I60"/>
  <c r="I84"/>
  <c r="I90"/>
  <c r="I88"/>
  <c r="I67"/>
  <c r="I62"/>
  <c r="I86"/>
  <c r="I91"/>
  <c r="I66"/>
  <c r="I64"/>
  <c r="X76"/>
  <c r="X77"/>
  <c r="X78"/>
  <c r="H6"/>
  <c r="H5"/>
  <c r="I4"/>
  <c r="X72"/>
  <c r="X73"/>
  <c r="X74"/>
  <c r="X75"/>
  <c r="X79"/>
  <c r="X80"/>
  <c r="G7"/>
  <c r="O65" s="1"/>
  <c r="B76" i="42"/>
  <c r="B50"/>
  <c r="B46"/>
  <c r="AW6" i="47"/>
  <c r="G80" i="43"/>
  <c r="G75"/>
  <c r="G79"/>
  <c r="G76"/>
  <c r="G77"/>
  <c r="G74"/>
  <c r="G72"/>
  <c r="G78"/>
  <c r="G73"/>
  <c r="AW3" i="47" l="1"/>
  <c r="I69" i="43"/>
  <c r="I93"/>
  <c r="O3"/>
  <c r="O5"/>
  <c r="I79"/>
  <c r="I74"/>
  <c r="I72"/>
  <c r="I78"/>
  <c r="I76"/>
  <c r="I80"/>
  <c r="I75"/>
  <c r="I73"/>
  <c r="I77"/>
  <c r="H7"/>
  <c r="P65" s="1"/>
  <c r="P3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I6"/>
  <c r="I5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42"/>
  <c r="B49"/>
  <c r="B79"/>
  <c r="B53"/>
  <c r="B45"/>
  <c r="I81" i="43" l="1"/>
  <c r="P4"/>
  <c r="P5"/>
  <c r="P6"/>
  <c r="P17"/>
  <c r="P10"/>
  <c r="P24"/>
  <c r="P8"/>
  <c r="P15"/>
  <c r="P22"/>
  <c r="P26"/>
  <c r="P28"/>
  <c r="P30"/>
  <c r="P32"/>
  <c r="P34"/>
  <c r="P36"/>
  <c r="P11"/>
  <c r="P14"/>
  <c r="P19"/>
  <c r="P37"/>
  <c r="P40"/>
  <c r="P42"/>
  <c r="P44"/>
  <c r="P46"/>
  <c r="P48"/>
  <c r="P51"/>
  <c r="P54"/>
  <c r="P56"/>
  <c r="P53"/>
  <c r="P58"/>
  <c r="P60"/>
  <c r="P62"/>
  <c r="P64"/>
  <c r="P66"/>
  <c r="I7"/>
  <c r="Q66" s="1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0"/>
  <c r="P57"/>
  <c r="P59"/>
  <c r="P61"/>
  <c r="P63"/>
  <c r="B74" i="42"/>
  <c r="B48"/>
  <c r="B78"/>
  <c r="B52"/>
  <c r="Q4" i="43" l="1"/>
  <c r="M4" s="1"/>
  <c r="M66"/>
  <c r="Q3"/>
  <c r="M3" s="1"/>
  <c r="Q5"/>
  <c r="M5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0"/>
  <c r="M50" s="1"/>
  <c r="Q53"/>
  <c r="M53" s="1"/>
  <c r="Q58"/>
  <c r="M58" s="1"/>
  <c r="Q54"/>
  <c r="M54" s="1"/>
  <c r="Q56"/>
  <c r="M56" s="1"/>
  <c r="Q61"/>
  <c r="M61" s="1"/>
  <c r="Q63"/>
  <c r="M63" s="1"/>
  <c r="Q65"/>
  <c r="M6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2"/>
  <c r="M52" s="1"/>
  <c r="Q51"/>
  <c r="M51" s="1"/>
  <c r="Q57"/>
  <c r="M57" s="1"/>
  <c r="Q59"/>
  <c r="M59" s="1"/>
  <c r="Q55"/>
  <c r="M55" s="1"/>
  <c r="Q60"/>
  <c r="M60" s="1"/>
  <c r="Q62"/>
  <c r="M62" s="1"/>
  <c r="Q64"/>
  <c r="M64" s="1"/>
  <c r="B77" i="42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2"/>
  <c r="E61"/>
  <c r="E64"/>
  <c r="E65"/>
  <c r="E67"/>
  <c r="E60"/>
  <c r="E63"/>
  <c r="E66"/>
  <c r="E68"/>
  <c r="M2" i="43" l="1"/>
  <c r="B12" s="1"/>
  <c r="E72" i="42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43"/>
  <c r="K38" l="1"/>
  <c r="K12"/>
  <c r="C28" i="42"/>
  <c r="C37" s="1"/>
  <c r="C48" s="1"/>
  <c r="C66" s="1"/>
  <c r="C18"/>
  <c r="C21" s="1"/>
  <c r="J37"/>
  <c r="J34"/>
  <c r="J31"/>
  <c r="C84"/>
  <c r="T72"/>
  <c r="T84" s="1"/>
  <c r="C87"/>
  <c r="T75"/>
  <c r="T87" s="1"/>
  <c r="I31" l="1"/>
  <c r="H31"/>
  <c r="I32"/>
  <c r="G33"/>
  <c r="H32"/>
  <c r="G32"/>
  <c r="H33"/>
  <c r="G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D43" s="1"/>
  <c r="G43"/>
  <c r="F43" s="1"/>
  <c r="I54"/>
  <c r="G54"/>
  <c r="H54"/>
  <c r="H56"/>
  <c r="I56"/>
  <c r="G56"/>
  <c r="H49"/>
  <c r="I49"/>
  <c r="G49"/>
  <c r="F49" s="1"/>
  <c r="H46"/>
  <c r="I46"/>
  <c r="D46" s="1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4"/>
  <c r="K42"/>
  <c r="K47"/>
  <c r="K45"/>
  <c r="F50" l="1"/>
  <c r="F53" s="1"/>
  <c r="E48"/>
  <c r="E51" s="1"/>
  <c r="D48"/>
  <c r="D51" s="1"/>
  <c r="E55"/>
  <c r="J54"/>
  <c r="E49"/>
  <c r="J48"/>
  <c r="D53"/>
  <c r="D56"/>
  <c r="E54"/>
  <c r="D54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6"/>
  <c r="K50"/>
  <c r="K48"/>
  <c r="K10"/>
  <c r="K49"/>
  <c r="K43"/>
  <c r="K39"/>
  <c r="K9"/>
  <c r="K5"/>
  <c r="K8"/>
  <c r="E52" l="1"/>
  <c r="V89"/>
  <c r="F89" s="1"/>
  <c r="H89" s="1"/>
  <c r="W89"/>
  <c r="U89"/>
  <c r="W88"/>
  <c r="U88"/>
  <c r="V88"/>
  <c r="F88" s="1"/>
  <c r="H88" s="1"/>
  <c r="U87"/>
  <c r="V87"/>
  <c r="F87" s="1"/>
  <c r="H87" s="1"/>
  <c r="W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V64"/>
  <c r="F64" s="1"/>
  <c r="H64" s="1"/>
  <c r="U64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D3"/>
  <c r="Q2"/>
  <c r="P2"/>
  <c r="O2"/>
  <c r="B88" i="41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42" l="1"/>
  <c r="F69"/>
  <c r="H6"/>
  <c r="H5"/>
  <c r="I4"/>
  <c r="X61"/>
  <c r="X62"/>
  <c r="X63"/>
  <c r="X64"/>
  <c r="X67"/>
  <c r="X90"/>
  <c r="X92"/>
  <c r="V80"/>
  <c r="F80" s="1"/>
  <c r="H80" s="1"/>
  <c r="W80"/>
  <c r="U80"/>
  <c r="W79"/>
  <c r="V79"/>
  <c r="F79" s="1"/>
  <c r="H79" s="1"/>
  <c r="U79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W72"/>
  <c r="U72"/>
  <c r="X84"/>
  <c r="X87"/>
  <c r="X88"/>
  <c r="X89"/>
  <c r="G6"/>
  <c r="G5"/>
  <c r="X60"/>
  <c r="X65"/>
  <c r="X66"/>
  <c r="X68"/>
  <c r="X91"/>
  <c r="X85"/>
  <c r="X86"/>
  <c r="U58" i="41"/>
  <c r="U70" s="1"/>
  <c r="U82" s="1"/>
  <c r="B47"/>
  <c r="G92" i="42"/>
  <c r="G64"/>
  <c r="G89"/>
  <c r="G63"/>
  <c r="G62"/>
  <c r="G67"/>
  <c r="G65"/>
  <c r="G61"/>
  <c r="G88"/>
  <c r="G87"/>
  <c r="G84"/>
  <c r="G66"/>
  <c r="G91"/>
  <c r="G85"/>
  <c r="G60"/>
  <c r="G86"/>
  <c r="G68"/>
  <c r="G90"/>
  <c r="F81" l="1"/>
  <c r="I85"/>
  <c r="I87"/>
  <c r="I90"/>
  <c r="I64"/>
  <c r="I62"/>
  <c r="I68"/>
  <c r="I65"/>
  <c r="I89"/>
  <c r="I86"/>
  <c r="I91"/>
  <c r="I66"/>
  <c r="I60"/>
  <c r="I88"/>
  <c r="I84"/>
  <c r="I92"/>
  <c r="I67"/>
  <c r="I63"/>
  <c r="I61"/>
  <c r="G7"/>
  <c r="O65" s="1"/>
  <c r="X72"/>
  <c r="X73"/>
  <c r="X74"/>
  <c r="X75"/>
  <c r="X80"/>
  <c r="I6"/>
  <c r="I5"/>
  <c r="X76"/>
  <c r="X77"/>
  <c r="X78"/>
  <c r="X79"/>
  <c r="H7"/>
  <c r="P65" s="1"/>
  <c r="B76" i="41"/>
  <c r="B50"/>
  <c r="B46"/>
  <c r="G78" i="42"/>
  <c r="G80"/>
  <c r="G73"/>
  <c r="G72"/>
  <c r="G77"/>
  <c r="G74"/>
  <c r="G76"/>
  <c r="G79"/>
  <c r="G75"/>
  <c r="I93" l="1"/>
  <c r="I69"/>
  <c r="P3"/>
  <c r="P5"/>
  <c r="P4"/>
  <c r="P6"/>
  <c r="P7"/>
  <c r="P21"/>
  <c r="P12"/>
  <c r="P25"/>
  <c r="O3"/>
  <c r="O5"/>
  <c r="O9"/>
  <c r="O18"/>
  <c r="P9"/>
  <c r="P16"/>
  <c r="P23"/>
  <c r="O4"/>
  <c r="O6"/>
  <c r="O7"/>
  <c r="O13"/>
  <c r="I78"/>
  <c r="I76"/>
  <c r="I75"/>
  <c r="I73"/>
  <c r="I79"/>
  <c r="I77"/>
  <c r="I80"/>
  <c r="I74"/>
  <c r="I72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0"/>
  <c r="P54"/>
  <c r="P56"/>
  <c r="P53"/>
  <c r="P58"/>
  <c r="P60"/>
  <c r="P62"/>
  <c r="P64"/>
  <c r="P6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7"/>
  <c r="Q66" s="1"/>
  <c r="P27"/>
  <c r="P29"/>
  <c r="P31"/>
  <c r="P33"/>
  <c r="P35"/>
  <c r="P38"/>
  <c r="P13"/>
  <c r="P18"/>
  <c r="P20"/>
  <c r="P39"/>
  <c r="P41"/>
  <c r="P43"/>
  <c r="P45"/>
  <c r="P47"/>
  <c r="P49"/>
  <c r="P52"/>
  <c r="P55"/>
  <c r="P51"/>
  <c r="P57"/>
  <c r="P59"/>
  <c r="P61"/>
  <c r="P63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41"/>
  <c r="B49"/>
  <c r="B79"/>
  <c r="B53"/>
  <c r="B45"/>
  <c r="I81" i="42" l="1"/>
  <c r="Q4"/>
  <c r="M66"/>
  <c r="M4"/>
  <c r="Q8"/>
  <c r="M8" s="1"/>
  <c r="Q14"/>
  <c r="Q3"/>
  <c r="M3" s="1"/>
  <c r="Q5"/>
  <c r="M5" s="1"/>
  <c r="Q6"/>
  <c r="M6" s="1"/>
  <c r="Q11"/>
  <c r="M11" s="1"/>
  <c r="Q19"/>
  <c r="M19" s="1"/>
  <c r="M14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4" i="41"/>
  <c r="B48"/>
  <c r="B78"/>
  <c r="B52"/>
  <c r="M2" i="42" l="1"/>
  <c r="B12" s="1"/>
  <c r="B77" i="41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3"/>
  <c r="K4" i="42"/>
  <c r="E66" i="41"/>
  <c r="E62"/>
  <c r="E65"/>
  <c r="E60"/>
  <c r="E67"/>
  <c r="E61"/>
  <c r="E68"/>
  <c r="E64"/>
  <c r="K38" i="42" l="1"/>
  <c r="K12"/>
  <c r="E72" i="41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C84"/>
  <c r="T72"/>
  <c r="T84" s="1"/>
  <c r="J37"/>
  <c r="J34"/>
  <c r="J31"/>
  <c r="C87"/>
  <c r="T75"/>
  <c r="T87" s="1"/>
  <c r="I31" l="1"/>
  <c r="H31"/>
  <c r="I32"/>
  <c r="G33"/>
  <c r="H32"/>
  <c r="G32"/>
  <c r="H33"/>
  <c r="G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5"/>
  <c r="K44"/>
  <c r="K42"/>
  <c r="K47"/>
  <c r="D46" l="1"/>
  <c r="F50"/>
  <c r="D43"/>
  <c r="E48"/>
  <c r="D48"/>
  <c r="D51" s="1"/>
  <c r="E55"/>
  <c r="J54"/>
  <c r="E49"/>
  <c r="J48"/>
  <c r="D53"/>
  <c r="E51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0"/>
  <c r="K10"/>
  <c r="K9"/>
  <c r="K43"/>
  <c r="K39"/>
  <c r="K48"/>
  <c r="K5"/>
  <c r="K46"/>
  <c r="K8"/>
  <c r="K49"/>
  <c r="E52" l="1"/>
  <c r="V89"/>
  <c r="F89" s="1"/>
  <c r="H89" s="1"/>
  <c r="W89"/>
  <c r="U89"/>
  <c r="W88"/>
  <c r="U88"/>
  <c r="V88"/>
  <c r="F88" s="1"/>
  <c r="H88" s="1"/>
  <c r="W87"/>
  <c r="U87"/>
  <c r="V87"/>
  <c r="F87" s="1"/>
  <c r="H87" s="1"/>
  <c r="V86"/>
  <c r="F86" s="1"/>
  <c r="H86" s="1"/>
  <c r="W86"/>
  <c r="U86"/>
  <c r="W85"/>
  <c r="V85"/>
  <c r="F85" s="1"/>
  <c r="H85" s="1"/>
  <c r="U85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40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41" l="1"/>
  <c r="F69"/>
  <c r="H6"/>
  <c r="H5"/>
  <c r="I4"/>
  <c r="X61"/>
  <c r="X62"/>
  <c r="X63"/>
  <c r="X67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85"/>
  <c r="X88"/>
  <c r="X89"/>
  <c r="G6"/>
  <c r="G5"/>
  <c r="X60"/>
  <c r="X64"/>
  <c r="X65"/>
  <c r="X66"/>
  <c r="X68"/>
  <c r="X91"/>
  <c r="X86"/>
  <c r="X87"/>
  <c r="U58" i="40"/>
  <c r="U70" s="1"/>
  <c r="U82" s="1"/>
  <c r="B47"/>
  <c r="G87" i="41"/>
  <c r="G64"/>
  <c r="G86"/>
  <c r="G91"/>
  <c r="G92"/>
  <c r="G88"/>
  <c r="G89"/>
  <c r="G60"/>
  <c r="G90"/>
  <c r="G67"/>
  <c r="G84"/>
  <c r="G85"/>
  <c r="G61"/>
  <c r="G66"/>
  <c r="G63"/>
  <c r="G68"/>
  <c r="G62"/>
  <c r="G65"/>
  <c r="I91" l="1"/>
  <c r="I86"/>
  <c r="I68"/>
  <c r="I65"/>
  <c r="I60"/>
  <c r="I88"/>
  <c r="I84"/>
  <c r="I92"/>
  <c r="I67"/>
  <c r="I62"/>
  <c r="I87"/>
  <c r="I66"/>
  <c r="I64"/>
  <c r="I89"/>
  <c r="I85"/>
  <c r="I90"/>
  <c r="I63"/>
  <c r="I61"/>
  <c r="X76"/>
  <c r="X77"/>
  <c r="X78"/>
  <c r="I6"/>
  <c r="I5"/>
  <c r="G7"/>
  <c r="O66" s="1"/>
  <c r="X72"/>
  <c r="X73"/>
  <c r="X74"/>
  <c r="X75"/>
  <c r="X79"/>
  <c r="X80"/>
  <c r="H7"/>
  <c r="P65" s="1"/>
  <c r="B76" i="40"/>
  <c r="B50"/>
  <c r="B46"/>
  <c r="G80" i="41"/>
  <c r="G79"/>
  <c r="G73"/>
  <c r="G72"/>
  <c r="G78"/>
  <c r="G76"/>
  <c r="G77"/>
  <c r="G75"/>
  <c r="G74"/>
  <c r="I93" l="1"/>
  <c r="I69"/>
  <c r="P4"/>
  <c r="P8"/>
  <c r="P15"/>
  <c r="P22"/>
  <c r="O3"/>
  <c r="O5"/>
  <c r="O9"/>
  <c r="O18"/>
  <c r="P3"/>
  <c r="P5"/>
  <c r="P6"/>
  <c r="P10"/>
  <c r="P17"/>
  <c r="P24"/>
  <c r="O4"/>
  <c r="O6"/>
  <c r="O7"/>
  <c r="O13"/>
  <c r="O20"/>
  <c r="I79"/>
  <c r="I74"/>
  <c r="I72"/>
  <c r="I78"/>
  <c r="I76"/>
  <c r="I80"/>
  <c r="I75"/>
  <c r="I73"/>
  <c r="I77"/>
  <c r="I7"/>
  <c r="Q65" s="1"/>
  <c r="P26"/>
  <c r="P28"/>
  <c r="P30"/>
  <c r="P32"/>
  <c r="P34"/>
  <c r="P36"/>
  <c r="P11"/>
  <c r="P14"/>
  <c r="P19"/>
  <c r="P37"/>
  <c r="P39"/>
  <c r="P42"/>
  <c r="P44"/>
  <c r="P46"/>
  <c r="P48"/>
  <c r="P51"/>
  <c r="P54"/>
  <c r="P56"/>
  <c r="P53"/>
  <c r="P58"/>
  <c r="P60"/>
  <c r="P62"/>
  <c r="P64"/>
  <c r="P66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O65"/>
  <c r="P7"/>
  <c r="P9"/>
  <c r="P12"/>
  <c r="P16"/>
  <c r="P21"/>
  <c r="P23"/>
  <c r="P25"/>
  <c r="P27"/>
  <c r="P29"/>
  <c r="P31"/>
  <c r="P33"/>
  <c r="P35"/>
  <c r="P38"/>
  <c r="P13"/>
  <c r="P18"/>
  <c r="P20"/>
  <c r="P40"/>
  <c r="P41"/>
  <c r="P43"/>
  <c r="P45"/>
  <c r="P47"/>
  <c r="P49"/>
  <c r="P52"/>
  <c r="P55"/>
  <c r="P50"/>
  <c r="P57"/>
  <c r="P59"/>
  <c r="P61"/>
  <c r="P63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B75" i="40"/>
  <c r="B49"/>
  <c r="B79"/>
  <c r="B53"/>
  <c r="B45"/>
  <c r="I81" i="41" l="1"/>
  <c r="M65"/>
  <c r="Q3"/>
  <c r="Q5"/>
  <c r="M5" s="1"/>
  <c r="M3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4"/>
  <c r="M4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40"/>
  <c r="B48"/>
  <c r="B78"/>
  <c r="B52"/>
  <c r="M2" i="41" l="1"/>
  <c r="B12" s="1"/>
  <c r="K12" s="1"/>
  <c r="B77" i="40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8"/>
  <c r="E66"/>
  <c r="E64"/>
  <c r="E65"/>
  <c r="E63"/>
  <c r="E61"/>
  <c r="E62"/>
  <c r="K4" i="41"/>
  <c r="E60" i="40"/>
  <c r="E67"/>
  <c r="K38" i="41" l="1"/>
  <c r="E72" i="40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9"/>
  <c r="G38"/>
  <c r="H39"/>
  <c r="I37"/>
  <c r="C78"/>
  <c r="T66"/>
  <c r="I34"/>
  <c r="G36"/>
  <c r="H34"/>
  <c r="I35"/>
  <c r="H36"/>
  <c r="G34"/>
  <c r="H35"/>
  <c r="I36"/>
  <c r="G35"/>
  <c r="F8"/>
  <c r="E8"/>
  <c r="D8"/>
  <c r="C8"/>
  <c r="K7"/>
  <c r="K41" l="1"/>
  <c r="C90"/>
  <c r="T78"/>
  <c r="T90" s="1"/>
  <c r="G56" a="1"/>
  <c r="G55" a="1"/>
  <c r="G54" a="1"/>
  <c r="G44" a="1"/>
  <c r="G43" a="1"/>
  <c r="G42" a="1"/>
  <c r="G47" a="1"/>
  <c r="G46" a="1"/>
  <c r="G45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I45"/>
  <c r="G45"/>
  <c r="H45"/>
  <c r="H47"/>
  <c r="I47"/>
  <c r="G47"/>
  <c r="I42"/>
  <c r="G42"/>
  <c r="H42"/>
  <c r="H44"/>
  <c r="I44"/>
  <c r="G44"/>
  <c r="H55"/>
  <c r="I55"/>
  <c r="G55"/>
  <c r="F55" s="1"/>
  <c r="I48"/>
  <c r="D48" s="1"/>
  <c r="G48"/>
  <c r="F48" s="1"/>
  <c r="H48"/>
  <c r="E48" s="1"/>
  <c r="I50"/>
  <c r="D50" s="1"/>
  <c r="G50"/>
  <c r="F50" s="1"/>
  <c r="H50"/>
  <c r="E50" s="1"/>
  <c r="H46"/>
  <c r="I46"/>
  <c r="G46"/>
  <c r="F46" s="1"/>
  <c r="H43"/>
  <c r="I43"/>
  <c r="G43"/>
  <c r="F43" s="1"/>
  <c r="I54"/>
  <c r="G54"/>
  <c r="F54" s="1"/>
  <c r="H54"/>
  <c r="H56"/>
  <c r="E56" s="1"/>
  <c r="I56"/>
  <c r="G56"/>
  <c r="F56" s="1"/>
  <c r="B6"/>
  <c r="K50"/>
  <c r="K48"/>
  <c r="D56" l="1"/>
  <c r="E54"/>
  <c r="D54"/>
  <c r="D49"/>
  <c r="D46"/>
  <c r="F52"/>
  <c r="E43"/>
  <c r="J42"/>
  <c r="E55"/>
  <c r="J54"/>
  <c r="D44"/>
  <c r="E42"/>
  <c r="D42"/>
  <c r="D47"/>
  <c r="E45"/>
  <c r="D45"/>
  <c r="E46"/>
  <c r="J45"/>
  <c r="E49"/>
  <c r="J48"/>
  <c r="D43"/>
  <c r="D52" s="1"/>
  <c r="D55"/>
  <c r="F44"/>
  <c r="E44"/>
  <c r="F42"/>
  <c r="F47"/>
  <c r="E47"/>
  <c r="F45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6"/>
  <c r="K45"/>
  <c r="K10"/>
  <c r="K9"/>
  <c r="K5"/>
  <c r="K42"/>
  <c r="K8"/>
  <c r="K49"/>
  <c r="K39"/>
  <c r="K43"/>
  <c r="K44"/>
  <c r="K47"/>
  <c r="E53" l="1"/>
  <c r="E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V86"/>
  <c r="F86" s="1"/>
  <c r="H86" s="1"/>
  <c r="W86"/>
  <c r="U86"/>
  <c r="W85"/>
  <c r="V85"/>
  <c r="F85" s="1"/>
  <c r="H85" s="1"/>
  <c r="U85"/>
  <c r="W84"/>
  <c r="U84"/>
  <c r="V84"/>
  <c r="F84" s="1"/>
  <c r="H84" s="1"/>
  <c r="F93" s="1"/>
  <c r="J51"/>
  <c r="F51"/>
  <c r="F53"/>
  <c r="E52"/>
  <c r="D51"/>
  <c r="D53"/>
  <c r="G4"/>
  <c r="K3"/>
  <c r="F3"/>
  <c r="E3"/>
  <c r="P2" s="1"/>
  <c r="D3"/>
  <c r="Q2"/>
  <c r="O2"/>
  <c r="B88" i="39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G6" i="40" l="1"/>
  <c r="G5"/>
  <c r="V80"/>
  <c r="F80" s="1"/>
  <c r="H80" s="1"/>
  <c r="W80"/>
  <c r="U80"/>
  <c r="W79"/>
  <c r="U79"/>
  <c r="V79"/>
  <c r="F79" s="1"/>
  <c r="H79" s="1"/>
  <c r="W78"/>
  <c r="U78"/>
  <c r="V78"/>
  <c r="F78" s="1"/>
  <c r="H78" s="1"/>
  <c r="W77"/>
  <c r="U77"/>
  <c r="V77"/>
  <c r="F77" s="1"/>
  <c r="H77" s="1"/>
  <c r="W76"/>
  <c r="V76"/>
  <c r="F76" s="1"/>
  <c r="H76" s="1"/>
  <c r="U76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85"/>
  <c r="X61"/>
  <c r="X62"/>
  <c r="X63"/>
  <c r="X67"/>
  <c r="X91"/>
  <c r="X86"/>
  <c r="X60"/>
  <c r="X64"/>
  <c r="X65"/>
  <c r="X66"/>
  <c r="X68"/>
  <c r="X87"/>
  <c r="X88"/>
  <c r="X89"/>
  <c r="X90"/>
  <c r="X92"/>
  <c r="H4"/>
  <c r="U58" i="39"/>
  <c r="U70" s="1"/>
  <c r="U82" s="1"/>
  <c r="B47"/>
  <c r="G92" i="40"/>
  <c r="G84"/>
  <c r="G63"/>
  <c r="G68"/>
  <c r="G88"/>
  <c r="G67"/>
  <c r="G66"/>
  <c r="G64"/>
  <c r="G91"/>
  <c r="G60"/>
  <c r="G61"/>
  <c r="G90"/>
  <c r="G85"/>
  <c r="G65"/>
  <c r="G86"/>
  <c r="G87"/>
  <c r="G62"/>
  <c r="G89"/>
  <c r="I88" l="1"/>
  <c r="I65"/>
  <c r="I60"/>
  <c r="I63"/>
  <c r="I92"/>
  <c r="I89"/>
  <c r="I87"/>
  <c r="I66"/>
  <c r="I64"/>
  <c r="I86"/>
  <c r="I67"/>
  <c r="I62"/>
  <c r="I85"/>
  <c r="I90"/>
  <c r="I68"/>
  <c r="I91"/>
  <c r="I61"/>
  <c r="I84"/>
  <c r="H6"/>
  <c r="H5"/>
  <c r="I4"/>
  <c r="X72"/>
  <c r="X73"/>
  <c r="X74"/>
  <c r="X75"/>
  <c r="X76"/>
  <c r="X77"/>
  <c r="X79"/>
  <c r="X80"/>
  <c r="X78"/>
  <c r="G7"/>
  <c r="O65" s="1"/>
  <c r="B76" i="39"/>
  <c r="B50"/>
  <c r="B46"/>
  <c r="G80" i="40"/>
  <c r="G74"/>
  <c r="G75"/>
  <c r="G77"/>
  <c r="G73"/>
  <c r="G72"/>
  <c r="G79"/>
  <c r="G78"/>
  <c r="G76"/>
  <c r="I69" l="1"/>
  <c r="I93"/>
  <c r="O3"/>
  <c r="O4"/>
  <c r="O5"/>
  <c r="I80"/>
  <c r="I77"/>
  <c r="I75"/>
  <c r="I73"/>
  <c r="I78"/>
  <c r="I79"/>
  <c r="I76"/>
  <c r="I74"/>
  <c r="I72"/>
  <c r="I6"/>
  <c r="I5"/>
  <c r="O6"/>
  <c r="O8"/>
  <c r="O10"/>
  <c r="O13"/>
  <c r="O18"/>
  <c r="O20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5" s="1"/>
  <c r="O7"/>
  <c r="O9"/>
  <c r="O11"/>
  <c r="O14"/>
  <c r="O19"/>
  <c r="O37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39"/>
  <c r="B49"/>
  <c r="B79"/>
  <c r="B53"/>
  <c r="B45"/>
  <c r="I81" i="40" l="1"/>
  <c r="P3"/>
  <c r="P5"/>
  <c r="P4"/>
  <c r="P6"/>
  <c r="P7"/>
  <c r="P12"/>
  <c r="P21"/>
  <c r="P25"/>
  <c r="P9"/>
  <c r="P16"/>
  <c r="P23"/>
  <c r="I7"/>
  <c r="Q65" s="1"/>
  <c r="M65" s="1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2"/>
  <c r="P55"/>
  <c r="P50"/>
  <c r="P53"/>
  <c r="P58"/>
  <c r="P60"/>
  <c r="P62"/>
  <c r="P64"/>
  <c r="P66"/>
  <c r="P27"/>
  <c r="P29"/>
  <c r="P31"/>
  <c r="P33"/>
  <c r="P35"/>
  <c r="P38"/>
  <c r="P13"/>
  <c r="P18"/>
  <c r="P20"/>
  <c r="P39"/>
  <c r="P41"/>
  <c r="P43"/>
  <c r="P45"/>
  <c r="P47"/>
  <c r="P49"/>
  <c r="P54"/>
  <c r="P56"/>
  <c r="P51"/>
  <c r="P57"/>
  <c r="P59"/>
  <c r="P61"/>
  <c r="P63"/>
  <c r="B74" i="39"/>
  <c r="B48"/>
  <c r="B78"/>
  <c r="B52"/>
  <c r="Q4" i="40" l="1"/>
  <c r="M4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39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8"/>
  <c r="E62"/>
  <c r="E60"/>
  <c r="E67"/>
  <c r="E65"/>
  <c r="E66"/>
  <c r="E64"/>
  <c r="E63"/>
  <c r="E61"/>
  <c r="M2" i="40" l="1"/>
  <c r="B12" s="1"/>
  <c r="E72" i="39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40"/>
  <c r="K38" l="1"/>
  <c r="K12"/>
  <c r="C28" i="39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2"/>
  <c r="K50"/>
  <c r="K44"/>
  <c r="K48"/>
  <c r="K47"/>
  <c r="K45"/>
  <c r="D46" l="1"/>
  <c r="D49"/>
  <c r="E55"/>
  <c r="J54"/>
  <c r="F52"/>
  <c r="E43"/>
  <c r="J42"/>
  <c r="D53"/>
  <c r="E51"/>
  <c r="D51"/>
  <c r="F56"/>
  <c r="E56"/>
  <c r="F54"/>
  <c r="F53"/>
  <c r="F51"/>
  <c r="E46"/>
  <c r="J45"/>
  <c r="E49"/>
  <c r="J48"/>
  <c r="D55"/>
  <c r="E53"/>
  <c r="D56"/>
  <c r="E54"/>
  <c r="D54"/>
  <c r="D4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39"/>
  <c r="K5"/>
  <c r="K49"/>
  <c r="K8"/>
  <c r="K43"/>
  <c r="K10"/>
  <c r="K46"/>
  <c r="K9"/>
  <c r="D52" l="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V86"/>
  <c r="F86" s="1"/>
  <c r="H86" s="1"/>
  <c r="W86"/>
  <c r="U86"/>
  <c r="W85"/>
  <c r="U85"/>
  <c r="V85"/>
  <c r="F85" s="1"/>
  <c r="H85" s="1"/>
  <c r="W84"/>
  <c r="U84"/>
  <c r="V84"/>
  <c r="F84" s="1"/>
  <c r="H84" s="1"/>
  <c r="F93" s="1"/>
  <c r="J51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38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39" l="1"/>
  <c r="G6"/>
  <c r="G5"/>
  <c r="X60"/>
  <c r="X64"/>
  <c r="X65"/>
  <c r="X66"/>
  <c r="X68"/>
  <c r="X85"/>
  <c r="X86"/>
  <c r="X91"/>
  <c r="X61"/>
  <c r="X62"/>
  <c r="X63"/>
  <c r="X67"/>
  <c r="V80"/>
  <c r="F80" s="1"/>
  <c r="H80" s="1"/>
  <c r="W80"/>
  <c r="U80"/>
  <c r="W79"/>
  <c r="U79"/>
  <c r="V79"/>
  <c r="F79" s="1"/>
  <c r="H79" s="1"/>
  <c r="W78"/>
  <c r="V78"/>
  <c r="F78" s="1"/>
  <c r="H78" s="1"/>
  <c r="U78"/>
  <c r="W77"/>
  <c r="U77"/>
  <c r="V77"/>
  <c r="F77" s="1"/>
  <c r="H77" s="1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W72"/>
  <c r="U72"/>
  <c r="X84"/>
  <c r="X87"/>
  <c r="X88"/>
  <c r="X89"/>
  <c r="X90"/>
  <c r="X92"/>
  <c r="H4"/>
  <c r="U58" i="38"/>
  <c r="U70" s="1"/>
  <c r="U82" s="1"/>
  <c r="B47"/>
  <c r="G85" i="39"/>
  <c r="G92"/>
  <c r="G89"/>
  <c r="G91"/>
  <c r="G62"/>
  <c r="G88"/>
  <c r="G87"/>
  <c r="G67"/>
  <c r="G64"/>
  <c r="G84"/>
  <c r="G90"/>
  <c r="G66"/>
  <c r="G86"/>
  <c r="G68"/>
  <c r="G63"/>
  <c r="G61"/>
  <c r="G60"/>
  <c r="G65"/>
  <c r="F81" l="1"/>
  <c r="I92"/>
  <c r="I89"/>
  <c r="I87"/>
  <c r="I63"/>
  <c r="I61"/>
  <c r="I86"/>
  <c r="I68"/>
  <c r="I65"/>
  <c r="I60"/>
  <c r="I90"/>
  <c r="I88"/>
  <c r="I84"/>
  <c r="I67"/>
  <c r="I62"/>
  <c r="I91"/>
  <c r="I85"/>
  <c r="I66"/>
  <c r="I64"/>
  <c r="H6"/>
  <c r="H5"/>
  <c r="I4"/>
  <c r="X72"/>
  <c r="X73"/>
  <c r="X74"/>
  <c r="X75"/>
  <c r="X77"/>
  <c r="X78"/>
  <c r="X79"/>
  <c r="X80"/>
  <c r="X76"/>
  <c r="G7"/>
  <c r="O65" s="1"/>
  <c r="B76" i="38"/>
  <c r="B50"/>
  <c r="B46"/>
  <c r="G75" i="39"/>
  <c r="G79"/>
  <c r="G73"/>
  <c r="G80"/>
  <c r="G76"/>
  <c r="G72"/>
  <c r="G78"/>
  <c r="G74"/>
  <c r="G77"/>
  <c r="I93" l="1"/>
  <c r="I69"/>
  <c r="O3"/>
  <c r="O5"/>
  <c r="I80"/>
  <c r="I78"/>
  <c r="I75"/>
  <c r="I73"/>
  <c r="I76"/>
  <c r="I79"/>
  <c r="I77"/>
  <c r="I74"/>
  <c r="I72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38"/>
  <c r="B49"/>
  <c r="B79"/>
  <c r="B53"/>
  <c r="B45"/>
  <c r="I81" i="39" l="1"/>
  <c r="P4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1"/>
  <c r="P57"/>
  <c r="P59"/>
  <c r="P61"/>
  <c r="P63"/>
  <c r="P65"/>
  <c r="I7"/>
  <c r="Q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0"/>
  <c r="P54"/>
  <c r="P56"/>
  <c r="P53"/>
  <c r="P58"/>
  <c r="P60"/>
  <c r="P62"/>
  <c r="P64"/>
  <c r="B74" i="38"/>
  <c r="B48"/>
  <c r="B78"/>
  <c r="B52"/>
  <c r="Q3" i="39" l="1"/>
  <c r="M3" s="1"/>
  <c r="M65"/>
  <c r="Q4"/>
  <c r="M4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2"/>
  <c r="M52" s="1"/>
  <c r="Q51"/>
  <c r="M51" s="1"/>
  <c r="Q57"/>
  <c r="M57" s="1"/>
  <c r="Q59"/>
  <c r="M59" s="1"/>
  <c r="Q55"/>
  <c r="M55" s="1"/>
  <c r="Q60"/>
  <c r="M60" s="1"/>
  <c r="Q62"/>
  <c r="M62" s="1"/>
  <c r="Q64"/>
  <c r="M64" s="1"/>
  <c r="Q66"/>
  <c r="M66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0"/>
  <c r="M50" s="1"/>
  <c r="Q53"/>
  <c r="M53" s="1"/>
  <c r="Q58"/>
  <c r="M58" s="1"/>
  <c r="Q54"/>
  <c r="M54" s="1"/>
  <c r="Q56"/>
  <c r="M56" s="1"/>
  <c r="Q61"/>
  <c r="M61" s="1"/>
  <c r="Q63"/>
  <c r="M63" s="1"/>
  <c r="B77" i="38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2"/>
  <c r="E61"/>
  <c r="E63"/>
  <c r="E60"/>
  <c r="E66"/>
  <c r="E67"/>
  <c r="E68"/>
  <c r="E64"/>
  <c r="E65"/>
  <c r="M2" i="39" l="1"/>
  <c r="B12" s="1"/>
  <c r="E72" i="38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9"/>
  <c r="K38" l="1"/>
  <c r="K12"/>
  <c r="C28" i="38"/>
  <c r="C37" s="1"/>
  <c r="C48" s="1"/>
  <c r="C66" s="1"/>
  <c r="C18"/>
  <c r="C21" s="1"/>
  <c r="J37"/>
  <c r="J34"/>
  <c r="J31"/>
  <c r="C84"/>
  <c r="T72"/>
  <c r="T84" s="1"/>
  <c r="C87"/>
  <c r="T75"/>
  <c r="T87" s="1"/>
  <c r="G31" l="1"/>
  <c r="H32"/>
  <c r="G32"/>
  <c r="H33"/>
  <c r="G33"/>
  <c r="I31"/>
  <c r="H31"/>
  <c r="I32"/>
  <c r="I33"/>
  <c r="H37"/>
  <c r="I38"/>
  <c r="G37"/>
  <c r="H38"/>
  <c r="I39"/>
  <c r="I37"/>
  <c r="G38"/>
  <c r="H39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50"/>
  <c r="K47"/>
  <c r="K48"/>
  <c r="K45"/>
  <c r="D49" l="1"/>
  <c r="F44"/>
  <c r="E44"/>
  <c r="F42"/>
  <c r="D46"/>
  <c r="D53"/>
  <c r="E55"/>
  <c r="J54"/>
  <c r="F52"/>
  <c r="E43"/>
  <c r="J42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"/>
  <c r="K9"/>
  <c r="K49"/>
  <c r="K39"/>
  <c r="K8"/>
  <c r="K46"/>
  <c r="K44"/>
  <c r="K10"/>
  <c r="K42"/>
  <c r="K43"/>
  <c r="V86" l="1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P2" s="1"/>
  <c r="D3"/>
  <c r="Q2"/>
  <c r="O2"/>
  <c r="B88" i="37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38" l="1"/>
  <c r="F69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F81" s="1"/>
  <c r="W72"/>
  <c r="U72"/>
  <c r="X84"/>
  <c r="H4"/>
  <c r="U58" i="37"/>
  <c r="U70" s="1"/>
  <c r="U82" s="1"/>
  <c r="B47"/>
  <c r="G61" i="38"/>
  <c r="G62"/>
  <c r="G90"/>
  <c r="G67"/>
  <c r="G85"/>
  <c r="G84"/>
  <c r="G60"/>
  <c r="G64"/>
  <c r="G66"/>
  <c r="G63"/>
  <c r="G91"/>
  <c r="G89"/>
  <c r="G88"/>
  <c r="G86"/>
  <c r="G92"/>
  <c r="G87"/>
  <c r="G65"/>
  <c r="G68"/>
  <c r="I84" l="1"/>
  <c r="I92"/>
  <c r="I89"/>
  <c r="I87"/>
  <c r="I63"/>
  <c r="I61"/>
  <c r="I85"/>
  <c r="I68"/>
  <c r="I65"/>
  <c r="I60"/>
  <c r="I90"/>
  <c r="I88"/>
  <c r="I67"/>
  <c r="I62"/>
  <c r="I86"/>
  <c r="I91"/>
  <c r="I66"/>
  <c r="I64"/>
  <c r="H6"/>
  <c r="H5"/>
  <c r="I4"/>
  <c r="X72"/>
  <c r="X76"/>
  <c r="X77"/>
  <c r="X78"/>
  <c r="X73"/>
  <c r="X74"/>
  <c r="X75"/>
  <c r="X79"/>
  <c r="X80"/>
  <c r="G7"/>
  <c r="O65" s="1"/>
  <c r="B76" i="37"/>
  <c r="B50"/>
  <c r="B46"/>
  <c r="G73" i="38"/>
  <c r="G78"/>
  <c r="G74"/>
  <c r="G79"/>
  <c r="G77"/>
  <c r="G76"/>
  <c r="G72"/>
  <c r="G80"/>
  <c r="G75"/>
  <c r="I93" l="1"/>
  <c r="I69"/>
  <c r="O3"/>
  <c r="O5"/>
  <c r="I79"/>
  <c r="I74"/>
  <c r="I78"/>
  <c r="I76"/>
  <c r="I80"/>
  <c r="I75"/>
  <c r="I73"/>
  <c r="I77"/>
  <c r="I72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37"/>
  <c r="B49"/>
  <c r="B79"/>
  <c r="B53"/>
  <c r="B45"/>
  <c r="I81" i="38" l="1"/>
  <c r="P4"/>
  <c r="P7"/>
  <c r="P9"/>
  <c r="P12"/>
  <c r="P16"/>
  <c r="P21"/>
  <c r="P23"/>
  <c r="P25"/>
  <c r="P27"/>
  <c r="P29"/>
  <c r="P31"/>
  <c r="P33"/>
  <c r="P35"/>
  <c r="P38"/>
  <c r="P13"/>
  <c r="P18"/>
  <c r="P20"/>
  <c r="P40"/>
  <c r="P41"/>
  <c r="P43"/>
  <c r="P45"/>
  <c r="P47"/>
  <c r="P49"/>
  <c r="P52"/>
  <c r="P55"/>
  <c r="P50"/>
  <c r="P57"/>
  <c r="P59"/>
  <c r="P61"/>
  <c r="P63"/>
  <c r="P65"/>
  <c r="I7"/>
  <c r="Q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1"/>
  <c r="P54"/>
  <c r="P56"/>
  <c r="P53"/>
  <c r="P58"/>
  <c r="P60"/>
  <c r="P62"/>
  <c r="P64"/>
  <c r="B74" i="37"/>
  <c r="B48"/>
  <c r="B78"/>
  <c r="B52"/>
  <c r="Q4" i="38" l="1"/>
  <c r="M65"/>
  <c r="M4"/>
  <c r="Q3"/>
  <c r="M3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2"/>
  <c r="M52" s="1"/>
  <c r="Q51"/>
  <c r="M51" s="1"/>
  <c r="Q57"/>
  <c r="M57" s="1"/>
  <c r="Q59"/>
  <c r="M59" s="1"/>
  <c r="Q55"/>
  <c r="M55" s="1"/>
  <c r="Q60"/>
  <c r="M60" s="1"/>
  <c r="Q62"/>
  <c r="M62" s="1"/>
  <c r="Q64"/>
  <c r="M64" s="1"/>
  <c r="Q66"/>
  <c r="M66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0"/>
  <c r="M50" s="1"/>
  <c r="Q53"/>
  <c r="M53" s="1"/>
  <c r="Q58"/>
  <c r="M58" s="1"/>
  <c r="Q54"/>
  <c r="M54" s="1"/>
  <c r="Q56"/>
  <c r="M56" s="1"/>
  <c r="Q61"/>
  <c r="M61" s="1"/>
  <c r="Q63"/>
  <c r="M63" s="1"/>
  <c r="B77" i="37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4"/>
  <c r="E63"/>
  <c r="E68"/>
  <c r="E65"/>
  <c r="E61"/>
  <c r="E67"/>
  <c r="E62"/>
  <c r="E66"/>
  <c r="E60"/>
  <c r="M2" i="38" l="1"/>
  <c r="B12" s="1"/>
  <c r="E72" i="37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8"/>
  <c r="K38" l="1"/>
  <c r="K12"/>
  <c r="C28" i="37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H36"/>
  <c r="G34"/>
  <c r="H35"/>
  <c r="I36"/>
  <c r="G35"/>
  <c r="F8"/>
  <c r="E8"/>
  <c r="D8"/>
  <c r="C8"/>
  <c r="K7"/>
  <c r="K41" l="1"/>
  <c r="C90"/>
  <c r="T78"/>
  <c r="T90" s="1"/>
  <c r="G56" a="1"/>
  <c r="G55" a="1"/>
  <c r="G54" a="1"/>
  <c r="G44" a="1"/>
  <c r="G43" a="1"/>
  <c r="G42" a="1"/>
  <c r="G47" a="1"/>
  <c r="G46" a="1"/>
  <c r="G45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I45"/>
  <c r="G45"/>
  <c r="H45"/>
  <c r="H47"/>
  <c r="I47"/>
  <c r="G47"/>
  <c r="I42"/>
  <c r="G42"/>
  <c r="H42"/>
  <c r="H44"/>
  <c r="I44"/>
  <c r="G44"/>
  <c r="H55"/>
  <c r="I55"/>
  <c r="G55"/>
  <c r="F55" s="1"/>
  <c r="I48"/>
  <c r="D48" s="1"/>
  <c r="G48"/>
  <c r="F48" s="1"/>
  <c r="H48"/>
  <c r="E48" s="1"/>
  <c r="I50"/>
  <c r="D50" s="1"/>
  <c r="G50"/>
  <c r="F50" s="1"/>
  <c r="H50"/>
  <c r="E50" s="1"/>
  <c r="H46"/>
  <c r="I46"/>
  <c r="D46" s="1"/>
  <c r="G46"/>
  <c r="F46" s="1"/>
  <c r="H43"/>
  <c r="I43"/>
  <c r="G43"/>
  <c r="F43" s="1"/>
  <c r="I54"/>
  <c r="G54"/>
  <c r="F54" s="1"/>
  <c r="H54"/>
  <c r="H56"/>
  <c r="E56" s="1"/>
  <c r="I56"/>
  <c r="G56"/>
  <c r="F56" s="1"/>
  <c r="B6"/>
  <c r="K48"/>
  <c r="K50"/>
  <c r="D56" l="1"/>
  <c r="E54"/>
  <c r="D54"/>
  <c r="D49"/>
  <c r="F52"/>
  <c r="E43"/>
  <c r="J42"/>
  <c r="E55"/>
  <c r="J54"/>
  <c r="D44"/>
  <c r="E42"/>
  <c r="D42"/>
  <c r="D47"/>
  <c r="E45"/>
  <c r="D45"/>
  <c r="E46"/>
  <c r="J45"/>
  <c r="E49"/>
  <c r="J48"/>
  <c r="D43"/>
  <c r="D52" s="1"/>
  <c r="D55"/>
  <c r="F44"/>
  <c r="E44"/>
  <c r="F42"/>
  <c r="F47"/>
  <c r="E47"/>
  <c r="F45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3"/>
  <c r="K46"/>
  <c r="K44"/>
  <c r="K39"/>
  <c r="K49"/>
  <c r="K45"/>
  <c r="K8"/>
  <c r="K42"/>
  <c r="K47"/>
  <c r="K9"/>
  <c r="K5"/>
  <c r="K10"/>
  <c r="E53" l="1"/>
  <c r="E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V87"/>
  <c r="F87" s="1"/>
  <c r="H87" s="1"/>
  <c r="W87"/>
  <c r="U87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F51"/>
  <c r="F53"/>
  <c r="E52"/>
  <c r="D51"/>
  <c r="D53"/>
  <c r="G4"/>
  <c r="K3"/>
  <c r="F3"/>
  <c r="E3"/>
  <c r="D3"/>
  <c r="Q2"/>
  <c r="P2"/>
  <c r="O2"/>
  <c r="B88" i="36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37" l="1"/>
  <c r="G6"/>
  <c r="G5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W72"/>
  <c r="U72"/>
  <c r="X84"/>
  <c r="X61"/>
  <c r="X62"/>
  <c r="X63"/>
  <c r="X67"/>
  <c r="X91"/>
  <c r="X85"/>
  <c r="X86"/>
  <c r="X60"/>
  <c r="X64"/>
  <c r="X65"/>
  <c r="X66"/>
  <c r="X68"/>
  <c r="X87"/>
  <c r="X88"/>
  <c r="X89"/>
  <c r="X90"/>
  <c r="X92"/>
  <c r="H4"/>
  <c r="U58" i="36"/>
  <c r="U70" s="1"/>
  <c r="U82" s="1"/>
  <c r="B47"/>
  <c r="G89" i="37"/>
  <c r="G86"/>
  <c r="G84"/>
  <c r="G60"/>
  <c r="G91"/>
  <c r="G61"/>
  <c r="G66"/>
  <c r="G90"/>
  <c r="G62"/>
  <c r="G64"/>
  <c r="G88"/>
  <c r="G67"/>
  <c r="G68"/>
  <c r="G92"/>
  <c r="G87"/>
  <c r="G63"/>
  <c r="G85"/>
  <c r="G65"/>
  <c r="F81" l="1"/>
  <c r="I89"/>
  <c r="I66"/>
  <c r="I64"/>
  <c r="I86"/>
  <c r="I91"/>
  <c r="I63"/>
  <c r="I61"/>
  <c r="I92"/>
  <c r="I87"/>
  <c r="I90"/>
  <c r="I88"/>
  <c r="I68"/>
  <c r="I65"/>
  <c r="I60"/>
  <c r="I85"/>
  <c r="I67"/>
  <c r="I62"/>
  <c r="I84"/>
  <c r="X72"/>
  <c r="X73"/>
  <c r="X74"/>
  <c r="X75"/>
  <c r="X79"/>
  <c r="X80"/>
  <c r="H6"/>
  <c r="H5"/>
  <c r="I4"/>
  <c r="X76"/>
  <c r="X77"/>
  <c r="X78"/>
  <c r="G7"/>
  <c r="O65" s="1"/>
  <c r="B76" i="36"/>
  <c r="B50"/>
  <c r="B46"/>
  <c r="G73" i="37"/>
  <c r="G76"/>
  <c r="G77"/>
  <c r="G74"/>
  <c r="G80"/>
  <c r="G72"/>
  <c r="G79"/>
  <c r="G75"/>
  <c r="G78"/>
  <c r="I93" l="1"/>
  <c r="I69"/>
  <c r="I77"/>
  <c r="I79"/>
  <c r="I74"/>
  <c r="I72"/>
  <c r="I78"/>
  <c r="I76"/>
  <c r="I80"/>
  <c r="I75"/>
  <c r="I73"/>
  <c r="I6"/>
  <c r="I5"/>
  <c r="O9"/>
  <c r="O3"/>
  <c r="O5"/>
  <c r="O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7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36"/>
  <c r="B49"/>
  <c r="B79"/>
  <c r="B53"/>
  <c r="B45"/>
  <c r="I81" i="37" l="1"/>
  <c r="P3"/>
  <c r="P5"/>
  <c r="P9"/>
  <c r="P16"/>
  <c r="P4"/>
  <c r="P6"/>
  <c r="P7"/>
  <c r="P12"/>
  <c r="I7"/>
  <c r="Q65" s="1"/>
  <c r="P21"/>
  <c r="P23"/>
  <c r="P25"/>
  <c r="P27"/>
  <c r="P29"/>
  <c r="P31"/>
  <c r="P33"/>
  <c r="P35"/>
  <c r="P38"/>
  <c r="P13"/>
  <c r="P18"/>
  <c r="P20"/>
  <c r="P40"/>
  <c r="P41"/>
  <c r="P43"/>
  <c r="P45"/>
  <c r="P47"/>
  <c r="P49"/>
  <c r="P54"/>
  <c r="P56"/>
  <c r="P51"/>
  <c r="P57"/>
  <c r="P59"/>
  <c r="P61"/>
  <c r="P63"/>
  <c r="P65"/>
  <c r="M65" s="1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2"/>
  <c r="P55"/>
  <c r="P50"/>
  <c r="P53"/>
  <c r="P58"/>
  <c r="P60"/>
  <c r="P62"/>
  <c r="P64"/>
  <c r="B74" i="36"/>
  <c r="B48"/>
  <c r="B78"/>
  <c r="B52"/>
  <c r="Q4" i="37" l="1"/>
  <c r="M4" s="1"/>
  <c r="Q8"/>
  <c r="M8" s="1"/>
  <c r="Q14"/>
  <c r="M14" s="1"/>
  <c r="Q37"/>
  <c r="M37" s="1"/>
  <c r="Q16"/>
  <c r="M16" s="1"/>
  <c r="Q23"/>
  <c r="M23" s="1"/>
  <c r="Q27"/>
  <c r="M27" s="1"/>
  <c r="Q31"/>
  <c r="M31" s="1"/>
  <c r="Q35"/>
  <c r="M35" s="1"/>
  <c r="Q40"/>
  <c r="M40" s="1"/>
  <c r="Q44"/>
  <c r="M44" s="1"/>
  <c r="Q48"/>
  <c r="M48" s="1"/>
  <c r="Q53"/>
  <c r="M53" s="1"/>
  <c r="Q52"/>
  <c r="M52" s="1"/>
  <c r="Q60"/>
  <c r="M60" s="1"/>
  <c r="Q64"/>
  <c r="M64" s="1"/>
  <c r="Q3"/>
  <c r="M3" s="1"/>
  <c r="Q5"/>
  <c r="M5" s="1"/>
  <c r="Q6"/>
  <c r="M6" s="1"/>
  <c r="Q11"/>
  <c r="M11" s="1"/>
  <c r="Q19"/>
  <c r="M19" s="1"/>
  <c r="Q12"/>
  <c r="M12" s="1"/>
  <c r="Q21"/>
  <c r="M21" s="1"/>
  <c r="Q25"/>
  <c r="M25" s="1"/>
  <c r="Q29"/>
  <c r="M29" s="1"/>
  <c r="Q33"/>
  <c r="M33" s="1"/>
  <c r="Q38"/>
  <c r="M38" s="1"/>
  <c r="Q42"/>
  <c r="M42" s="1"/>
  <c r="Q46"/>
  <c r="M46" s="1"/>
  <c r="Q50"/>
  <c r="M50" s="1"/>
  <c r="Q58"/>
  <c r="M58" s="1"/>
  <c r="Q55"/>
  <c r="M55" s="1"/>
  <c r="Q62"/>
  <c r="M62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36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4"/>
  <c r="E66"/>
  <c r="E61"/>
  <c r="E62"/>
  <c r="E68"/>
  <c r="E60"/>
  <c r="E67"/>
  <c r="E63"/>
  <c r="E65"/>
  <c r="M2" i="37" l="1"/>
  <c r="B12" s="1"/>
  <c r="E72" i="36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7"/>
  <c r="K38" l="1"/>
  <c r="K12"/>
  <c r="C84" i="36"/>
  <c r="T72"/>
  <c r="T84" s="1"/>
  <c r="C28"/>
  <c r="C37" s="1"/>
  <c r="C48" s="1"/>
  <c r="C66" s="1"/>
  <c r="C18"/>
  <c r="C21" s="1"/>
  <c r="J37"/>
  <c r="J34"/>
  <c r="J31"/>
  <c r="C87"/>
  <c r="T75"/>
  <c r="T87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D49" s="1"/>
  <c r="G49"/>
  <c r="F49" s="1"/>
  <c r="H43"/>
  <c r="I43"/>
  <c r="G43"/>
  <c r="F43" s="1"/>
  <c r="I54"/>
  <c r="G54"/>
  <c r="H54"/>
  <c r="H56"/>
  <c r="I56"/>
  <c r="G56"/>
  <c r="H46"/>
  <c r="I46"/>
  <c r="D46" s="1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5"/>
  <c r="K48"/>
  <c r="K47"/>
  <c r="K50"/>
  <c r="F44" l="1"/>
  <c r="E44"/>
  <c r="F42"/>
  <c r="D53"/>
  <c r="E51"/>
  <c r="D51"/>
  <c r="E55"/>
  <c r="J54"/>
  <c r="F52"/>
  <c r="E43"/>
  <c r="J42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9"/>
  <c r="K39"/>
  <c r="K46"/>
  <c r="K44"/>
  <c r="K5"/>
  <c r="K8"/>
  <c r="K9"/>
  <c r="K10"/>
  <c r="K43"/>
  <c r="K42"/>
  <c r="V86" l="1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35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36" l="1"/>
  <c r="F69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V75"/>
  <c r="F75" s="1"/>
  <c r="H75" s="1"/>
  <c r="W75"/>
  <c r="U75"/>
  <c r="V74"/>
  <c r="F74" s="1"/>
  <c r="H74" s="1"/>
  <c r="W74"/>
  <c r="U74"/>
  <c r="W73"/>
  <c r="U73"/>
  <c r="V73"/>
  <c r="F73" s="1"/>
  <c r="H73" s="1"/>
  <c r="V72"/>
  <c r="F72" s="1"/>
  <c r="H72" s="1"/>
  <c r="W72"/>
  <c r="U72"/>
  <c r="X84"/>
  <c r="H4"/>
  <c r="U58" i="35"/>
  <c r="U70" s="1"/>
  <c r="U82" s="1"/>
  <c r="B47"/>
  <c r="G87" i="36"/>
  <c r="G65"/>
  <c r="G66"/>
  <c r="G61"/>
  <c r="G67"/>
  <c r="G85"/>
  <c r="G62"/>
  <c r="G64"/>
  <c r="G68"/>
  <c r="G92"/>
  <c r="G89"/>
  <c r="G63"/>
  <c r="G84"/>
  <c r="G90"/>
  <c r="G88"/>
  <c r="G91"/>
  <c r="G86"/>
  <c r="G60"/>
  <c r="F81" l="1"/>
  <c r="I84"/>
  <c r="I92"/>
  <c r="I89"/>
  <c r="I87"/>
  <c r="I63"/>
  <c r="I61"/>
  <c r="I85"/>
  <c r="I68"/>
  <c r="I65"/>
  <c r="I60"/>
  <c r="I90"/>
  <c r="I88"/>
  <c r="I67"/>
  <c r="I62"/>
  <c r="I86"/>
  <c r="I91"/>
  <c r="I66"/>
  <c r="I64"/>
  <c r="H6"/>
  <c r="H5"/>
  <c r="I4"/>
  <c r="X72"/>
  <c r="X75"/>
  <c r="X76"/>
  <c r="X77"/>
  <c r="X78"/>
  <c r="X73"/>
  <c r="X74"/>
  <c r="X79"/>
  <c r="X80"/>
  <c r="G7"/>
  <c r="O65" s="1"/>
  <c r="B76" i="35"/>
  <c r="B50"/>
  <c r="B46"/>
  <c r="G72" i="36"/>
  <c r="G74"/>
  <c r="G78"/>
  <c r="G80"/>
  <c r="G75"/>
  <c r="G73"/>
  <c r="G76"/>
  <c r="G79"/>
  <c r="G77"/>
  <c r="I93" l="1"/>
  <c r="I69"/>
  <c r="O3"/>
  <c r="O5"/>
  <c r="I79"/>
  <c r="I73"/>
  <c r="I77"/>
  <c r="I75"/>
  <c r="I80"/>
  <c r="I74"/>
  <c r="I78"/>
  <c r="I76"/>
  <c r="I72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35"/>
  <c r="B49"/>
  <c r="B79"/>
  <c r="B53"/>
  <c r="B45"/>
  <c r="I81" i="36" l="1"/>
  <c r="P4"/>
  <c r="P7"/>
  <c r="P9"/>
  <c r="P12"/>
  <c r="P16"/>
  <c r="P21"/>
  <c r="P23"/>
  <c r="P25"/>
  <c r="P27"/>
  <c r="P29"/>
  <c r="P31"/>
  <c r="P33"/>
  <c r="P35"/>
  <c r="P38"/>
  <c r="P13"/>
  <c r="P18"/>
  <c r="P20"/>
  <c r="P41"/>
  <c r="P40"/>
  <c r="P43"/>
  <c r="P45"/>
  <c r="P47"/>
  <c r="P49"/>
  <c r="P52"/>
  <c r="P55"/>
  <c r="P51"/>
  <c r="P57"/>
  <c r="P59"/>
  <c r="P61"/>
  <c r="P63"/>
  <c r="P65"/>
  <c r="I7"/>
  <c r="Q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0"/>
  <c r="P54"/>
  <c r="P56"/>
  <c r="P53"/>
  <c r="P58"/>
  <c r="P60"/>
  <c r="P62"/>
  <c r="P64"/>
  <c r="B74" i="35"/>
  <c r="B48"/>
  <c r="B78"/>
  <c r="B52"/>
  <c r="Q3" i="36" l="1"/>
  <c r="M3"/>
  <c r="Q5"/>
  <c r="M5" s="1"/>
  <c r="M65"/>
  <c r="Q4"/>
  <c r="M4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35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3"/>
  <c r="E67"/>
  <c r="E62"/>
  <c r="E66"/>
  <c r="E61"/>
  <c r="E65"/>
  <c r="E68"/>
  <c r="E60"/>
  <c r="E64"/>
  <c r="M2" i="36" l="1"/>
  <c r="B12" s="1"/>
  <c r="E72" i="35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6"/>
  <c r="K38" l="1"/>
  <c r="K12"/>
  <c r="C28" i="35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9"/>
  <c r="G38"/>
  <c r="H39"/>
  <c r="I37"/>
  <c r="C78"/>
  <c r="T66"/>
  <c r="I34"/>
  <c r="G36"/>
  <c r="H34"/>
  <c r="I35"/>
  <c r="G35"/>
  <c r="G34"/>
  <c r="H35"/>
  <c r="I36"/>
  <c r="H36"/>
  <c r="F8"/>
  <c r="E8"/>
  <c r="D8"/>
  <c r="C8"/>
  <c r="K7"/>
  <c r="K41" l="1"/>
  <c r="C90"/>
  <c r="T78"/>
  <c r="T90" s="1"/>
  <c r="G56" a="1"/>
  <c r="G55" a="1"/>
  <c r="G54" a="1"/>
  <c r="G44" a="1"/>
  <c r="G43" a="1"/>
  <c r="G42" a="1"/>
  <c r="G47" a="1"/>
  <c r="G46" a="1"/>
  <c r="G45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I45"/>
  <c r="G45"/>
  <c r="H45"/>
  <c r="H47"/>
  <c r="I47"/>
  <c r="G47"/>
  <c r="I42"/>
  <c r="G42"/>
  <c r="H42"/>
  <c r="H44"/>
  <c r="I44"/>
  <c r="G44"/>
  <c r="H55"/>
  <c r="I55"/>
  <c r="G55"/>
  <c r="F55" s="1"/>
  <c r="I48"/>
  <c r="D48" s="1"/>
  <c r="G48"/>
  <c r="F48" s="1"/>
  <c r="H48"/>
  <c r="E48" s="1"/>
  <c r="I50"/>
  <c r="D50" s="1"/>
  <c r="G50"/>
  <c r="F50" s="1"/>
  <c r="H50"/>
  <c r="E50" s="1"/>
  <c r="H46"/>
  <c r="I46"/>
  <c r="D46" s="1"/>
  <c r="G46"/>
  <c r="F46" s="1"/>
  <c r="H43"/>
  <c r="I43"/>
  <c r="G43"/>
  <c r="F43" s="1"/>
  <c r="I54"/>
  <c r="G54"/>
  <c r="F54" s="1"/>
  <c r="H54"/>
  <c r="H56"/>
  <c r="E56" s="1"/>
  <c r="I56"/>
  <c r="G56"/>
  <c r="F56" s="1"/>
  <c r="B6"/>
  <c r="K48"/>
  <c r="K50"/>
  <c r="D56" l="1"/>
  <c r="E54"/>
  <c r="D49"/>
  <c r="D54"/>
  <c r="F52"/>
  <c r="E43"/>
  <c r="J42"/>
  <c r="E55"/>
  <c r="J54"/>
  <c r="D44"/>
  <c r="E42"/>
  <c r="D42"/>
  <c r="D47"/>
  <c r="E45"/>
  <c r="D45"/>
  <c r="E46"/>
  <c r="J45"/>
  <c r="E49"/>
  <c r="J48"/>
  <c r="D43"/>
  <c r="D52" s="1"/>
  <c r="D55"/>
  <c r="F44"/>
  <c r="E44"/>
  <c r="F42"/>
  <c r="F47"/>
  <c r="E47"/>
  <c r="F45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7"/>
  <c r="K42"/>
  <c r="K46"/>
  <c r="K10"/>
  <c r="K39"/>
  <c r="K9"/>
  <c r="K45"/>
  <c r="K8"/>
  <c r="K5"/>
  <c r="K44"/>
  <c r="K49"/>
  <c r="K43"/>
  <c r="E53" l="1"/>
  <c r="E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V87"/>
  <c r="F87" s="1"/>
  <c r="H87" s="1"/>
  <c r="U87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F51"/>
  <c r="F53"/>
  <c r="E52"/>
  <c r="D51"/>
  <c r="D53"/>
  <c r="G4"/>
  <c r="K3"/>
  <c r="F3"/>
  <c r="E3"/>
  <c r="P2" s="1"/>
  <c r="D3"/>
  <c r="Q2"/>
  <c r="O2"/>
  <c r="F15" i="33"/>
  <c r="E15"/>
  <c r="D15"/>
  <c r="B88" i="34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35" l="1"/>
  <c r="F93"/>
  <c r="G6"/>
  <c r="G5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61"/>
  <c r="X62"/>
  <c r="X63"/>
  <c r="X67"/>
  <c r="X91"/>
  <c r="X85"/>
  <c r="X86"/>
  <c r="X60"/>
  <c r="X64"/>
  <c r="X65"/>
  <c r="X66"/>
  <c r="X68"/>
  <c r="X87"/>
  <c r="X88"/>
  <c r="X89"/>
  <c r="X90"/>
  <c r="X92"/>
  <c r="H4"/>
  <c r="U58" i="34"/>
  <c r="U70" s="1"/>
  <c r="U82" s="1"/>
  <c r="B47"/>
  <c r="G65" i="35"/>
  <c r="G90"/>
  <c r="G92"/>
  <c r="G88"/>
  <c r="G87"/>
  <c r="G66"/>
  <c r="G60"/>
  <c r="G63"/>
  <c r="G67"/>
  <c r="G85"/>
  <c r="G89"/>
  <c r="G84"/>
  <c r="G91"/>
  <c r="G61"/>
  <c r="G62"/>
  <c r="G86"/>
  <c r="G68"/>
  <c r="G64"/>
  <c r="I88" l="1"/>
  <c r="I65"/>
  <c r="I92"/>
  <c r="I89"/>
  <c r="I87"/>
  <c r="I66"/>
  <c r="I64"/>
  <c r="I86"/>
  <c r="I91"/>
  <c r="I63"/>
  <c r="I61"/>
  <c r="I90"/>
  <c r="I68"/>
  <c r="I60"/>
  <c r="I85"/>
  <c r="I67"/>
  <c r="I62"/>
  <c r="I84"/>
  <c r="H6"/>
  <c r="H5"/>
  <c r="I4"/>
  <c r="X72"/>
  <c r="X73"/>
  <c r="X74"/>
  <c r="X75"/>
  <c r="X79"/>
  <c r="X80"/>
  <c r="X76"/>
  <c r="X77"/>
  <c r="X78"/>
  <c r="G7"/>
  <c r="O65" s="1"/>
  <c r="B76" i="34"/>
  <c r="B50"/>
  <c r="B46"/>
  <c r="G77" i="35"/>
  <c r="G74"/>
  <c r="G78"/>
  <c r="G80"/>
  <c r="G76"/>
  <c r="G72"/>
  <c r="G79"/>
  <c r="G73"/>
  <c r="G75"/>
  <c r="I93" l="1"/>
  <c r="I69"/>
  <c r="I77"/>
  <c r="I80"/>
  <c r="I75"/>
  <c r="I73"/>
  <c r="I78"/>
  <c r="I76"/>
  <c r="I79"/>
  <c r="I74"/>
  <c r="I72"/>
  <c r="I6"/>
  <c r="I5"/>
  <c r="O4"/>
  <c r="O7"/>
  <c r="O3"/>
  <c r="O5"/>
  <c r="O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5" s="1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34"/>
  <c r="B49"/>
  <c r="B79"/>
  <c r="B53"/>
  <c r="B45"/>
  <c r="I81" i="35" l="1"/>
  <c r="P3"/>
  <c r="P5"/>
  <c r="P4"/>
  <c r="P6"/>
  <c r="P7"/>
  <c r="I7"/>
  <c r="Q66" s="1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1"/>
  <c r="P54"/>
  <c r="P56"/>
  <c r="P53"/>
  <c r="P58"/>
  <c r="P60"/>
  <c r="P62"/>
  <c r="P64"/>
  <c r="P66"/>
  <c r="M66" s="1"/>
  <c r="P9"/>
  <c r="P12"/>
  <c r="P16"/>
  <c r="P21"/>
  <c r="P23"/>
  <c r="P25"/>
  <c r="P27"/>
  <c r="P29"/>
  <c r="P31"/>
  <c r="P33"/>
  <c r="P35"/>
  <c r="P38"/>
  <c r="P13"/>
  <c r="P18"/>
  <c r="P20"/>
  <c r="P40"/>
  <c r="P41"/>
  <c r="P43"/>
  <c r="P45"/>
  <c r="P47"/>
  <c r="P49"/>
  <c r="P52"/>
  <c r="P55"/>
  <c r="P50"/>
  <c r="P57"/>
  <c r="P59"/>
  <c r="P61"/>
  <c r="P63"/>
  <c r="B74" i="34"/>
  <c r="B48"/>
  <c r="B78"/>
  <c r="B52"/>
  <c r="Q4" i="35" l="1"/>
  <c r="M4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7" i="34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8"/>
  <c r="E65"/>
  <c r="E61"/>
  <c r="E67"/>
  <c r="E66"/>
  <c r="E63"/>
  <c r="E64"/>
  <c r="E62"/>
  <c r="E60"/>
  <c r="M2" i="35" l="1"/>
  <c r="B12" s="1"/>
  <c r="E72" i="34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B89"/>
  <c r="S60"/>
  <c r="S72" s="1"/>
  <c r="S84" s="1"/>
  <c r="B90"/>
  <c r="S61"/>
  <c r="S73" s="1"/>
  <c r="S85" s="1"/>
  <c r="B92"/>
  <c r="S63"/>
  <c r="S75" s="1"/>
  <c r="S87" s="1"/>
  <c r="C75"/>
  <c r="T63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5"/>
  <c r="K38" l="1"/>
  <c r="K12"/>
  <c r="C87" i="34"/>
  <c r="T75"/>
  <c r="T87" s="1"/>
  <c r="C28"/>
  <c r="C37" s="1"/>
  <c r="C48" s="1"/>
  <c r="C66" s="1"/>
  <c r="C18"/>
  <c r="C21" s="1"/>
  <c r="J37"/>
  <c r="J34"/>
  <c r="J31"/>
  <c r="C84"/>
  <c r="T72"/>
  <c r="T84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4" a="1"/>
  <c r="G55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5"/>
  <c r="G55"/>
  <c r="H55"/>
  <c r="H56"/>
  <c r="I56"/>
  <c r="D56" s="1"/>
  <c r="G56"/>
  <c r="H46"/>
  <c r="I46"/>
  <c r="G46"/>
  <c r="F46" s="1"/>
  <c r="I48"/>
  <c r="G48"/>
  <c r="F48" s="1"/>
  <c r="H48"/>
  <c r="E48" s="1"/>
  <c r="I50"/>
  <c r="D50" s="1"/>
  <c r="G50"/>
  <c r="F50" s="1"/>
  <c r="H50"/>
  <c r="E50" s="1"/>
  <c r="I42"/>
  <c r="D42" s="1"/>
  <c r="G42"/>
  <c r="F42" s="1"/>
  <c r="H42"/>
  <c r="E42" s="1"/>
  <c r="H44"/>
  <c r="E44" s="1"/>
  <c r="I44"/>
  <c r="D44" s="1"/>
  <c r="G44"/>
  <c r="F44" s="1"/>
  <c r="H54"/>
  <c r="I54"/>
  <c r="D54" s="1"/>
  <c r="G54"/>
  <c r="F54" s="1"/>
  <c r="I45"/>
  <c r="D45" s="1"/>
  <c r="G45"/>
  <c r="H45"/>
  <c r="E45" s="1"/>
  <c r="H47"/>
  <c r="E47" s="1"/>
  <c r="I47"/>
  <c r="D47" s="1"/>
  <c r="G47"/>
  <c r="F47" s="1"/>
  <c r="B6"/>
  <c r="K50"/>
  <c r="K47"/>
  <c r="K42"/>
  <c r="K44"/>
  <c r="F45" l="1"/>
  <c r="E54"/>
  <c r="D48"/>
  <c r="D46"/>
  <c r="F56"/>
  <c r="E56"/>
  <c r="D53"/>
  <c r="D49"/>
  <c r="E51"/>
  <c r="F52"/>
  <c r="E43"/>
  <c r="J42"/>
  <c r="D51"/>
  <c r="F55"/>
  <c r="F53"/>
  <c r="F51"/>
  <c r="E46"/>
  <c r="J45"/>
  <c r="J54"/>
  <c r="E55"/>
  <c r="E49"/>
  <c r="J48"/>
  <c r="E53"/>
  <c r="D55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8"/>
  <c r="K48"/>
  <c r="K9"/>
  <c r="K45"/>
  <c r="K39"/>
  <c r="K5"/>
  <c r="K49"/>
  <c r="K46"/>
  <c r="K10"/>
  <c r="K43"/>
  <c r="W92" l="1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U87"/>
  <c r="V87"/>
  <c r="F87" s="1"/>
  <c r="H87" s="1"/>
  <c r="V86"/>
  <c r="F86" s="1"/>
  <c r="H86" s="1"/>
  <c r="W86"/>
  <c r="U86"/>
  <c r="W85"/>
  <c r="U85"/>
  <c r="V85"/>
  <c r="F85" s="1"/>
  <c r="H85" s="1"/>
  <c r="W84"/>
  <c r="U84"/>
  <c r="V84"/>
  <c r="F84" s="1"/>
  <c r="H84" s="1"/>
  <c r="F93" s="1"/>
  <c r="J5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E52"/>
  <c r="G4"/>
  <c r="K3"/>
  <c r="F3"/>
  <c r="Q2" s="1"/>
  <c r="E3"/>
  <c r="D3"/>
  <c r="O2" s="1"/>
  <c r="P2"/>
  <c r="B88" i="33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G6" i="34" l="1"/>
  <c r="G5"/>
  <c r="X61"/>
  <c r="X62"/>
  <c r="X63"/>
  <c r="X67"/>
  <c r="X85"/>
  <c r="X86"/>
  <c r="X87"/>
  <c r="X91"/>
  <c r="X60"/>
  <c r="X64"/>
  <c r="X65"/>
  <c r="X66"/>
  <c r="X68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U72"/>
  <c r="V72"/>
  <c r="F72" s="1"/>
  <c r="H72" s="1"/>
  <c r="F81" s="1"/>
  <c r="X84"/>
  <c r="X88"/>
  <c r="X89"/>
  <c r="X90"/>
  <c r="X92"/>
  <c r="H4"/>
  <c r="U58" i="33"/>
  <c r="U70" s="1"/>
  <c r="U82" s="1"/>
  <c r="B47"/>
  <c r="G63" i="34"/>
  <c r="G62"/>
  <c r="G84"/>
  <c r="G60"/>
  <c r="G86"/>
  <c r="G61"/>
  <c r="G68"/>
  <c r="G90"/>
  <c r="G64"/>
  <c r="G89"/>
  <c r="G85"/>
  <c r="G92"/>
  <c r="G65"/>
  <c r="G67"/>
  <c r="G88"/>
  <c r="G66"/>
  <c r="G87"/>
  <c r="G91"/>
  <c r="I92" l="1"/>
  <c r="I84"/>
  <c r="I68"/>
  <c r="I65"/>
  <c r="I60"/>
  <c r="I87"/>
  <c r="I85"/>
  <c r="I63"/>
  <c r="I61"/>
  <c r="I89"/>
  <c r="I90"/>
  <c r="I88"/>
  <c r="I66"/>
  <c r="I64"/>
  <c r="I91"/>
  <c r="I86"/>
  <c r="I67"/>
  <c r="I62"/>
  <c r="X76"/>
  <c r="X77"/>
  <c r="X78"/>
  <c r="X72"/>
  <c r="H6"/>
  <c r="H5"/>
  <c r="I4"/>
  <c r="X73"/>
  <c r="X74"/>
  <c r="X75"/>
  <c r="X79"/>
  <c r="X80"/>
  <c r="G7"/>
  <c r="O65" s="1"/>
  <c r="B76" i="33"/>
  <c r="B50"/>
  <c r="B46"/>
  <c r="G74" i="34"/>
  <c r="G78"/>
  <c r="G75"/>
  <c r="G72"/>
  <c r="G73"/>
  <c r="G79"/>
  <c r="G80"/>
  <c r="G77"/>
  <c r="G76"/>
  <c r="I69" l="1"/>
  <c r="I93"/>
  <c r="O3"/>
  <c r="O5"/>
  <c r="I79"/>
  <c r="I74"/>
  <c r="I78"/>
  <c r="I76"/>
  <c r="I80"/>
  <c r="I75"/>
  <c r="I73"/>
  <c r="I72"/>
  <c r="I77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5"/>
  <c r="O51"/>
  <c r="O57"/>
  <c r="O59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4"/>
  <c r="O50"/>
  <c r="O53"/>
  <c r="O58"/>
  <c r="O56"/>
  <c r="O61"/>
  <c r="O63"/>
  <c r="B75" i="33"/>
  <c r="B49"/>
  <c r="B79"/>
  <c r="B53"/>
  <c r="B45"/>
  <c r="I81" i="34" l="1"/>
  <c r="P4"/>
  <c r="P7"/>
  <c r="P9"/>
  <c r="P12"/>
  <c r="P16"/>
  <c r="P21"/>
  <c r="P23"/>
  <c r="P25"/>
  <c r="P27"/>
  <c r="P29"/>
  <c r="P31"/>
  <c r="P33"/>
  <c r="P35"/>
  <c r="P38"/>
  <c r="P13"/>
  <c r="P18"/>
  <c r="P20"/>
  <c r="P41"/>
  <c r="P40"/>
  <c r="P43"/>
  <c r="P45"/>
  <c r="P47"/>
  <c r="P49"/>
  <c r="P51"/>
  <c r="P52"/>
  <c r="P55"/>
  <c r="P57"/>
  <c r="P59"/>
  <c r="P61"/>
  <c r="P63"/>
  <c r="P65"/>
  <c r="I7"/>
  <c r="Q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0"/>
  <c r="P53"/>
  <c r="P54"/>
  <c r="P56"/>
  <c r="P58"/>
  <c r="P60"/>
  <c r="P62"/>
  <c r="P64"/>
  <c r="B74" i="33"/>
  <c r="B48"/>
  <c r="B78"/>
  <c r="B52"/>
  <c r="Q3" i="34" l="1"/>
  <c r="M3" s="1"/>
  <c r="M65"/>
  <c r="Q5"/>
  <c r="M5" s="1"/>
  <c r="Q4"/>
  <c r="M4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4"/>
  <c r="M54" s="1"/>
  <c r="Q50"/>
  <c r="M50" s="1"/>
  <c r="Q53"/>
  <c r="M53" s="1"/>
  <c r="Q58"/>
  <c r="M58" s="1"/>
  <c r="Q52"/>
  <c r="M52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5"/>
  <c r="M55" s="1"/>
  <c r="Q51"/>
  <c r="M51" s="1"/>
  <c r="Q57"/>
  <c r="M57" s="1"/>
  <c r="Q59"/>
  <c r="M59" s="1"/>
  <c r="Q56"/>
  <c r="M56" s="1"/>
  <c r="Q61"/>
  <c r="M61" s="1"/>
  <c r="Q63"/>
  <c r="M63" s="1"/>
  <c r="B77" i="33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C14"/>
  <c r="C25" s="1"/>
  <c r="C34" s="1"/>
  <c r="C45" s="1"/>
  <c r="C63" s="1"/>
  <c r="E68"/>
  <c r="E63"/>
  <c r="E67"/>
  <c r="E60"/>
  <c r="E66"/>
  <c r="E62"/>
  <c r="E61"/>
  <c r="E64"/>
  <c r="E65"/>
  <c r="M2" i="34" l="1"/>
  <c r="B12" s="1"/>
  <c r="E72" i="33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4"/>
  <c r="K38" l="1"/>
  <c r="K12"/>
  <c r="C28" i="33"/>
  <c r="C37" s="1"/>
  <c r="C48" s="1"/>
  <c r="C66" s="1"/>
  <c r="C18"/>
  <c r="C21" s="1"/>
  <c r="J37"/>
  <c r="J34"/>
  <c r="J31"/>
  <c r="C84"/>
  <c r="T72"/>
  <c r="T84" s="1"/>
  <c r="C87"/>
  <c r="T75"/>
  <c r="T87" s="1"/>
  <c r="I31" l="1"/>
  <c r="H31"/>
  <c r="I32"/>
  <c r="G33"/>
  <c r="H32"/>
  <c r="G32"/>
  <c r="H33"/>
  <c r="G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D43" s="1"/>
  <c r="G43"/>
  <c r="F43" s="1"/>
  <c r="I54"/>
  <c r="G54"/>
  <c r="H54"/>
  <c r="H56"/>
  <c r="I56"/>
  <c r="G56"/>
  <c r="H49"/>
  <c r="I49"/>
  <c r="G49"/>
  <c r="F49" s="1"/>
  <c r="H46"/>
  <c r="I46"/>
  <c r="D46" s="1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4"/>
  <c r="K47"/>
  <c r="K42"/>
  <c r="K45"/>
  <c r="F50" l="1"/>
  <c r="E48"/>
  <c r="E51" s="1"/>
  <c r="D48"/>
  <c r="E55"/>
  <c r="J54"/>
  <c r="E49"/>
  <c r="J48"/>
  <c r="D53"/>
  <c r="D51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39"/>
  <c r="K50"/>
  <c r="K48"/>
  <c r="K8"/>
  <c r="K9"/>
  <c r="K46"/>
  <c r="K43"/>
  <c r="K49"/>
  <c r="K5"/>
  <c r="K10"/>
  <c r="E52" l="1"/>
  <c r="V89"/>
  <c r="F89" s="1"/>
  <c r="H89" s="1"/>
  <c r="W89"/>
  <c r="U89"/>
  <c r="W88"/>
  <c r="U88"/>
  <c r="V88"/>
  <c r="F88" s="1"/>
  <c r="H88" s="1"/>
  <c r="V87"/>
  <c r="F87" s="1"/>
  <c r="H87" s="1"/>
  <c r="W87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V67"/>
  <c r="F67" s="1"/>
  <c r="H67" s="1"/>
  <c r="U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32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33" l="1"/>
  <c r="F69"/>
  <c r="H6"/>
  <c r="H5"/>
  <c r="X61"/>
  <c r="X62"/>
  <c r="X63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W77"/>
  <c r="U77"/>
  <c r="V77"/>
  <c r="F77" s="1"/>
  <c r="H77" s="1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U72"/>
  <c r="V72"/>
  <c r="F72" s="1"/>
  <c r="H72" s="1"/>
  <c r="F81" s="1"/>
  <c r="W72"/>
  <c r="X84"/>
  <c r="X87"/>
  <c r="X88"/>
  <c r="X89"/>
  <c r="G6"/>
  <c r="G5"/>
  <c r="X60"/>
  <c r="X64"/>
  <c r="X65"/>
  <c r="X66"/>
  <c r="X67"/>
  <c r="X68"/>
  <c r="X91"/>
  <c r="X85"/>
  <c r="X86"/>
  <c r="I4"/>
  <c r="U58" i="32"/>
  <c r="U70" s="1"/>
  <c r="U82" s="1"/>
  <c r="B47"/>
  <c r="G92" i="33"/>
  <c r="G61"/>
  <c r="G63"/>
  <c r="G90"/>
  <c r="G91"/>
  <c r="G66"/>
  <c r="G60"/>
  <c r="G84"/>
  <c r="G86"/>
  <c r="G88"/>
  <c r="G85"/>
  <c r="G67"/>
  <c r="G62"/>
  <c r="G65"/>
  <c r="G87"/>
  <c r="G64"/>
  <c r="G68"/>
  <c r="G89"/>
  <c r="I86" l="1"/>
  <c r="I91"/>
  <c r="I67"/>
  <c r="I65"/>
  <c r="I60"/>
  <c r="I88"/>
  <c r="I84"/>
  <c r="I92"/>
  <c r="I63"/>
  <c r="I61"/>
  <c r="I85"/>
  <c r="I68"/>
  <c r="I66"/>
  <c r="I64"/>
  <c r="I89"/>
  <c r="I87"/>
  <c r="I90"/>
  <c r="I62"/>
  <c r="X76"/>
  <c r="X78"/>
  <c r="I6"/>
  <c r="I5"/>
  <c r="G7"/>
  <c r="O65" s="1"/>
  <c r="X72"/>
  <c r="X73"/>
  <c r="X74"/>
  <c r="X75"/>
  <c r="X77"/>
  <c r="X79"/>
  <c r="X80"/>
  <c r="H7"/>
  <c r="P65" s="1"/>
  <c r="B76" i="32"/>
  <c r="B50"/>
  <c r="B46"/>
  <c r="G77" i="33"/>
  <c r="G80"/>
  <c r="G79"/>
  <c r="G72"/>
  <c r="G75"/>
  <c r="G74"/>
  <c r="G73"/>
  <c r="G78"/>
  <c r="G76"/>
  <c r="I93" l="1"/>
  <c r="I69"/>
  <c r="O3"/>
  <c r="P3"/>
  <c r="O5"/>
  <c r="I79"/>
  <c r="I75"/>
  <c r="I73"/>
  <c r="I76"/>
  <c r="I80"/>
  <c r="I77"/>
  <c r="I74"/>
  <c r="I72"/>
  <c r="I78"/>
  <c r="P10"/>
  <c r="P17"/>
  <c r="P24"/>
  <c r="P28"/>
  <c r="P32"/>
  <c r="P34"/>
  <c r="P36"/>
  <c r="P11"/>
  <c r="P14"/>
  <c r="P19"/>
  <c r="P37"/>
  <c r="P39"/>
  <c r="P42"/>
  <c r="P44"/>
  <c r="P46"/>
  <c r="P48"/>
  <c r="P51"/>
  <c r="P54"/>
  <c r="P56"/>
  <c r="P53"/>
  <c r="P58"/>
  <c r="P60"/>
  <c r="P62"/>
  <c r="P64"/>
  <c r="P6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7"/>
  <c r="Q65" s="1"/>
  <c r="M65" s="1"/>
  <c r="P5"/>
  <c r="P8"/>
  <c r="P15"/>
  <c r="P22"/>
  <c r="P26"/>
  <c r="P30"/>
  <c r="P4"/>
  <c r="P6"/>
  <c r="P7"/>
  <c r="P9"/>
  <c r="P12"/>
  <c r="P16"/>
  <c r="P21"/>
  <c r="P23"/>
  <c r="P25"/>
  <c r="P27"/>
  <c r="P29"/>
  <c r="P31"/>
  <c r="P33"/>
  <c r="P35"/>
  <c r="P38"/>
  <c r="P13"/>
  <c r="P18"/>
  <c r="P20"/>
  <c r="P41"/>
  <c r="P40"/>
  <c r="P43"/>
  <c r="P45"/>
  <c r="P47"/>
  <c r="P49"/>
  <c r="P52"/>
  <c r="P55"/>
  <c r="P50"/>
  <c r="P57"/>
  <c r="P59"/>
  <c r="P61"/>
  <c r="P63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32"/>
  <c r="B49"/>
  <c r="B79"/>
  <c r="B53"/>
  <c r="B45"/>
  <c r="I81" i="33" l="1"/>
  <c r="Q4"/>
  <c r="M4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32"/>
  <c r="B48"/>
  <c r="B78"/>
  <c r="B52"/>
  <c r="M2" i="33" l="1"/>
  <c r="B12" s="1"/>
  <c r="B77" i="32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6"/>
  <c r="E65"/>
  <c r="E60"/>
  <c r="E63"/>
  <c r="E67"/>
  <c r="K4" i="33"/>
  <c r="E61" i="32"/>
  <c r="E62"/>
  <c r="E64"/>
  <c r="E68"/>
  <c r="K38" i="33" l="1"/>
  <c r="K12"/>
  <c r="E72" i="32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89"/>
  <c r="S60"/>
  <c r="S72" s="1"/>
  <c r="S84" s="1"/>
  <c r="B90"/>
  <c r="S61"/>
  <c r="S73" s="1"/>
  <c r="S85" s="1"/>
  <c r="B92"/>
  <c r="S63"/>
  <c r="S75" s="1"/>
  <c r="S87" s="1"/>
  <c r="C75"/>
  <c r="T63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4"/>
  <c r="T72"/>
  <c r="T84" s="1"/>
  <c r="C87"/>
  <c r="T75"/>
  <c r="T87" s="1"/>
  <c r="I31" l="1"/>
  <c r="G32"/>
  <c r="H33"/>
  <c r="G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G42"/>
  <c r="F42" s="1"/>
  <c r="H42"/>
  <c r="H44"/>
  <c r="E44" s="1"/>
  <c r="I44"/>
  <c r="G44"/>
  <c r="F44" s="1"/>
  <c r="H55"/>
  <c r="I55"/>
  <c r="G55"/>
  <c r="I48"/>
  <c r="G48"/>
  <c r="F48" s="1"/>
  <c r="H48"/>
  <c r="I50"/>
  <c r="D50" s="1"/>
  <c r="G50"/>
  <c r="H50"/>
  <c r="E50" s="1"/>
  <c r="I45"/>
  <c r="D45" s="1"/>
  <c r="G45"/>
  <c r="H45"/>
  <c r="E45" s="1"/>
  <c r="H47"/>
  <c r="I47"/>
  <c r="D47" s="1"/>
  <c r="G47"/>
  <c r="B6"/>
  <c r="F55" l="1"/>
  <c r="F50"/>
  <c r="E48"/>
  <c r="D48"/>
  <c r="F47"/>
  <c r="E47"/>
  <c r="E53" s="1"/>
  <c r="F45"/>
  <c r="D44"/>
  <c r="E42"/>
  <c r="D42"/>
  <c r="D51" s="1"/>
  <c r="D46"/>
  <c r="D43"/>
  <c r="E55"/>
  <c r="J54"/>
  <c r="E49"/>
  <c r="J48"/>
  <c r="E51"/>
  <c r="D56"/>
  <c r="E54"/>
  <c r="D54"/>
  <c r="F53"/>
  <c r="F51"/>
  <c r="E46"/>
  <c r="J45"/>
  <c r="F52"/>
  <c r="E43"/>
  <c r="J42"/>
  <c r="D55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39"/>
  <c r="K10"/>
  <c r="K49"/>
  <c r="K46"/>
  <c r="K8"/>
  <c r="K42"/>
  <c r="K48"/>
  <c r="K9"/>
  <c r="K44"/>
  <c r="K47"/>
  <c r="K50"/>
  <c r="K43"/>
  <c r="K5"/>
  <c r="K45"/>
  <c r="D53" l="1"/>
  <c r="E52"/>
  <c r="V89"/>
  <c r="F89" s="1"/>
  <c r="H89" s="1"/>
  <c r="W89"/>
  <c r="U89"/>
  <c r="W88"/>
  <c r="U88"/>
  <c r="V88"/>
  <c r="F88" s="1"/>
  <c r="H88" s="1"/>
  <c r="W87"/>
  <c r="V87"/>
  <c r="F87" s="1"/>
  <c r="H87" s="1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H4" s="1"/>
  <c r="K3"/>
  <c r="F3"/>
  <c r="E3"/>
  <c r="P2" s="1"/>
  <c r="D3"/>
  <c r="Q2"/>
  <c r="O2"/>
  <c r="B88" i="31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32" l="1"/>
  <c r="H6"/>
  <c r="H5"/>
  <c r="I4"/>
  <c r="X61"/>
  <c r="X62"/>
  <c r="X63"/>
  <c r="X67"/>
  <c r="X90"/>
  <c r="X92"/>
  <c r="W80"/>
  <c r="U80"/>
  <c r="V80"/>
  <c r="F80" s="1"/>
  <c r="H80" s="1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U72"/>
  <c r="X84"/>
  <c r="X87"/>
  <c r="X88"/>
  <c r="X89"/>
  <c r="G6"/>
  <c r="G5"/>
  <c r="X60"/>
  <c r="X64"/>
  <c r="X65"/>
  <c r="X66"/>
  <c r="X68"/>
  <c r="X91"/>
  <c r="X85"/>
  <c r="X86"/>
  <c r="U58" i="31"/>
  <c r="U70" s="1"/>
  <c r="U82" s="1"/>
  <c r="B47"/>
  <c r="G67" i="32"/>
  <c r="G92"/>
  <c r="G87"/>
  <c r="G91"/>
  <c r="G61"/>
  <c r="G89"/>
  <c r="G60"/>
  <c r="G88"/>
  <c r="G85"/>
  <c r="G84"/>
  <c r="G63"/>
  <c r="G68"/>
  <c r="G86"/>
  <c r="G66"/>
  <c r="G65"/>
  <c r="G62"/>
  <c r="G64"/>
  <c r="G90"/>
  <c r="F81" l="1"/>
  <c r="I91"/>
  <c r="I64"/>
  <c r="I85"/>
  <c r="I68"/>
  <c r="I65"/>
  <c r="I60"/>
  <c r="I88"/>
  <c r="I84"/>
  <c r="I92"/>
  <c r="I67"/>
  <c r="I62"/>
  <c r="I86"/>
  <c r="I66"/>
  <c r="I89"/>
  <c r="I87"/>
  <c r="I90"/>
  <c r="I63"/>
  <c r="I61"/>
  <c r="X76"/>
  <c r="X77"/>
  <c r="X78"/>
  <c r="X80"/>
  <c r="I6"/>
  <c r="I5"/>
  <c r="G7"/>
  <c r="O65" s="1"/>
  <c r="X72"/>
  <c r="X73"/>
  <c r="X74"/>
  <c r="X75"/>
  <c r="X79"/>
  <c r="H7"/>
  <c r="P65" s="1"/>
  <c r="B76" i="31"/>
  <c r="B50"/>
  <c r="B46"/>
  <c r="G77" i="32"/>
  <c r="G74"/>
  <c r="G75"/>
  <c r="G79"/>
  <c r="G73"/>
  <c r="G78"/>
  <c r="G80"/>
  <c r="G72"/>
  <c r="G76"/>
  <c r="I93" l="1"/>
  <c r="I69"/>
  <c r="O3"/>
  <c r="O4"/>
  <c r="O5"/>
  <c r="O6"/>
  <c r="O7"/>
  <c r="O13"/>
  <c r="O20"/>
  <c r="O15"/>
  <c r="O9"/>
  <c r="O18"/>
  <c r="O10"/>
  <c r="I75"/>
  <c r="I73"/>
  <c r="I78"/>
  <c r="I76"/>
  <c r="I79"/>
  <c r="I74"/>
  <c r="I72"/>
  <c r="I80"/>
  <c r="I77"/>
  <c r="P4"/>
  <c r="P7"/>
  <c r="P12"/>
  <c r="P21"/>
  <c r="P25"/>
  <c r="P29"/>
  <c r="P33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1"/>
  <c r="P54"/>
  <c r="P56"/>
  <c r="P53"/>
  <c r="P58"/>
  <c r="P60"/>
  <c r="P62"/>
  <c r="P64"/>
  <c r="P6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7"/>
  <c r="Q66" s="1"/>
  <c r="P9"/>
  <c r="P16"/>
  <c r="P23"/>
  <c r="P27"/>
  <c r="P31"/>
  <c r="P35"/>
  <c r="P38"/>
  <c r="P13"/>
  <c r="P18"/>
  <c r="P20"/>
  <c r="P40"/>
  <c r="P39"/>
  <c r="P43"/>
  <c r="P45"/>
  <c r="P47"/>
  <c r="P49"/>
  <c r="P52"/>
  <c r="P55"/>
  <c r="P50"/>
  <c r="P57"/>
  <c r="P59"/>
  <c r="P61"/>
  <c r="P63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31"/>
  <c r="B49"/>
  <c r="B79"/>
  <c r="B53"/>
  <c r="B45"/>
  <c r="I81" i="32" l="1"/>
  <c r="Q3"/>
  <c r="Q5"/>
  <c r="M66"/>
  <c r="M3"/>
  <c r="M5"/>
  <c r="Q4"/>
  <c r="M4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4" i="31"/>
  <c r="B48"/>
  <c r="B78"/>
  <c r="B52"/>
  <c r="M2" i="32" l="1"/>
  <c r="B12" s="1"/>
  <c r="B77" i="31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3"/>
  <c r="E60"/>
  <c r="E64"/>
  <c r="E62"/>
  <c r="E65"/>
  <c r="E68"/>
  <c r="E67"/>
  <c r="K4" i="32"/>
  <c r="E66" i="31"/>
  <c r="E61"/>
  <c r="K38" i="32" l="1"/>
  <c r="K12"/>
  <c r="E72" i="31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4"/>
  <c r="T72"/>
  <c r="T84" s="1"/>
  <c r="C87"/>
  <c r="T75"/>
  <c r="T87" s="1"/>
  <c r="G31" l="1"/>
  <c r="H32"/>
  <c r="G32"/>
  <c r="H33"/>
  <c r="G33"/>
  <c r="I31"/>
  <c r="H31"/>
  <c r="I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G48"/>
  <c r="F48" s="1"/>
  <c r="H48"/>
  <c r="I50"/>
  <c r="D50" s="1"/>
  <c r="G50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H45"/>
  <c r="E45" s="1"/>
  <c r="H47"/>
  <c r="I47"/>
  <c r="D47" s="1"/>
  <c r="G47"/>
  <c r="B6"/>
  <c r="F47" l="1"/>
  <c r="E47"/>
  <c r="F45"/>
  <c r="F50"/>
  <c r="E48"/>
  <c r="E51" s="1"/>
  <c r="D48"/>
  <c r="D46"/>
  <c r="D49"/>
  <c r="F44"/>
  <c r="E44"/>
  <c r="F42"/>
  <c r="F51" s="1"/>
  <c r="D53"/>
  <c r="E55"/>
  <c r="J54"/>
  <c r="F52"/>
  <c r="E43"/>
  <c r="J42"/>
  <c r="D51"/>
  <c r="F56"/>
  <c r="E56"/>
  <c r="F54"/>
  <c r="F53"/>
  <c r="E46"/>
  <c r="J45"/>
  <c r="E49"/>
  <c r="J48"/>
  <c r="D55"/>
  <c r="E53"/>
  <c r="D56"/>
  <c r="E54"/>
  <c r="D54"/>
  <c r="D4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10"/>
  <c r="K49"/>
  <c r="K50"/>
  <c r="K9"/>
  <c r="K39"/>
  <c r="K46"/>
  <c r="K8"/>
  <c r="K43"/>
  <c r="K45"/>
  <c r="K42"/>
  <c r="K48"/>
  <c r="K44"/>
  <c r="K5"/>
  <c r="K47"/>
  <c r="D52" l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E52"/>
  <c r="W68"/>
  <c r="U68"/>
  <c r="V68"/>
  <c r="F68" s="1"/>
  <c r="H68" s="1"/>
  <c r="V67"/>
  <c r="F67" s="1"/>
  <c r="H67" s="1"/>
  <c r="W67"/>
  <c r="U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30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31" l="1"/>
  <c r="F93"/>
  <c r="G6"/>
  <c r="G5"/>
  <c r="X60"/>
  <c r="X64"/>
  <c r="X65"/>
  <c r="X66"/>
  <c r="X67"/>
  <c r="X68"/>
  <c r="X91"/>
  <c r="X85"/>
  <c r="X86"/>
  <c r="X61"/>
  <c r="X62"/>
  <c r="X63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U72"/>
  <c r="X84"/>
  <c r="H4"/>
  <c r="U58" i="30"/>
  <c r="U70" s="1"/>
  <c r="U82" s="1"/>
  <c r="B47"/>
  <c r="G86" i="31"/>
  <c r="G90"/>
  <c r="G66"/>
  <c r="G85"/>
  <c r="G60"/>
  <c r="G62"/>
  <c r="G61"/>
  <c r="G88"/>
  <c r="G68"/>
  <c r="G64"/>
  <c r="G92"/>
  <c r="G91"/>
  <c r="G84"/>
  <c r="G87"/>
  <c r="G65"/>
  <c r="G63"/>
  <c r="G89"/>
  <c r="G67"/>
  <c r="F81" l="1"/>
  <c r="I84"/>
  <c r="I92"/>
  <c r="I89"/>
  <c r="I87"/>
  <c r="I62"/>
  <c r="I86"/>
  <c r="I91"/>
  <c r="I67"/>
  <c r="I65"/>
  <c r="I60"/>
  <c r="I90"/>
  <c r="I88"/>
  <c r="I63"/>
  <c r="I61"/>
  <c r="I85"/>
  <c r="I68"/>
  <c r="I66"/>
  <c r="I64"/>
  <c r="H6"/>
  <c r="H5"/>
  <c r="I4"/>
  <c r="X76"/>
  <c r="X77"/>
  <c r="X78"/>
  <c r="X72"/>
  <c r="X73"/>
  <c r="X74"/>
  <c r="X75"/>
  <c r="X79"/>
  <c r="X80"/>
  <c r="G7"/>
  <c r="O65" s="1"/>
  <c r="B76" i="30"/>
  <c r="B50"/>
  <c r="B46"/>
  <c r="G79" i="31"/>
  <c r="G80"/>
  <c r="G73"/>
  <c r="G74"/>
  <c r="G78"/>
  <c r="G72"/>
  <c r="G75"/>
  <c r="G76"/>
  <c r="G77"/>
  <c r="I93" l="1"/>
  <c r="I69"/>
  <c r="O4"/>
  <c r="O3"/>
  <c r="O5"/>
  <c r="I79"/>
  <c r="I74"/>
  <c r="I72"/>
  <c r="I77"/>
  <c r="I80"/>
  <c r="I75"/>
  <c r="I73"/>
  <c r="I78"/>
  <c r="I76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6" s="1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30"/>
  <c r="B49"/>
  <c r="B79"/>
  <c r="B53"/>
  <c r="B45"/>
  <c r="I81" i="31" l="1"/>
  <c r="P4"/>
  <c r="I7"/>
  <c r="Q65" s="1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0"/>
  <c r="P57"/>
  <c r="P59"/>
  <c r="P61"/>
  <c r="P63"/>
  <c r="P65"/>
  <c r="M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1"/>
  <c r="P54"/>
  <c r="P56"/>
  <c r="P53"/>
  <c r="P58"/>
  <c r="P60"/>
  <c r="P62"/>
  <c r="P64"/>
  <c r="B74" i="30"/>
  <c r="B48"/>
  <c r="B78"/>
  <c r="B52"/>
  <c r="Q4" i="31" l="1"/>
  <c r="M4" s="1"/>
  <c r="Q3"/>
  <c r="M3" s="1"/>
  <c r="Q5"/>
  <c r="M5" s="1"/>
  <c r="Q6"/>
  <c r="M6" s="1"/>
  <c r="Q7"/>
  <c r="M7" s="1"/>
  <c r="Q13"/>
  <c r="M13" s="1"/>
  <c r="Q9"/>
  <c r="M9" s="1"/>
  <c r="Q18"/>
  <c r="M18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30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5"/>
  <c r="E66"/>
  <c r="E68"/>
  <c r="E67"/>
  <c r="E61"/>
  <c r="E60"/>
  <c r="E63"/>
  <c r="E62"/>
  <c r="E64"/>
  <c r="M2" i="31" l="1"/>
  <c r="B12" s="1"/>
  <c r="E72" i="30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1"/>
  <c r="K38" l="1"/>
  <c r="K12"/>
  <c r="C28" i="30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9"/>
  <c r="G38"/>
  <c r="H39"/>
  <c r="I37"/>
  <c r="C78"/>
  <c r="T66"/>
  <c r="I34"/>
  <c r="G36"/>
  <c r="H34"/>
  <c r="I35"/>
  <c r="H36"/>
  <c r="G34"/>
  <c r="H35"/>
  <c r="I36"/>
  <c r="G35"/>
  <c r="F8"/>
  <c r="E8"/>
  <c r="D8"/>
  <c r="C8"/>
  <c r="K7"/>
  <c r="K41" l="1"/>
  <c r="C90"/>
  <c r="T78"/>
  <c r="T90" s="1"/>
  <c r="G56" a="1"/>
  <c r="G55" a="1"/>
  <c r="G54" a="1"/>
  <c r="G44" a="1"/>
  <c r="G43" a="1"/>
  <c r="G42" a="1"/>
  <c r="G47" a="1"/>
  <c r="G46" a="1"/>
  <c r="G45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I45"/>
  <c r="G45"/>
  <c r="H45"/>
  <c r="H47"/>
  <c r="I47"/>
  <c r="G47"/>
  <c r="I42"/>
  <c r="G42"/>
  <c r="H42"/>
  <c r="H44"/>
  <c r="I44"/>
  <c r="G44"/>
  <c r="H55"/>
  <c r="I55"/>
  <c r="G55"/>
  <c r="F55" s="1"/>
  <c r="I48"/>
  <c r="D48" s="1"/>
  <c r="G48"/>
  <c r="F48" s="1"/>
  <c r="H48"/>
  <c r="E48" s="1"/>
  <c r="I50"/>
  <c r="D50" s="1"/>
  <c r="G50"/>
  <c r="F50" s="1"/>
  <c r="H50"/>
  <c r="E50" s="1"/>
  <c r="H46"/>
  <c r="I46"/>
  <c r="G46"/>
  <c r="F46" s="1"/>
  <c r="H43"/>
  <c r="I43"/>
  <c r="G43"/>
  <c r="F43" s="1"/>
  <c r="I54"/>
  <c r="G54"/>
  <c r="F54" s="1"/>
  <c r="H54"/>
  <c r="E54" s="1"/>
  <c r="H56"/>
  <c r="E56" s="1"/>
  <c r="I56"/>
  <c r="D56" s="1"/>
  <c r="G56"/>
  <c r="F56" s="1"/>
  <c r="B6"/>
  <c r="K48"/>
  <c r="K10"/>
  <c r="K50"/>
  <c r="D54" l="1"/>
  <c r="D43"/>
  <c r="D55"/>
  <c r="F52"/>
  <c r="E43"/>
  <c r="J42"/>
  <c r="E55"/>
  <c r="J54"/>
  <c r="D46"/>
  <c r="D44"/>
  <c r="E42"/>
  <c r="D42"/>
  <c r="D47"/>
  <c r="E45"/>
  <c r="D45"/>
  <c r="D49"/>
  <c r="E46"/>
  <c r="J45"/>
  <c r="E49"/>
  <c r="J48"/>
  <c r="F44"/>
  <c r="E44"/>
  <c r="F42"/>
  <c r="F47"/>
  <c r="E47"/>
  <c r="F45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5"/>
  <c r="K47"/>
  <c r="K9"/>
  <c r="K46"/>
  <c r="K5"/>
  <c r="K39"/>
  <c r="K42"/>
  <c r="K8"/>
  <c r="K49"/>
  <c r="K43"/>
  <c r="K44"/>
  <c r="D52" l="1"/>
  <c r="D51"/>
  <c r="D53"/>
  <c r="F51"/>
  <c r="F53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V87"/>
  <c r="F87" s="1"/>
  <c r="H87" s="1"/>
  <c r="W87"/>
  <c r="U87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E53"/>
  <c r="E51"/>
  <c r="E52"/>
  <c r="G4"/>
  <c r="K3"/>
  <c r="F3"/>
  <c r="E3"/>
  <c r="P2" s="1"/>
  <c r="D3"/>
  <c r="Q2"/>
  <c r="O2"/>
  <c r="B88" i="29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30" l="1"/>
  <c r="F93"/>
  <c r="G6"/>
  <c r="G5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61"/>
  <c r="X62"/>
  <c r="X63"/>
  <c r="X67"/>
  <c r="X91"/>
  <c r="X85"/>
  <c r="X86"/>
  <c r="X60"/>
  <c r="X64"/>
  <c r="X65"/>
  <c r="X66"/>
  <c r="X68"/>
  <c r="X87"/>
  <c r="X88"/>
  <c r="X89"/>
  <c r="X90"/>
  <c r="X92"/>
  <c r="H4"/>
  <c r="U58" i="29"/>
  <c r="U70" s="1"/>
  <c r="U82" s="1"/>
  <c r="B47"/>
  <c r="G84" i="30"/>
  <c r="G67"/>
  <c r="G91"/>
  <c r="G90"/>
  <c r="G62"/>
  <c r="G64"/>
  <c r="G60"/>
  <c r="G86"/>
  <c r="G68"/>
  <c r="G88"/>
  <c r="G92"/>
  <c r="G61"/>
  <c r="G66"/>
  <c r="G85"/>
  <c r="G87"/>
  <c r="G63"/>
  <c r="G65"/>
  <c r="G89"/>
  <c r="I89" l="1"/>
  <c r="I87"/>
  <c r="I66"/>
  <c r="I64"/>
  <c r="I86"/>
  <c r="I91"/>
  <c r="I63"/>
  <c r="I61"/>
  <c r="I92"/>
  <c r="I90"/>
  <c r="I88"/>
  <c r="I68"/>
  <c r="I65"/>
  <c r="I60"/>
  <c r="I85"/>
  <c r="I67"/>
  <c r="I62"/>
  <c r="I84"/>
  <c r="X72"/>
  <c r="X73"/>
  <c r="X74"/>
  <c r="X75"/>
  <c r="X79"/>
  <c r="X80"/>
  <c r="H6"/>
  <c r="H5"/>
  <c r="I4"/>
  <c r="X76"/>
  <c r="X77"/>
  <c r="X78"/>
  <c r="G7"/>
  <c r="O65" s="1"/>
  <c r="B76" i="29"/>
  <c r="B50"/>
  <c r="B46"/>
  <c r="G74" i="30"/>
  <c r="G76"/>
  <c r="G75"/>
  <c r="G80"/>
  <c r="G77"/>
  <c r="G73"/>
  <c r="G79"/>
  <c r="G78"/>
  <c r="G72"/>
  <c r="I93" l="1"/>
  <c r="I69"/>
  <c r="I77"/>
  <c r="I79"/>
  <c r="I74"/>
  <c r="I72"/>
  <c r="I78"/>
  <c r="I76"/>
  <c r="I80"/>
  <c r="I75"/>
  <c r="I73"/>
  <c r="I6"/>
  <c r="I5"/>
  <c r="O3"/>
  <c r="O5"/>
  <c r="O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5" s="1"/>
  <c r="O4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9"/>
  <c r="B49"/>
  <c r="B79"/>
  <c r="B53"/>
  <c r="B45"/>
  <c r="I81" i="30" l="1"/>
  <c r="P3"/>
  <c r="P4"/>
  <c r="P5"/>
  <c r="P6"/>
  <c r="P7"/>
  <c r="P12"/>
  <c r="P9"/>
  <c r="P16"/>
  <c r="I7"/>
  <c r="Q66" s="1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0"/>
  <c r="P52"/>
  <c r="P55"/>
  <c r="P53"/>
  <c r="P58"/>
  <c r="P60"/>
  <c r="P62"/>
  <c r="P64"/>
  <c r="P66"/>
  <c r="M66" s="1"/>
  <c r="P21"/>
  <c r="P23"/>
  <c r="P25"/>
  <c r="P27"/>
  <c r="P29"/>
  <c r="P31"/>
  <c r="P33"/>
  <c r="P35"/>
  <c r="P38"/>
  <c r="P13"/>
  <c r="P18"/>
  <c r="P20"/>
  <c r="P41"/>
  <c r="P40"/>
  <c r="P43"/>
  <c r="P45"/>
  <c r="P47"/>
  <c r="P49"/>
  <c r="P51"/>
  <c r="P54"/>
  <c r="P56"/>
  <c r="P57"/>
  <c r="P59"/>
  <c r="P61"/>
  <c r="P63"/>
  <c r="B74" i="29"/>
  <c r="B48"/>
  <c r="B78"/>
  <c r="B52"/>
  <c r="Q4" i="30" l="1"/>
  <c r="M4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7" i="29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2"/>
  <c r="E68"/>
  <c r="E61"/>
  <c r="E63"/>
  <c r="E60"/>
  <c r="E64"/>
  <c r="E66"/>
  <c r="E67"/>
  <c r="E65"/>
  <c r="M2" i="30" l="1"/>
  <c r="B12" s="1"/>
  <c r="E72" i="29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30"/>
  <c r="K38" l="1"/>
  <c r="K12"/>
  <c r="C28" i="29"/>
  <c r="C37" s="1"/>
  <c r="C48" s="1"/>
  <c r="C66" s="1"/>
  <c r="C18"/>
  <c r="C21" s="1"/>
  <c r="J37"/>
  <c r="J34"/>
  <c r="J31"/>
  <c r="C84"/>
  <c r="T72"/>
  <c r="T84" s="1"/>
  <c r="C87"/>
  <c r="T75"/>
  <c r="T87" s="1"/>
  <c r="I31" l="1"/>
  <c r="H31"/>
  <c r="I32"/>
  <c r="G33"/>
  <c r="H32"/>
  <c r="G32"/>
  <c r="H33"/>
  <c r="G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7"/>
  <c r="K45"/>
  <c r="K42"/>
  <c r="K44"/>
  <c r="D46" l="1"/>
  <c r="D43"/>
  <c r="F50"/>
  <c r="E48"/>
  <c r="E51" s="1"/>
  <c r="D48"/>
  <c r="E55"/>
  <c r="J54"/>
  <c r="E49"/>
  <c r="J48"/>
  <c r="D53"/>
  <c r="D51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0"/>
  <c r="K8"/>
  <c r="K9"/>
  <c r="K48"/>
  <c r="K46"/>
  <c r="K49"/>
  <c r="K10"/>
  <c r="K43"/>
  <c r="K5"/>
  <c r="K39"/>
  <c r="E52" l="1"/>
  <c r="V89"/>
  <c r="F89" s="1"/>
  <c r="H89" s="1"/>
  <c r="W89"/>
  <c r="U89"/>
  <c r="W88"/>
  <c r="U88"/>
  <c r="V88"/>
  <c r="F88" s="1"/>
  <c r="H88" s="1"/>
  <c r="V87"/>
  <c r="F87" s="1"/>
  <c r="H87" s="1"/>
  <c r="W87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28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9" l="1"/>
  <c r="F69"/>
  <c r="H6"/>
  <c r="H5"/>
  <c r="X61"/>
  <c r="X62"/>
  <c r="X63"/>
  <c r="X67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F81" s="1"/>
  <c r="W72"/>
  <c r="U72"/>
  <c r="X84"/>
  <c r="X87"/>
  <c r="X88"/>
  <c r="X89"/>
  <c r="G6"/>
  <c r="G5"/>
  <c r="X60"/>
  <c r="X64"/>
  <c r="X65"/>
  <c r="X66"/>
  <c r="X68"/>
  <c r="X91"/>
  <c r="X85"/>
  <c r="X86"/>
  <c r="I4"/>
  <c r="U58" i="28"/>
  <c r="U70" s="1"/>
  <c r="U82" s="1"/>
  <c r="B47"/>
  <c r="G67" i="29"/>
  <c r="G84"/>
  <c r="G61"/>
  <c r="G68"/>
  <c r="G64"/>
  <c r="G65"/>
  <c r="G63"/>
  <c r="G86"/>
  <c r="G60"/>
  <c r="G90"/>
  <c r="G87"/>
  <c r="G89"/>
  <c r="G62"/>
  <c r="G92"/>
  <c r="G85"/>
  <c r="G66"/>
  <c r="G88"/>
  <c r="G91"/>
  <c r="I91" l="1"/>
  <c r="I66"/>
  <c r="I64"/>
  <c r="I89"/>
  <c r="I87"/>
  <c r="I90"/>
  <c r="I63"/>
  <c r="I61"/>
  <c r="I86"/>
  <c r="I85"/>
  <c r="I68"/>
  <c r="I65"/>
  <c r="I60"/>
  <c r="I88"/>
  <c r="I84"/>
  <c r="I92"/>
  <c r="I67"/>
  <c r="I62"/>
  <c r="G7"/>
  <c r="O65" s="1"/>
  <c r="X72"/>
  <c r="X73"/>
  <c r="X74"/>
  <c r="X75"/>
  <c r="X79"/>
  <c r="X80"/>
  <c r="I6"/>
  <c r="I5"/>
  <c r="X76"/>
  <c r="X77"/>
  <c r="X78"/>
  <c r="H7"/>
  <c r="P65" s="1"/>
  <c r="B76" i="28"/>
  <c r="B50"/>
  <c r="B46"/>
  <c r="G77" i="29"/>
  <c r="G72"/>
  <c r="G80"/>
  <c r="G79"/>
  <c r="G78"/>
  <c r="G73"/>
  <c r="G75"/>
  <c r="G74"/>
  <c r="G76"/>
  <c r="I93" l="1"/>
  <c r="I69"/>
  <c r="P4"/>
  <c r="P3"/>
  <c r="P5"/>
  <c r="P6"/>
  <c r="P17"/>
  <c r="P28"/>
  <c r="P36"/>
  <c r="P37"/>
  <c r="P10"/>
  <c r="P24"/>
  <c r="P32"/>
  <c r="P14"/>
  <c r="O3"/>
  <c r="P8"/>
  <c r="P15"/>
  <c r="P22"/>
  <c r="P26"/>
  <c r="P30"/>
  <c r="P34"/>
  <c r="P11"/>
  <c r="P19"/>
  <c r="O5"/>
  <c r="I77"/>
  <c r="I80"/>
  <c r="I75"/>
  <c r="I73"/>
  <c r="I78"/>
  <c r="I76"/>
  <c r="I79"/>
  <c r="I74"/>
  <c r="I72"/>
  <c r="I7"/>
  <c r="Q66" s="1"/>
  <c r="P40"/>
  <c r="P42"/>
  <c r="P44"/>
  <c r="P46"/>
  <c r="P48"/>
  <c r="P52"/>
  <c r="P55"/>
  <c r="P50"/>
  <c r="P53"/>
  <c r="P58"/>
  <c r="P60"/>
  <c r="P62"/>
  <c r="P64"/>
  <c r="P6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M66" s="1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4"/>
  <c r="P56"/>
  <c r="P51"/>
  <c r="P57"/>
  <c r="P59"/>
  <c r="P61"/>
  <c r="P63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8"/>
  <c r="B49"/>
  <c r="B79"/>
  <c r="B53"/>
  <c r="B45"/>
  <c r="I81" i="29" l="1"/>
  <c r="Q3"/>
  <c r="Q5"/>
  <c r="M3"/>
  <c r="M5"/>
  <c r="Q13"/>
  <c r="M13" s="1"/>
  <c r="Q15"/>
  <c r="M15" s="1"/>
  <c r="Q26"/>
  <c r="M26" s="1"/>
  <c r="Q34"/>
  <c r="M34" s="1"/>
  <c r="Q43"/>
  <c r="M43" s="1"/>
  <c r="Q51"/>
  <c r="M51" s="1"/>
  <c r="Q4"/>
  <c r="M4" s="1"/>
  <c r="Q6"/>
  <c r="M6" s="1"/>
  <c r="Q7"/>
  <c r="M7" s="1"/>
  <c r="Q20"/>
  <c r="M20" s="1"/>
  <c r="Q22"/>
  <c r="M22" s="1"/>
  <c r="Q30"/>
  <c r="M30" s="1"/>
  <c r="Q39"/>
  <c r="M39" s="1"/>
  <c r="Q47"/>
  <c r="M47" s="1"/>
  <c r="Q59"/>
  <c r="M59" s="1"/>
  <c r="Q56"/>
  <c r="M56" s="1"/>
  <c r="Q63"/>
  <c r="M63" s="1"/>
  <c r="Q9"/>
  <c r="M9" s="1"/>
  <c r="Q18"/>
  <c r="M18" s="1"/>
  <c r="Q10"/>
  <c r="M10" s="1"/>
  <c r="Q17"/>
  <c r="M17" s="1"/>
  <c r="Q24"/>
  <c r="M24" s="1"/>
  <c r="Q28"/>
  <c r="M28" s="1"/>
  <c r="Q32"/>
  <c r="M32" s="1"/>
  <c r="Q36"/>
  <c r="M36" s="1"/>
  <c r="Q41"/>
  <c r="M41" s="1"/>
  <c r="Q45"/>
  <c r="M45" s="1"/>
  <c r="Q49"/>
  <c r="M49" s="1"/>
  <c r="Q57"/>
  <c r="M57" s="1"/>
  <c r="Q54"/>
  <c r="M54" s="1"/>
  <c r="Q61"/>
  <c r="M61" s="1"/>
  <c r="Q65"/>
  <c r="M6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4" i="28"/>
  <c r="B48"/>
  <c r="B78"/>
  <c r="B52"/>
  <c r="M2" i="29" l="1"/>
  <c r="B12" s="1"/>
  <c r="B77" i="28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8"/>
  <c r="K4" i="29"/>
  <c r="E60" i="28"/>
  <c r="E66"/>
  <c r="E64"/>
  <c r="E65"/>
  <c r="E62"/>
  <c r="E67"/>
  <c r="E61"/>
  <c r="E63"/>
  <c r="K38" i="29" l="1"/>
  <c r="K12"/>
  <c r="E72" i="28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4"/>
  <c r="T72"/>
  <c r="T84" s="1"/>
  <c r="C87"/>
  <c r="T75"/>
  <c r="T87" s="1"/>
  <c r="I31" l="1"/>
  <c r="H31"/>
  <c r="I32"/>
  <c r="G33"/>
  <c r="H32"/>
  <c r="G32"/>
  <c r="H33"/>
  <c r="G31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D43" s="1"/>
  <c r="G43"/>
  <c r="F43" s="1"/>
  <c r="I54"/>
  <c r="G54"/>
  <c r="H54"/>
  <c r="H56"/>
  <c r="I56"/>
  <c r="G56"/>
  <c r="H49"/>
  <c r="I49"/>
  <c r="G49"/>
  <c r="F49" s="1"/>
  <c r="H46"/>
  <c r="I46"/>
  <c r="D46" s="1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I47"/>
  <c r="D47" s="1"/>
  <c r="G47"/>
  <c r="F47" s="1"/>
  <c r="H47"/>
  <c r="E47" s="1"/>
  <c r="B6"/>
  <c r="K42"/>
  <c r="K45"/>
  <c r="K44"/>
  <c r="K47"/>
  <c r="F50" l="1"/>
  <c r="F53" s="1"/>
  <c r="E48"/>
  <c r="E51" s="1"/>
  <c r="D48"/>
  <c r="D51" s="1"/>
  <c r="E55"/>
  <c r="J54"/>
  <c r="E49"/>
  <c r="J48"/>
  <c r="D53"/>
  <c r="D56"/>
  <c r="E54"/>
  <c r="D54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0"/>
  <c r="K8"/>
  <c r="K10"/>
  <c r="K49"/>
  <c r="K46"/>
  <c r="K5"/>
  <c r="K48"/>
  <c r="K9"/>
  <c r="K39"/>
  <c r="K43"/>
  <c r="E52" l="1"/>
  <c r="V89"/>
  <c r="F89" s="1"/>
  <c r="H89" s="1"/>
  <c r="W89"/>
  <c r="U89"/>
  <c r="W88"/>
  <c r="U88"/>
  <c r="V88"/>
  <c r="F88" s="1"/>
  <c r="H88" s="1"/>
  <c r="W87"/>
  <c r="V87"/>
  <c r="F87" s="1"/>
  <c r="H87" s="1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U67"/>
  <c r="V67"/>
  <c r="F67" s="1"/>
  <c r="H67" s="1"/>
  <c r="W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H4" s="1"/>
  <c r="K3"/>
  <c r="F3"/>
  <c r="E3"/>
  <c r="P2" s="1"/>
  <c r="D3"/>
  <c r="Q2"/>
  <c r="O2"/>
  <c r="B88" i="27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8" l="1"/>
  <c r="H6"/>
  <c r="H5"/>
  <c r="X61"/>
  <c r="X62"/>
  <c r="X63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W77"/>
  <c r="U77"/>
  <c r="V77"/>
  <c r="F77" s="1"/>
  <c r="H77" s="1"/>
  <c r="W76"/>
  <c r="U76"/>
  <c r="V76"/>
  <c r="F76" s="1"/>
  <c r="H76" s="1"/>
  <c r="W75"/>
  <c r="V75"/>
  <c r="F75" s="1"/>
  <c r="H75" s="1"/>
  <c r="U75"/>
  <c r="V74"/>
  <c r="F74" s="1"/>
  <c r="H74" s="1"/>
  <c r="W74"/>
  <c r="U74"/>
  <c r="W73"/>
  <c r="U73"/>
  <c r="V73"/>
  <c r="F73" s="1"/>
  <c r="H73" s="1"/>
  <c r="V72"/>
  <c r="F72" s="1"/>
  <c r="H72" s="1"/>
  <c r="F81" s="1"/>
  <c r="W72"/>
  <c r="U72"/>
  <c r="X84"/>
  <c r="X87"/>
  <c r="X88"/>
  <c r="X89"/>
  <c r="G6"/>
  <c r="G5"/>
  <c r="X60"/>
  <c r="X64"/>
  <c r="X65"/>
  <c r="X66"/>
  <c r="X67"/>
  <c r="X68"/>
  <c r="X91"/>
  <c r="X85"/>
  <c r="X86"/>
  <c r="I4"/>
  <c r="U58" i="27"/>
  <c r="U70" s="1"/>
  <c r="U82" s="1"/>
  <c r="B47"/>
  <c r="G91" i="28"/>
  <c r="G88"/>
  <c r="G90"/>
  <c r="G85"/>
  <c r="G62"/>
  <c r="G65"/>
  <c r="G87"/>
  <c r="G64"/>
  <c r="G68"/>
  <c r="G63"/>
  <c r="G61"/>
  <c r="G89"/>
  <c r="G60"/>
  <c r="G66"/>
  <c r="G84"/>
  <c r="G92"/>
  <c r="G67"/>
  <c r="G86"/>
  <c r="I85" l="1"/>
  <c r="I66"/>
  <c r="I64"/>
  <c r="I89"/>
  <c r="I87"/>
  <c r="I86"/>
  <c r="I91"/>
  <c r="I67"/>
  <c r="I65"/>
  <c r="I60"/>
  <c r="I88"/>
  <c r="I84"/>
  <c r="I92"/>
  <c r="I63"/>
  <c r="I61"/>
  <c r="I68"/>
  <c r="I90"/>
  <c r="I62"/>
  <c r="I6"/>
  <c r="I5"/>
  <c r="X75"/>
  <c r="X76"/>
  <c r="X78"/>
  <c r="G7"/>
  <c r="O66" s="1"/>
  <c r="X72"/>
  <c r="X73"/>
  <c r="X74"/>
  <c r="X77"/>
  <c r="X79"/>
  <c r="X80"/>
  <c r="H7"/>
  <c r="P65" s="1"/>
  <c r="B76" i="27"/>
  <c r="B50"/>
  <c r="B46"/>
  <c r="G78" i="28"/>
  <c r="G79"/>
  <c r="G74"/>
  <c r="G72"/>
  <c r="G76"/>
  <c r="G75"/>
  <c r="G73"/>
  <c r="G80"/>
  <c r="G77"/>
  <c r="I93" l="1"/>
  <c r="I69"/>
  <c r="O3"/>
  <c r="O5"/>
  <c r="I79"/>
  <c r="I74"/>
  <c r="I72"/>
  <c r="I78"/>
  <c r="I75"/>
  <c r="I80"/>
  <c r="I77"/>
  <c r="I73"/>
  <c r="I76"/>
  <c r="P4"/>
  <c r="P7"/>
  <c r="P12"/>
  <c r="P21"/>
  <c r="P27"/>
  <c r="P3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1"/>
  <c r="P54"/>
  <c r="P56"/>
  <c r="P53"/>
  <c r="P58"/>
  <c r="P60"/>
  <c r="P62"/>
  <c r="P64"/>
  <c r="P66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O65"/>
  <c r="I7"/>
  <c r="Q65" s="1"/>
  <c r="P9"/>
  <c r="P16"/>
  <c r="P23"/>
  <c r="P25"/>
  <c r="P29"/>
  <c r="P33"/>
  <c r="P35"/>
  <c r="P38"/>
  <c r="P13"/>
  <c r="P18"/>
  <c r="P20"/>
  <c r="P40"/>
  <c r="P39"/>
  <c r="P43"/>
  <c r="P45"/>
  <c r="P47"/>
  <c r="P49"/>
  <c r="P52"/>
  <c r="P55"/>
  <c r="P50"/>
  <c r="P57"/>
  <c r="P59"/>
  <c r="P61"/>
  <c r="P63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B75" i="27"/>
  <c r="B49"/>
  <c r="B79"/>
  <c r="B53"/>
  <c r="B45"/>
  <c r="I81" i="28" l="1"/>
  <c r="Q3"/>
  <c r="Q5"/>
  <c r="M5" s="1"/>
  <c r="M65"/>
  <c r="M3"/>
  <c r="Q9"/>
  <c r="Q18"/>
  <c r="Q4"/>
  <c r="M4" s="1"/>
  <c r="Q6"/>
  <c r="M6" s="1"/>
  <c r="Q7"/>
  <c r="M7" s="1"/>
  <c r="Q13"/>
  <c r="M13" s="1"/>
  <c r="Q20"/>
  <c r="M20" s="1"/>
  <c r="M18"/>
  <c r="M9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27"/>
  <c r="B48"/>
  <c r="B78"/>
  <c r="B52"/>
  <c r="M2" i="28" l="1"/>
  <c r="B12" s="1"/>
  <c r="B77" i="27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K4" i="28"/>
  <c r="E62" i="27"/>
  <c r="E65"/>
  <c r="E61"/>
  <c r="E64"/>
  <c r="E60"/>
  <c r="E67"/>
  <c r="E66"/>
  <c r="E68"/>
  <c r="E63"/>
  <c r="K38" i="28" l="1"/>
  <c r="K12"/>
  <c r="E72" i="27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B89"/>
  <c r="S60"/>
  <c r="S72" s="1"/>
  <c r="S84" s="1"/>
  <c r="B90"/>
  <c r="S61"/>
  <c r="S73" s="1"/>
  <c r="S85" s="1"/>
  <c r="B92"/>
  <c r="S63"/>
  <c r="S75" s="1"/>
  <c r="S87" s="1"/>
  <c r="C75"/>
  <c r="T63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7"/>
  <c r="T75"/>
  <c r="T87" s="1"/>
  <c r="C84"/>
  <c r="T72"/>
  <c r="T84" s="1"/>
  <c r="G31" l="1"/>
  <c r="G32"/>
  <c r="H33"/>
  <c r="I31"/>
  <c r="G33"/>
  <c r="H31"/>
  <c r="I32"/>
  <c r="H32"/>
  <c r="I33"/>
  <c r="H37"/>
  <c r="I38"/>
  <c r="G37"/>
  <c r="H38"/>
  <c r="I39"/>
  <c r="I37"/>
  <c r="G38"/>
  <c r="H39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D49" s="1"/>
  <c r="G49"/>
  <c r="F49" s="1"/>
  <c r="H43"/>
  <c r="I43"/>
  <c r="G43"/>
  <c r="F43" s="1"/>
  <c r="I54"/>
  <c r="G54"/>
  <c r="H54"/>
  <c r="H56"/>
  <c r="I56"/>
  <c r="G56"/>
  <c r="H46"/>
  <c r="I46"/>
  <c r="D46" s="1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7"/>
  <c r="K50"/>
  <c r="K48"/>
  <c r="K45"/>
  <c r="F44" l="1"/>
  <c r="E44"/>
  <c r="F42"/>
  <c r="D53"/>
  <c r="E51"/>
  <c r="D51"/>
  <c r="E55"/>
  <c r="J54"/>
  <c r="F52"/>
  <c r="E43"/>
  <c r="J42"/>
  <c r="F56"/>
  <c r="E56"/>
  <c r="F54"/>
  <c r="F53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10"/>
  <c r="K44"/>
  <c r="K9"/>
  <c r="K8"/>
  <c r="K42"/>
  <c r="K5"/>
  <c r="K39"/>
  <c r="K43"/>
  <c r="K49"/>
  <c r="K46"/>
  <c r="F51" l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89"/>
  <c r="U89"/>
  <c r="V89"/>
  <c r="F89" s="1"/>
  <c r="H89" s="1"/>
  <c r="W88"/>
  <c r="U88"/>
  <c r="V88"/>
  <c r="F88" s="1"/>
  <c r="H88" s="1"/>
  <c r="W87"/>
  <c r="V87"/>
  <c r="F87" s="1"/>
  <c r="H87" s="1"/>
  <c r="U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K3"/>
  <c r="F3"/>
  <c r="E3"/>
  <c r="P2" s="1"/>
  <c r="D3"/>
  <c r="Q2"/>
  <c r="O2"/>
  <c r="B88" i="26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7" l="1"/>
  <c r="G6"/>
  <c r="G5"/>
  <c r="X60"/>
  <c r="X64"/>
  <c r="X65"/>
  <c r="X66"/>
  <c r="X68"/>
  <c r="X89"/>
  <c r="X91"/>
  <c r="X85"/>
  <c r="X86"/>
  <c r="X61"/>
  <c r="X62"/>
  <c r="X63"/>
  <c r="X67"/>
  <c r="X87"/>
  <c r="X88"/>
  <c r="X90"/>
  <c r="X92"/>
  <c r="W80"/>
  <c r="U80"/>
  <c r="V80"/>
  <c r="F80" s="1"/>
  <c r="H80" s="1"/>
  <c r="W79"/>
  <c r="U79"/>
  <c r="V79"/>
  <c r="F79" s="1"/>
  <c r="H79" s="1"/>
  <c r="W78"/>
  <c r="U78"/>
  <c r="V78"/>
  <c r="F78" s="1"/>
  <c r="H78" s="1"/>
  <c r="W77"/>
  <c r="U77"/>
  <c r="V77"/>
  <c r="F77" s="1"/>
  <c r="H77" s="1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U72"/>
  <c r="V72"/>
  <c r="F72" s="1"/>
  <c r="H72" s="1"/>
  <c r="F81" s="1"/>
  <c r="X84"/>
  <c r="H4"/>
  <c r="U58" i="26"/>
  <c r="U70" s="1"/>
  <c r="U82" s="1"/>
  <c r="B47"/>
  <c r="G92" i="27"/>
  <c r="G87"/>
  <c r="G86"/>
  <c r="G88"/>
  <c r="G91"/>
  <c r="G61"/>
  <c r="G84"/>
  <c r="G67"/>
  <c r="G60"/>
  <c r="G68"/>
  <c r="G66"/>
  <c r="G65"/>
  <c r="G64"/>
  <c r="G89"/>
  <c r="G63"/>
  <c r="G62"/>
  <c r="G90"/>
  <c r="G85"/>
  <c r="I84" l="1"/>
  <c r="I92"/>
  <c r="I88"/>
  <c r="I67"/>
  <c r="I62"/>
  <c r="I86"/>
  <c r="I91"/>
  <c r="I68"/>
  <c r="I65"/>
  <c r="I60"/>
  <c r="I90"/>
  <c r="I87"/>
  <c r="I63"/>
  <c r="I61"/>
  <c r="I85"/>
  <c r="I89"/>
  <c r="I66"/>
  <c r="I64"/>
  <c r="X72"/>
  <c r="X76"/>
  <c r="X78"/>
  <c r="X80"/>
  <c r="H6"/>
  <c r="H5"/>
  <c r="I4"/>
  <c r="X73"/>
  <c r="X74"/>
  <c r="X75"/>
  <c r="X77"/>
  <c r="X79"/>
  <c r="G7"/>
  <c r="O65" s="1"/>
  <c r="B76" i="26"/>
  <c r="B50"/>
  <c r="B46"/>
  <c r="G73" i="27"/>
  <c r="G76"/>
  <c r="G78"/>
  <c r="G74"/>
  <c r="G72"/>
  <c r="G75"/>
  <c r="G77"/>
  <c r="G79"/>
  <c r="G80"/>
  <c r="I93" l="1"/>
  <c r="I69"/>
  <c r="O3"/>
  <c r="O5"/>
  <c r="I77"/>
  <c r="I74"/>
  <c r="I78"/>
  <c r="I72"/>
  <c r="I79"/>
  <c r="I75"/>
  <c r="I73"/>
  <c r="I80"/>
  <c r="I76"/>
  <c r="I6"/>
  <c r="I5"/>
  <c r="H7"/>
  <c r="P66" s="1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26"/>
  <c r="B49"/>
  <c r="B79"/>
  <c r="B53"/>
  <c r="B45"/>
  <c r="I81" i="27" l="1"/>
  <c r="P3"/>
  <c r="P5"/>
  <c r="P9"/>
  <c r="P4"/>
  <c r="P6"/>
  <c r="P7"/>
  <c r="I7"/>
  <c r="Q65" s="1"/>
  <c r="P12"/>
  <c r="P16"/>
  <c r="P21"/>
  <c r="P23"/>
  <c r="P25"/>
  <c r="P27"/>
  <c r="P29"/>
  <c r="P31"/>
  <c r="P33"/>
  <c r="P35"/>
  <c r="P38"/>
  <c r="P13"/>
  <c r="P18"/>
  <c r="P20"/>
  <c r="P39"/>
  <c r="P40"/>
  <c r="P43"/>
  <c r="P45"/>
  <c r="P47"/>
  <c r="P49"/>
  <c r="P51"/>
  <c r="P54"/>
  <c r="P56"/>
  <c r="P57"/>
  <c r="P59"/>
  <c r="P61"/>
  <c r="P63"/>
  <c r="P65"/>
  <c r="M65" s="1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0"/>
  <c r="P52"/>
  <c r="P55"/>
  <c r="P53"/>
  <c r="P58"/>
  <c r="P60"/>
  <c r="P62"/>
  <c r="P64"/>
  <c r="B74" i="26"/>
  <c r="B48"/>
  <c r="B78"/>
  <c r="B52"/>
  <c r="Q4" i="27" l="1"/>
  <c r="M4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26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7"/>
  <c r="C20" s="1"/>
  <c r="C16"/>
  <c r="C19" s="1"/>
  <c r="F15"/>
  <c r="E15"/>
  <c r="D15"/>
  <c r="C14"/>
  <c r="C25" s="1"/>
  <c r="C34" s="1"/>
  <c r="C45" s="1"/>
  <c r="C63" s="1"/>
  <c r="E66"/>
  <c r="E64"/>
  <c r="E67"/>
  <c r="E68"/>
  <c r="E61"/>
  <c r="E60"/>
  <c r="E63"/>
  <c r="E65"/>
  <c r="E62"/>
  <c r="M2" i="27" l="1"/>
  <c r="B12" s="1"/>
  <c r="E72" i="26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89"/>
  <c r="S60"/>
  <c r="S72" s="1"/>
  <c r="S84" s="1"/>
  <c r="B90"/>
  <c r="S61"/>
  <c r="S73" s="1"/>
  <c r="S85" s="1"/>
  <c r="B92"/>
  <c r="S63"/>
  <c r="S75" s="1"/>
  <c r="S87" s="1"/>
  <c r="C75"/>
  <c r="T63"/>
  <c r="C72"/>
  <c r="T60"/>
  <c r="B91"/>
  <c r="S62"/>
  <c r="S74" s="1"/>
  <c r="S86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7"/>
  <c r="K38" l="1"/>
  <c r="K12"/>
  <c r="C84" i="26"/>
  <c r="T72"/>
  <c r="T84" s="1"/>
  <c r="C87"/>
  <c r="T75"/>
  <c r="T87" s="1"/>
  <c r="C28"/>
  <c r="C37" s="1"/>
  <c r="C48" s="1"/>
  <c r="C66" s="1"/>
  <c r="C18"/>
  <c r="C21" s="1"/>
  <c r="J37"/>
  <c r="J34"/>
  <c r="J31"/>
  <c r="H31" l="1"/>
  <c r="I32"/>
  <c r="I31"/>
  <c r="G33"/>
  <c r="G32"/>
  <c r="H33"/>
  <c r="G31"/>
  <c r="H32"/>
  <c r="I33"/>
  <c r="H38"/>
  <c r="G38"/>
  <c r="H39"/>
  <c r="G37"/>
  <c r="G39"/>
  <c r="H37"/>
  <c r="I38"/>
  <c r="I37"/>
  <c r="I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2"/>
  <c r="I42"/>
  <c r="G42"/>
  <c r="H44"/>
  <c r="I44"/>
  <c r="G44"/>
  <c r="H55"/>
  <c r="I55"/>
  <c r="G55"/>
  <c r="F55" s="1"/>
  <c r="I48"/>
  <c r="G48"/>
  <c r="H48"/>
  <c r="I50"/>
  <c r="G50"/>
  <c r="H50"/>
  <c r="H46"/>
  <c r="I46"/>
  <c r="G46"/>
  <c r="F46" s="1"/>
  <c r="H43"/>
  <c r="I43"/>
  <c r="G43"/>
  <c r="F43" s="1"/>
  <c r="I54"/>
  <c r="G54"/>
  <c r="F54" s="1"/>
  <c r="H54"/>
  <c r="H56"/>
  <c r="E56" s="1"/>
  <c r="I56"/>
  <c r="G56"/>
  <c r="F56" s="1"/>
  <c r="H49"/>
  <c r="I49"/>
  <c r="G49"/>
  <c r="F49" s="1"/>
  <c r="I45"/>
  <c r="G45"/>
  <c r="F45" s="1"/>
  <c r="H45"/>
  <c r="H47"/>
  <c r="E47" s="1"/>
  <c r="I47"/>
  <c r="G47"/>
  <c r="F47" s="1"/>
  <c r="B6"/>
  <c r="D56" l="1"/>
  <c r="E54"/>
  <c r="D54"/>
  <c r="D55"/>
  <c r="D43"/>
  <c r="D47"/>
  <c r="E45"/>
  <c r="D45"/>
  <c r="D46"/>
  <c r="E49"/>
  <c r="J48"/>
  <c r="E46"/>
  <c r="J45"/>
  <c r="F50"/>
  <c r="E48"/>
  <c r="D48"/>
  <c r="F44"/>
  <c r="E44"/>
  <c r="D42"/>
  <c r="F52"/>
  <c r="E43"/>
  <c r="J42"/>
  <c r="E55"/>
  <c r="J54"/>
  <c r="D49"/>
  <c r="D52" s="1"/>
  <c r="E50"/>
  <c r="D50"/>
  <c r="F48"/>
  <c r="D44"/>
  <c r="F42"/>
  <c r="E42"/>
  <c r="E51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2"/>
  <c r="K46"/>
  <c r="K10"/>
  <c r="K45"/>
  <c r="K44"/>
  <c r="K9"/>
  <c r="K49"/>
  <c r="K8"/>
  <c r="K5"/>
  <c r="K50"/>
  <c r="K43"/>
  <c r="K48"/>
  <c r="K39"/>
  <c r="K47"/>
  <c r="D53" l="1"/>
  <c r="E52"/>
  <c r="D51"/>
  <c r="F53"/>
  <c r="F51"/>
  <c r="V68"/>
  <c r="F68" s="1"/>
  <c r="H68" s="1"/>
  <c r="W68"/>
  <c r="U68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V89"/>
  <c r="F89" s="1"/>
  <c r="H89" s="1"/>
  <c r="W89"/>
  <c r="U89"/>
  <c r="W88"/>
  <c r="U88"/>
  <c r="V88"/>
  <c r="F88" s="1"/>
  <c r="H88" s="1"/>
  <c r="V87"/>
  <c r="F87" s="1"/>
  <c r="H87" s="1"/>
  <c r="W87"/>
  <c r="U87"/>
  <c r="W92"/>
  <c r="U92"/>
  <c r="V92"/>
  <c r="F92" s="1"/>
  <c r="H92" s="1"/>
  <c r="W91"/>
  <c r="V91"/>
  <c r="F91" s="1"/>
  <c r="H91" s="1"/>
  <c r="U91"/>
  <c r="W90"/>
  <c r="U90"/>
  <c r="V90"/>
  <c r="F90" s="1"/>
  <c r="H90" s="1"/>
  <c r="E53"/>
  <c r="G4"/>
  <c r="K3"/>
  <c r="F3"/>
  <c r="Q2" s="1"/>
  <c r="E3"/>
  <c r="D3"/>
  <c r="O2" s="1"/>
  <c r="P2"/>
  <c r="B88" i="25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6" l="1"/>
  <c r="G6"/>
  <c r="G5"/>
  <c r="W80"/>
  <c r="U80"/>
  <c r="V80"/>
  <c r="F80" s="1"/>
  <c r="H80" s="1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U72"/>
  <c r="V72"/>
  <c r="F72" s="1"/>
  <c r="H72" s="1"/>
  <c r="X84"/>
  <c r="X61"/>
  <c r="X62"/>
  <c r="X63"/>
  <c r="X67"/>
  <c r="X68"/>
  <c r="X90"/>
  <c r="X91"/>
  <c r="X92"/>
  <c r="X87"/>
  <c r="X88"/>
  <c r="X89"/>
  <c r="X85"/>
  <c r="X86"/>
  <c r="X60"/>
  <c r="X64"/>
  <c r="X65"/>
  <c r="X66"/>
  <c r="H4"/>
  <c r="U58" i="25"/>
  <c r="U70" s="1"/>
  <c r="U82" s="1"/>
  <c r="B47"/>
  <c r="G89" i="26"/>
  <c r="G65"/>
  <c r="G62"/>
  <c r="G90"/>
  <c r="G91"/>
  <c r="G61"/>
  <c r="G63"/>
  <c r="G66"/>
  <c r="G88"/>
  <c r="G67"/>
  <c r="G68"/>
  <c r="G85"/>
  <c r="G60"/>
  <c r="G64"/>
  <c r="G87"/>
  <c r="G84"/>
  <c r="G92"/>
  <c r="G86"/>
  <c r="F81" l="1"/>
  <c r="I86"/>
  <c r="I66"/>
  <c r="I64"/>
  <c r="I89"/>
  <c r="I87"/>
  <c r="I91"/>
  <c r="I68"/>
  <c r="I63"/>
  <c r="I61"/>
  <c r="I65"/>
  <c r="I60"/>
  <c r="I85"/>
  <c r="I88"/>
  <c r="I92"/>
  <c r="I90"/>
  <c r="I67"/>
  <c r="I62"/>
  <c r="I84"/>
  <c r="X73"/>
  <c r="X74"/>
  <c r="X75"/>
  <c r="X79"/>
  <c r="H6"/>
  <c r="H5"/>
  <c r="I4"/>
  <c r="X72"/>
  <c r="X76"/>
  <c r="X77"/>
  <c r="X78"/>
  <c r="X80"/>
  <c r="G7"/>
  <c r="O65" s="1"/>
  <c r="B76" i="25"/>
  <c r="B50"/>
  <c r="B46"/>
  <c r="G77" i="26"/>
  <c r="G74"/>
  <c r="G79"/>
  <c r="G78"/>
  <c r="G75"/>
  <c r="G72"/>
  <c r="G73"/>
  <c r="G76"/>
  <c r="G80"/>
  <c r="I93" l="1"/>
  <c r="I69"/>
  <c r="O3"/>
  <c r="I78"/>
  <c r="I76"/>
  <c r="I75"/>
  <c r="I73"/>
  <c r="I80"/>
  <c r="I77"/>
  <c r="I72"/>
  <c r="I79"/>
  <c r="I74"/>
  <c r="I6"/>
  <c r="I5"/>
  <c r="O11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5"/>
  <c r="O8"/>
  <c r="O14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5"/>
  <c r="B49"/>
  <c r="B79"/>
  <c r="B53"/>
  <c r="B45"/>
  <c r="I81" i="26" l="1"/>
  <c r="P3"/>
  <c r="P5"/>
  <c r="P4"/>
  <c r="P6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1"/>
  <c r="P54"/>
  <c r="P56"/>
  <c r="P57"/>
  <c r="P59"/>
  <c r="P61"/>
  <c r="P63"/>
  <c r="P65"/>
  <c r="I7"/>
  <c r="Q65" s="1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0"/>
  <c r="P52"/>
  <c r="P55"/>
  <c r="P53"/>
  <c r="P58"/>
  <c r="P60"/>
  <c r="P62"/>
  <c r="P64"/>
  <c r="B74" i="25"/>
  <c r="B48"/>
  <c r="B78"/>
  <c r="B52"/>
  <c r="Q4" i="26" l="1"/>
  <c r="M65"/>
  <c r="M4"/>
  <c r="Q3"/>
  <c r="M3" s="1"/>
  <c r="Q5"/>
  <c r="M5" s="1"/>
  <c r="Q6"/>
  <c r="M6" s="1"/>
  <c r="Q8"/>
  <c r="M8" s="1"/>
  <c r="Q14"/>
  <c r="M14" s="1"/>
  <c r="Q13"/>
  <c r="M13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1"/>
  <c r="M11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25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5"/>
  <c r="E61"/>
  <c r="E68"/>
  <c r="E63"/>
  <c r="E67"/>
  <c r="E60"/>
  <c r="E64"/>
  <c r="E62"/>
  <c r="E66"/>
  <c r="M2" i="26" l="1"/>
  <c r="B12" s="1"/>
  <c r="E72" i="25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B89"/>
  <c r="S60"/>
  <c r="S72" s="1"/>
  <c r="S84" s="1"/>
  <c r="B90"/>
  <c r="S61"/>
  <c r="S73" s="1"/>
  <c r="S85" s="1"/>
  <c r="B92"/>
  <c r="S63"/>
  <c r="S75" s="1"/>
  <c r="S87" s="1"/>
  <c r="C75"/>
  <c r="T63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6"/>
  <c r="K38" l="1"/>
  <c r="K12"/>
  <c r="C28" i="25"/>
  <c r="C37" s="1"/>
  <c r="C48" s="1"/>
  <c r="C66" s="1"/>
  <c r="C18"/>
  <c r="C21" s="1"/>
  <c r="J37"/>
  <c r="J34"/>
  <c r="J31"/>
  <c r="C87"/>
  <c r="T75"/>
  <c r="T87" s="1"/>
  <c r="C84"/>
  <c r="T72"/>
  <c r="T84" s="1"/>
  <c r="G31" l="1"/>
  <c r="H32"/>
  <c r="G32"/>
  <c r="H33"/>
  <c r="G33"/>
  <c r="I31"/>
  <c r="H31"/>
  <c r="I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G48"/>
  <c r="F48" s="1"/>
  <c r="H48"/>
  <c r="I50"/>
  <c r="D50" s="1"/>
  <c r="G50"/>
  <c r="H50"/>
  <c r="E50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5"/>
  <c r="D45" s="1"/>
  <c r="G45"/>
  <c r="H45"/>
  <c r="E45" s="1"/>
  <c r="H47"/>
  <c r="E47" s="1"/>
  <c r="I47"/>
  <c r="D47" s="1"/>
  <c r="G47"/>
  <c r="F47" s="1"/>
  <c r="B6"/>
  <c r="K44"/>
  <c r="K42"/>
  <c r="K47"/>
  <c r="F50" l="1"/>
  <c r="E48"/>
  <c r="F45"/>
  <c r="D48"/>
  <c r="D51" s="1"/>
  <c r="D46"/>
  <c r="D49"/>
  <c r="D53"/>
  <c r="E51"/>
  <c r="E55"/>
  <c r="J54"/>
  <c r="F52"/>
  <c r="E43"/>
  <c r="J42"/>
  <c r="F56"/>
  <c r="E56"/>
  <c r="F54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8"/>
  <c r="K8"/>
  <c r="K39"/>
  <c r="K10"/>
  <c r="K43"/>
  <c r="K9"/>
  <c r="K5"/>
  <c r="K46"/>
  <c r="K45"/>
  <c r="K50"/>
  <c r="K49"/>
  <c r="F53" l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V87"/>
  <c r="F87" s="1"/>
  <c r="H87" s="1"/>
  <c r="W87"/>
  <c r="U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K3"/>
  <c r="F3"/>
  <c r="E3"/>
  <c r="P2" s="1"/>
  <c r="D3"/>
  <c r="Q2"/>
  <c r="O2"/>
  <c r="B88" i="24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5" l="1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U72"/>
  <c r="V72"/>
  <c r="F72" s="1"/>
  <c r="H72" s="1"/>
  <c r="W72"/>
  <c r="X84"/>
  <c r="H4"/>
  <c r="U58" i="24"/>
  <c r="U70" s="1"/>
  <c r="U82" s="1"/>
  <c r="B47"/>
  <c r="G91" i="25"/>
  <c r="G84"/>
  <c r="G90"/>
  <c r="G60"/>
  <c r="G89"/>
  <c r="G63"/>
  <c r="G92"/>
  <c r="G67"/>
  <c r="G62"/>
  <c r="G68"/>
  <c r="G88"/>
  <c r="G86"/>
  <c r="G64"/>
  <c r="G65"/>
  <c r="G85"/>
  <c r="G61"/>
  <c r="G87"/>
  <c r="G66"/>
  <c r="F81" l="1"/>
  <c r="I84"/>
  <c r="I92"/>
  <c r="I89"/>
  <c r="I87"/>
  <c r="I63"/>
  <c r="I61"/>
  <c r="I85"/>
  <c r="I68"/>
  <c r="I65"/>
  <c r="I60"/>
  <c r="I90"/>
  <c r="I88"/>
  <c r="I67"/>
  <c r="I62"/>
  <c r="I86"/>
  <c r="I91"/>
  <c r="I66"/>
  <c r="I64"/>
  <c r="X76"/>
  <c r="X77"/>
  <c r="X78"/>
  <c r="H6"/>
  <c r="H5"/>
  <c r="I4"/>
  <c r="X72"/>
  <c r="X73"/>
  <c r="X74"/>
  <c r="X75"/>
  <c r="X79"/>
  <c r="X80"/>
  <c r="G7"/>
  <c r="O65" s="1"/>
  <c r="B76" i="24"/>
  <c r="B50"/>
  <c r="B46"/>
  <c r="G79" i="25"/>
  <c r="G74"/>
  <c r="G77"/>
  <c r="G75"/>
  <c r="G72"/>
  <c r="G78"/>
  <c r="G73"/>
  <c r="G76"/>
  <c r="G80"/>
  <c r="I93" l="1"/>
  <c r="I69"/>
  <c r="O3"/>
  <c r="O5"/>
  <c r="I79"/>
  <c r="I74"/>
  <c r="I72"/>
  <c r="I78"/>
  <c r="I76"/>
  <c r="I80"/>
  <c r="I75"/>
  <c r="I73"/>
  <c r="I77"/>
  <c r="H7"/>
  <c r="P65" s="1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6"/>
  <c r="I5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4"/>
  <c r="B49"/>
  <c r="B79"/>
  <c r="B53"/>
  <c r="B45"/>
  <c r="I81" i="25" l="1"/>
  <c r="P4"/>
  <c r="P8"/>
  <c r="P15"/>
  <c r="P22"/>
  <c r="P3"/>
  <c r="P5"/>
  <c r="P6"/>
  <c r="P10"/>
  <c r="P17"/>
  <c r="P24"/>
  <c r="P26"/>
  <c r="P28"/>
  <c r="P30"/>
  <c r="P32"/>
  <c r="P34"/>
  <c r="P36"/>
  <c r="P11"/>
  <c r="P14"/>
  <c r="P19"/>
  <c r="P37"/>
  <c r="P41"/>
  <c r="P42"/>
  <c r="P44"/>
  <c r="P46"/>
  <c r="P48"/>
  <c r="P50"/>
  <c r="P54"/>
  <c r="P56"/>
  <c r="P53"/>
  <c r="P58"/>
  <c r="P60"/>
  <c r="P62"/>
  <c r="P64"/>
  <c r="P66"/>
  <c r="I7"/>
  <c r="Q65" s="1"/>
  <c r="M65" s="1"/>
  <c r="P7"/>
  <c r="P9"/>
  <c r="P12"/>
  <c r="P16"/>
  <c r="P21"/>
  <c r="P23"/>
  <c r="P25"/>
  <c r="P27"/>
  <c r="P29"/>
  <c r="P31"/>
  <c r="P33"/>
  <c r="P35"/>
  <c r="P38"/>
  <c r="P13"/>
  <c r="P18"/>
  <c r="P20"/>
  <c r="P39"/>
  <c r="P40"/>
  <c r="P43"/>
  <c r="P45"/>
  <c r="P47"/>
  <c r="P49"/>
  <c r="P52"/>
  <c r="P55"/>
  <c r="P51"/>
  <c r="P57"/>
  <c r="P59"/>
  <c r="P61"/>
  <c r="P63"/>
  <c r="B74" i="24"/>
  <c r="B48"/>
  <c r="B78"/>
  <c r="B52"/>
  <c r="Q4" i="25" l="1"/>
  <c r="M4" s="1"/>
  <c r="Q3"/>
  <c r="M3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24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3"/>
  <c r="E65"/>
  <c r="E68"/>
  <c r="E61"/>
  <c r="E67"/>
  <c r="E62"/>
  <c r="E66"/>
  <c r="E60"/>
  <c r="E64"/>
  <c r="M2" i="25" l="1"/>
  <c r="B12" s="1"/>
  <c r="E72" i="24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5"/>
  <c r="K38" l="1"/>
  <c r="K12"/>
  <c r="C28" i="24"/>
  <c r="C37" s="1"/>
  <c r="C48" s="1"/>
  <c r="C66" s="1"/>
  <c r="C18"/>
  <c r="C21" s="1"/>
  <c r="J37"/>
  <c r="J34"/>
  <c r="J31"/>
  <c r="C84"/>
  <c r="T72"/>
  <c r="T84" s="1"/>
  <c r="C87"/>
  <c r="T75"/>
  <c r="T87" s="1"/>
  <c r="I31" l="1"/>
  <c r="G32"/>
  <c r="H33"/>
  <c r="G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D43" s="1"/>
  <c r="G43"/>
  <c r="F43" s="1"/>
  <c r="I54"/>
  <c r="G54"/>
  <c r="H54"/>
  <c r="H56"/>
  <c r="I56"/>
  <c r="G56"/>
  <c r="H49"/>
  <c r="I49"/>
  <c r="G49"/>
  <c r="F49" s="1"/>
  <c r="H46"/>
  <c r="I46"/>
  <c r="D46" s="1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7"/>
  <c r="K45"/>
  <c r="K42"/>
  <c r="K44"/>
  <c r="F50" l="1"/>
  <c r="E48"/>
  <c r="E51" s="1"/>
  <c r="D48"/>
  <c r="E55"/>
  <c r="J54"/>
  <c r="E49"/>
  <c r="J48"/>
  <c r="D53"/>
  <c r="D51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"/>
  <c r="K8"/>
  <c r="K9"/>
  <c r="K46"/>
  <c r="K10"/>
  <c r="K39"/>
  <c r="K43"/>
  <c r="K48"/>
  <c r="K49"/>
  <c r="K50"/>
  <c r="E52" l="1"/>
  <c r="V89"/>
  <c r="F89" s="1"/>
  <c r="H89" s="1"/>
  <c r="W89"/>
  <c r="U89"/>
  <c r="W88"/>
  <c r="U88"/>
  <c r="V88"/>
  <c r="F88" s="1"/>
  <c r="H88" s="1"/>
  <c r="U87"/>
  <c r="V87"/>
  <c r="F87" s="1"/>
  <c r="H87" s="1"/>
  <c r="W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23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4" l="1"/>
  <c r="F69"/>
  <c r="H6"/>
  <c r="H5"/>
  <c r="I4"/>
  <c r="X61"/>
  <c r="X62"/>
  <c r="X63"/>
  <c r="X67"/>
  <c r="X90"/>
  <c r="X92"/>
  <c r="V80"/>
  <c r="F80" s="1"/>
  <c r="H80" s="1"/>
  <c r="W80"/>
  <c r="U80"/>
  <c r="W79"/>
  <c r="U79"/>
  <c r="V79"/>
  <c r="F79" s="1"/>
  <c r="H79" s="1"/>
  <c r="W78"/>
  <c r="V78"/>
  <c r="F78" s="1"/>
  <c r="H78" s="1"/>
  <c r="U78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U72"/>
  <c r="V72"/>
  <c r="F72" s="1"/>
  <c r="H72" s="1"/>
  <c r="X84"/>
  <c r="X87"/>
  <c r="X88"/>
  <c r="X89"/>
  <c r="G6"/>
  <c r="G5"/>
  <c r="X60"/>
  <c r="X64"/>
  <c r="X65"/>
  <c r="X66"/>
  <c r="X68"/>
  <c r="X91"/>
  <c r="X85"/>
  <c r="X86"/>
  <c r="U58" i="23"/>
  <c r="U70" s="1"/>
  <c r="U82" s="1"/>
  <c r="B47"/>
  <c r="G92" i="24"/>
  <c r="G89"/>
  <c r="G62"/>
  <c r="G66"/>
  <c r="G86"/>
  <c r="G61"/>
  <c r="G64"/>
  <c r="G88"/>
  <c r="G67"/>
  <c r="G63"/>
  <c r="G68"/>
  <c r="G87"/>
  <c r="G90"/>
  <c r="G65"/>
  <c r="G84"/>
  <c r="G91"/>
  <c r="G85"/>
  <c r="G60"/>
  <c r="F81" l="1"/>
  <c r="I86"/>
  <c r="I66"/>
  <c r="I85"/>
  <c r="I68"/>
  <c r="I65"/>
  <c r="I60"/>
  <c r="I88"/>
  <c r="I84"/>
  <c r="I92"/>
  <c r="I67"/>
  <c r="I62"/>
  <c r="I91"/>
  <c r="I64"/>
  <c r="I89"/>
  <c r="I87"/>
  <c r="I90"/>
  <c r="I63"/>
  <c r="I61"/>
  <c r="G7"/>
  <c r="O65" s="1"/>
  <c r="X72"/>
  <c r="X76"/>
  <c r="X77"/>
  <c r="I6"/>
  <c r="I5"/>
  <c r="X73"/>
  <c r="X74"/>
  <c r="X75"/>
  <c r="X78"/>
  <c r="X79"/>
  <c r="X80"/>
  <c r="H7"/>
  <c r="P65" s="1"/>
  <c r="B76" i="23"/>
  <c r="B50"/>
  <c r="B46"/>
  <c r="G73" i="24"/>
  <c r="G78"/>
  <c r="G79"/>
  <c r="G76"/>
  <c r="G77"/>
  <c r="G80"/>
  <c r="G72"/>
  <c r="G75"/>
  <c r="G74"/>
  <c r="I93" l="1"/>
  <c r="I69"/>
  <c r="O3"/>
  <c r="O4"/>
  <c r="O5"/>
  <c r="O6"/>
  <c r="O7"/>
  <c r="O11"/>
  <c r="O19"/>
  <c r="O9"/>
  <c r="O14"/>
  <c r="I79"/>
  <c r="I75"/>
  <c r="I73"/>
  <c r="I76"/>
  <c r="I80"/>
  <c r="I78"/>
  <c r="I74"/>
  <c r="I77"/>
  <c r="I72"/>
  <c r="P4"/>
  <c r="P7"/>
  <c r="P10"/>
  <c r="P17"/>
  <c r="P24"/>
  <c r="P3"/>
  <c r="P5"/>
  <c r="P6"/>
  <c r="P8"/>
  <c r="P11"/>
  <c r="P12"/>
  <c r="P16"/>
  <c r="P21"/>
  <c r="P23"/>
  <c r="P25"/>
  <c r="P27"/>
  <c r="P29"/>
  <c r="P31"/>
  <c r="P33"/>
  <c r="P35"/>
  <c r="P38"/>
  <c r="P14"/>
  <c r="P19"/>
  <c r="P37"/>
  <c r="P41"/>
  <c r="P42"/>
  <c r="P44"/>
  <c r="P46"/>
  <c r="P48"/>
  <c r="P51"/>
  <c r="P54"/>
  <c r="P56"/>
  <c r="P53"/>
  <c r="P58"/>
  <c r="P60"/>
  <c r="P62"/>
  <c r="P64"/>
  <c r="P66"/>
  <c r="O8"/>
  <c r="O10"/>
  <c r="O13"/>
  <c r="O18"/>
  <c r="O20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7"/>
  <c r="Q66" s="1"/>
  <c r="P9"/>
  <c r="P15"/>
  <c r="P22"/>
  <c r="P26"/>
  <c r="P28"/>
  <c r="P30"/>
  <c r="P32"/>
  <c r="P34"/>
  <c r="P36"/>
  <c r="P13"/>
  <c r="P18"/>
  <c r="P20"/>
  <c r="P39"/>
  <c r="P40"/>
  <c r="P43"/>
  <c r="P45"/>
  <c r="P47"/>
  <c r="P49"/>
  <c r="P52"/>
  <c r="P55"/>
  <c r="P50"/>
  <c r="P57"/>
  <c r="P59"/>
  <c r="P61"/>
  <c r="P63"/>
  <c r="O37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3"/>
  <c r="B49"/>
  <c r="B79"/>
  <c r="B53"/>
  <c r="B45"/>
  <c r="I81" i="24" l="1"/>
  <c r="Q3"/>
  <c r="M66"/>
  <c r="M3"/>
  <c r="Q5"/>
  <c r="M5" s="1"/>
  <c r="Q4"/>
  <c r="M4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4" i="23"/>
  <c r="B48"/>
  <c r="B78"/>
  <c r="B52"/>
  <c r="M2" i="24" l="1"/>
  <c r="B12" s="1"/>
  <c r="B77" i="23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C19"/>
  <c r="F18"/>
  <c r="E18"/>
  <c r="D18"/>
  <c r="C16"/>
  <c r="F15"/>
  <c r="E15"/>
  <c r="D15"/>
  <c r="C14"/>
  <c r="C25" s="1"/>
  <c r="C34" s="1"/>
  <c r="C45" s="1"/>
  <c r="C63" s="1"/>
  <c r="E66"/>
  <c r="E61"/>
  <c r="K4" i="24"/>
  <c r="E68" i="23"/>
  <c r="E67"/>
  <c r="E60"/>
  <c r="E65"/>
  <c r="E64"/>
  <c r="E63"/>
  <c r="E62"/>
  <c r="K38" i="24" l="1"/>
  <c r="K12"/>
  <c r="E72" i="23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89"/>
  <c r="S60"/>
  <c r="S72" s="1"/>
  <c r="S84" s="1"/>
  <c r="B90"/>
  <c r="S61"/>
  <c r="S73" s="1"/>
  <c r="S85" s="1"/>
  <c r="B92"/>
  <c r="S63"/>
  <c r="S75" s="1"/>
  <c r="S87" s="1"/>
  <c r="C75"/>
  <c r="T63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84" l="1"/>
  <c r="T72"/>
  <c r="T84" s="1"/>
  <c r="C87"/>
  <c r="T75"/>
  <c r="T87" s="1"/>
  <c r="C28"/>
  <c r="C37" s="1"/>
  <c r="C48" s="1"/>
  <c r="C66" s="1"/>
  <c r="C18"/>
  <c r="C21" s="1"/>
  <c r="J37"/>
  <c r="J34"/>
  <c r="J3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G54"/>
  <c r="H54"/>
  <c r="I54"/>
  <c r="H56"/>
  <c r="I56"/>
  <c r="G56"/>
  <c r="H46"/>
  <c r="I46"/>
  <c r="G46"/>
  <c r="F46" s="1"/>
  <c r="I48"/>
  <c r="G48"/>
  <c r="F48" s="1"/>
  <c r="H48"/>
  <c r="E48" s="1"/>
  <c r="I50"/>
  <c r="D50" s="1"/>
  <c r="G50"/>
  <c r="F50" s="1"/>
  <c r="H50"/>
  <c r="E50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4"/>
  <c r="K47"/>
  <c r="K45"/>
  <c r="K42"/>
  <c r="K50"/>
  <c r="D48" l="1"/>
  <c r="D51" s="1"/>
  <c r="D55"/>
  <c r="D43"/>
  <c r="E53"/>
  <c r="E55"/>
  <c r="J54"/>
  <c r="F52"/>
  <c r="E43"/>
  <c r="J42"/>
  <c r="D53"/>
  <c r="E51"/>
  <c r="D46"/>
  <c r="F56"/>
  <c r="E56"/>
  <c r="E54"/>
  <c r="D49"/>
  <c r="F53"/>
  <c r="F51"/>
  <c r="E46"/>
  <c r="J45"/>
  <c r="E49"/>
  <c r="J48"/>
  <c r="D56"/>
  <c r="D54"/>
  <c r="F54"/>
  <c r="D52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9"/>
  <c r="K46"/>
  <c r="K8"/>
  <c r="K39"/>
  <c r="K5"/>
  <c r="K10"/>
  <c r="K48"/>
  <c r="K43"/>
  <c r="K9"/>
  <c r="W92" l="1"/>
  <c r="U92"/>
  <c r="V92"/>
  <c r="F92" s="1"/>
  <c r="H92" s="1"/>
  <c r="W91"/>
  <c r="U91"/>
  <c r="V91"/>
  <c r="F91" s="1"/>
  <c r="H91" s="1"/>
  <c r="W90"/>
  <c r="V90"/>
  <c r="F90" s="1"/>
  <c r="H90" s="1"/>
  <c r="U90"/>
  <c r="W89"/>
  <c r="U89"/>
  <c r="V89"/>
  <c r="F89" s="1"/>
  <c r="H89" s="1"/>
  <c r="W88"/>
  <c r="U88"/>
  <c r="V88"/>
  <c r="F88" s="1"/>
  <c r="H88" s="1"/>
  <c r="V87"/>
  <c r="F87" s="1"/>
  <c r="H87" s="1"/>
  <c r="W87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F93" s="1"/>
  <c r="J5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E52"/>
  <c r="G4"/>
  <c r="K3"/>
  <c r="F3"/>
  <c r="E3"/>
  <c r="D3"/>
  <c r="Q2"/>
  <c r="P2"/>
  <c r="O2"/>
  <c r="B88" i="22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G6" i="23" l="1"/>
  <c r="G5"/>
  <c r="X61"/>
  <c r="X62"/>
  <c r="X63"/>
  <c r="X67"/>
  <c r="X85"/>
  <c r="X86"/>
  <c r="X89"/>
  <c r="X90"/>
  <c r="X91"/>
  <c r="X60"/>
  <c r="X64"/>
  <c r="X65"/>
  <c r="X66"/>
  <c r="X68"/>
  <c r="V80"/>
  <c r="F80" s="1"/>
  <c r="H80" s="1"/>
  <c r="W80"/>
  <c r="U80"/>
  <c r="W79"/>
  <c r="U79"/>
  <c r="V79"/>
  <c r="F79" s="1"/>
  <c r="H79" s="1"/>
  <c r="W78"/>
  <c r="V78"/>
  <c r="F78" s="1"/>
  <c r="H78" s="1"/>
  <c r="U78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U72"/>
  <c r="V72"/>
  <c r="F72" s="1"/>
  <c r="H72" s="1"/>
  <c r="F81" s="1"/>
  <c r="W72"/>
  <c r="X84"/>
  <c r="X87"/>
  <c r="X88"/>
  <c r="X92"/>
  <c r="H4"/>
  <c r="U58" i="22"/>
  <c r="U70" s="1"/>
  <c r="U82" s="1"/>
  <c r="B47"/>
  <c r="G92" i="23"/>
  <c r="G66"/>
  <c r="G85"/>
  <c r="G67"/>
  <c r="G88"/>
  <c r="G90"/>
  <c r="G61"/>
  <c r="G62"/>
  <c r="G68"/>
  <c r="G60"/>
  <c r="G87"/>
  <c r="G89"/>
  <c r="G64"/>
  <c r="G63"/>
  <c r="G84"/>
  <c r="G91"/>
  <c r="G86"/>
  <c r="G65"/>
  <c r="I88" l="1"/>
  <c r="I84"/>
  <c r="I92"/>
  <c r="I87"/>
  <c r="I66"/>
  <c r="I64"/>
  <c r="I91"/>
  <c r="I89"/>
  <c r="I85"/>
  <c r="I63"/>
  <c r="I61"/>
  <c r="I68"/>
  <c r="I65"/>
  <c r="I60"/>
  <c r="I90"/>
  <c r="I86"/>
  <c r="I67"/>
  <c r="I62"/>
  <c r="H6"/>
  <c r="H5"/>
  <c r="I4"/>
  <c r="X72"/>
  <c r="X73"/>
  <c r="X74"/>
  <c r="X75"/>
  <c r="X78"/>
  <c r="X79"/>
  <c r="X80"/>
  <c r="X76"/>
  <c r="X77"/>
  <c r="G7"/>
  <c r="O65" s="1"/>
  <c r="B76" i="22"/>
  <c r="B50"/>
  <c r="B46"/>
  <c r="G77" i="23"/>
  <c r="G74"/>
  <c r="G78"/>
  <c r="G76"/>
  <c r="G75"/>
  <c r="G73"/>
  <c r="G72"/>
  <c r="G79"/>
  <c r="G80"/>
  <c r="I69" l="1"/>
  <c r="I93"/>
  <c r="O3"/>
  <c r="O4"/>
  <c r="O5"/>
  <c r="O6"/>
  <c r="O7"/>
  <c r="O19"/>
  <c r="O11"/>
  <c r="O15"/>
  <c r="O9"/>
  <c r="O14"/>
  <c r="O37"/>
  <c r="I76"/>
  <c r="I79"/>
  <c r="I75"/>
  <c r="I73"/>
  <c r="I77"/>
  <c r="I80"/>
  <c r="I78"/>
  <c r="I74"/>
  <c r="I72"/>
  <c r="I6"/>
  <c r="I5"/>
  <c r="O8"/>
  <c r="O10"/>
  <c r="O13"/>
  <c r="O18"/>
  <c r="O20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6" s="1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22"/>
  <c r="B49"/>
  <c r="B79"/>
  <c r="B53"/>
  <c r="B45"/>
  <c r="I81" i="23" l="1"/>
  <c r="P4"/>
  <c r="I7"/>
  <c r="Q65" s="1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1"/>
  <c r="P57"/>
  <c r="P59"/>
  <c r="P61"/>
  <c r="P63"/>
  <c r="P65"/>
  <c r="M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0"/>
  <c r="P54"/>
  <c r="P56"/>
  <c r="P53"/>
  <c r="P58"/>
  <c r="P60"/>
  <c r="P62"/>
  <c r="P64"/>
  <c r="B74" i="22"/>
  <c r="B48"/>
  <c r="B78"/>
  <c r="B52"/>
  <c r="Q3" i="23" l="1"/>
  <c r="M3" s="1"/>
  <c r="Q5"/>
  <c r="M5" s="1"/>
  <c r="Q4"/>
  <c r="M4" s="1"/>
  <c r="Q6"/>
  <c r="M6" s="1"/>
  <c r="Q7"/>
  <c r="M7" s="1"/>
  <c r="Q9"/>
  <c r="M9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22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4"/>
  <c r="E68"/>
  <c r="E65"/>
  <c r="E66"/>
  <c r="E60"/>
  <c r="E61"/>
  <c r="E62"/>
  <c r="E63"/>
  <c r="E67"/>
  <c r="M2" i="23" l="1"/>
  <c r="B12" s="1"/>
  <c r="E72" i="22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3"/>
  <c r="K38" l="1"/>
  <c r="K12"/>
  <c r="C84" i="22"/>
  <c r="T72"/>
  <c r="T84" s="1"/>
  <c r="C28"/>
  <c r="C37" s="1"/>
  <c r="C48" s="1"/>
  <c r="C66" s="1"/>
  <c r="C18"/>
  <c r="C21" s="1"/>
  <c r="J37"/>
  <c r="J34"/>
  <c r="J31"/>
  <c r="C87"/>
  <c r="T75"/>
  <c r="T87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D49" s="1"/>
  <c r="G49"/>
  <c r="F49" s="1"/>
  <c r="H43"/>
  <c r="I43"/>
  <c r="G43"/>
  <c r="F43" s="1"/>
  <c r="I54"/>
  <c r="G54"/>
  <c r="H54"/>
  <c r="H56"/>
  <c r="I56"/>
  <c r="G56"/>
  <c r="H46"/>
  <c r="I46"/>
  <c r="D46" s="1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8"/>
  <c r="K47"/>
  <c r="K50"/>
  <c r="K45"/>
  <c r="F44" l="1"/>
  <c r="E44"/>
  <c r="F42"/>
  <c r="D53"/>
  <c r="E55"/>
  <c r="J54"/>
  <c r="F52"/>
  <c r="E43"/>
  <c r="J42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8"/>
  <c r="K42"/>
  <c r="K49"/>
  <c r="K44"/>
  <c r="K5"/>
  <c r="K39"/>
  <c r="K43"/>
  <c r="K46"/>
  <c r="K10"/>
  <c r="K9"/>
  <c r="V86" l="1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21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22" l="1"/>
  <c r="F69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F81" s="1"/>
  <c r="W72"/>
  <c r="U72"/>
  <c r="X84"/>
  <c r="H4"/>
  <c r="U58" i="21"/>
  <c r="U70" s="1"/>
  <c r="U82" s="1"/>
  <c r="B47"/>
  <c r="G67" i="22"/>
  <c r="G90"/>
  <c r="G89"/>
  <c r="G84"/>
  <c r="G92"/>
  <c r="G62"/>
  <c r="G63"/>
  <c r="G91"/>
  <c r="G68"/>
  <c r="G60"/>
  <c r="G64"/>
  <c r="G85"/>
  <c r="G87"/>
  <c r="G61"/>
  <c r="G88"/>
  <c r="G86"/>
  <c r="G65"/>
  <c r="G66"/>
  <c r="I84" l="1"/>
  <c r="I92"/>
  <c r="I89"/>
  <c r="I87"/>
  <c r="I63"/>
  <c r="I61"/>
  <c r="I85"/>
  <c r="I68"/>
  <c r="I65"/>
  <c r="I60"/>
  <c r="I90"/>
  <c r="I88"/>
  <c r="I67"/>
  <c r="I62"/>
  <c r="I86"/>
  <c r="I91"/>
  <c r="I66"/>
  <c r="I64"/>
  <c r="X76"/>
  <c r="X77"/>
  <c r="X78"/>
  <c r="H6"/>
  <c r="H5"/>
  <c r="I4"/>
  <c r="X72"/>
  <c r="X73"/>
  <c r="X74"/>
  <c r="X75"/>
  <c r="X79"/>
  <c r="X80"/>
  <c r="G7"/>
  <c r="O65" s="1"/>
  <c r="B76" i="21"/>
  <c r="B50"/>
  <c r="B46"/>
  <c r="G79" i="22"/>
  <c r="G80"/>
  <c r="G73"/>
  <c r="G75"/>
  <c r="G72"/>
  <c r="G78"/>
  <c r="G76"/>
  <c r="G77"/>
  <c r="G74"/>
  <c r="I93" l="1"/>
  <c r="I69"/>
  <c r="O3"/>
  <c r="O5"/>
  <c r="I79"/>
  <c r="I74"/>
  <c r="I72"/>
  <c r="I78"/>
  <c r="I76"/>
  <c r="I80"/>
  <c r="I75"/>
  <c r="I73"/>
  <c r="I77"/>
  <c r="H7"/>
  <c r="P65" s="1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6"/>
  <c r="I5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1"/>
  <c r="B49"/>
  <c r="B79"/>
  <c r="B53"/>
  <c r="B45"/>
  <c r="I81" i="22" l="1"/>
  <c r="P3"/>
  <c r="P5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0"/>
  <c r="P52"/>
  <c r="P55"/>
  <c r="P53"/>
  <c r="P58"/>
  <c r="P60"/>
  <c r="P62"/>
  <c r="P64"/>
  <c r="P66"/>
  <c r="I7"/>
  <c r="Q65" s="1"/>
  <c r="M65" s="1"/>
  <c r="P4"/>
  <c r="P6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1"/>
  <c r="P54"/>
  <c r="P56"/>
  <c r="P57"/>
  <c r="P59"/>
  <c r="P61"/>
  <c r="P63"/>
  <c r="B74" i="21"/>
  <c r="B48"/>
  <c r="B78"/>
  <c r="B52"/>
  <c r="M4" i="22" l="1"/>
  <c r="Q4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21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8"/>
  <c r="E61"/>
  <c r="E60"/>
  <c r="E66"/>
  <c r="E62"/>
  <c r="E65"/>
  <c r="E64"/>
  <c r="E67"/>
  <c r="E63"/>
  <c r="M2" i="22" l="1"/>
  <c r="B12" s="1"/>
  <c r="E72" i="21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2"/>
  <c r="K38" l="1"/>
  <c r="K12"/>
  <c r="C84" i="21"/>
  <c r="T72"/>
  <c r="T84" s="1"/>
  <c r="C28"/>
  <c r="C37" s="1"/>
  <c r="C48" s="1"/>
  <c r="C66" s="1"/>
  <c r="C18"/>
  <c r="C21" s="1"/>
  <c r="J37"/>
  <c r="J34"/>
  <c r="J31"/>
  <c r="C87"/>
  <c r="T75"/>
  <c r="T87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2"/>
  <c r="K50"/>
  <c r="K44"/>
  <c r="K47"/>
  <c r="K48"/>
  <c r="K45"/>
  <c r="D46" l="1"/>
  <c r="D49"/>
  <c r="E55"/>
  <c r="J54"/>
  <c r="F52"/>
  <c r="E43"/>
  <c r="J42"/>
  <c r="D53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8"/>
  <c r="K43"/>
  <c r="K46"/>
  <c r="K39"/>
  <c r="K9"/>
  <c r="K10"/>
  <c r="K5"/>
  <c r="K49"/>
  <c r="W92" l="1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V87"/>
  <c r="F87" s="1"/>
  <c r="H87" s="1"/>
  <c r="U87"/>
  <c r="V86"/>
  <c r="F86" s="1"/>
  <c r="H86" s="1"/>
  <c r="W86"/>
  <c r="U86"/>
  <c r="W85"/>
  <c r="V85"/>
  <c r="F85" s="1"/>
  <c r="H85" s="1"/>
  <c r="U85"/>
  <c r="W84"/>
  <c r="U84"/>
  <c r="V84"/>
  <c r="F84" s="1"/>
  <c r="H84" s="1"/>
  <c r="F93" s="1"/>
  <c r="J51"/>
  <c r="E52"/>
  <c r="W68"/>
  <c r="U68"/>
  <c r="V68"/>
  <c r="F68" s="1"/>
  <c r="H68" s="1"/>
  <c r="U67"/>
  <c r="V67"/>
  <c r="F67" s="1"/>
  <c r="H67" s="1"/>
  <c r="W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20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21" l="1"/>
  <c r="G6"/>
  <c r="G5"/>
  <c r="X60"/>
  <c r="X64"/>
  <c r="X65"/>
  <c r="X66"/>
  <c r="X67"/>
  <c r="X68"/>
  <c r="X86"/>
  <c r="X91"/>
  <c r="X61"/>
  <c r="X62"/>
  <c r="X63"/>
  <c r="W80"/>
  <c r="U80"/>
  <c r="V80"/>
  <c r="F80" s="1"/>
  <c r="H80" s="1"/>
  <c r="W79"/>
  <c r="U79"/>
  <c r="V79"/>
  <c r="F79" s="1"/>
  <c r="H79" s="1"/>
  <c r="W78"/>
  <c r="V78"/>
  <c r="F78" s="1"/>
  <c r="H78" s="1"/>
  <c r="U78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F81" s="1"/>
  <c r="W72"/>
  <c r="U72"/>
  <c r="X84"/>
  <c r="X85"/>
  <c r="X87"/>
  <c r="X88"/>
  <c r="X89"/>
  <c r="X90"/>
  <c r="X92"/>
  <c r="H4"/>
  <c r="U58" i="20"/>
  <c r="U70" s="1"/>
  <c r="U82" s="1"/>
  <c r="B47"/>
  <c r="G90" i="21"/>
  <c r="G62"/>
  <c r="G85"/>
  <c r="G92"/>
  <c r="G87"/>
  <c r="G66"/>
  <c r="G86"/>
  <c r="G91"/>
  <c r="G65"/>
  <c r="G67"/>
  <c r="G60"/>
  <c r="G84"/>
  <c r="G68"/>
  <c r="G88"/>
  <c r="G61"/>
  <c r="G89"/>
  <c r="G64"/>
  <c r="G63"/>
  <c r="I88" l="1"/>
  <c r="I92"/>
  <c r="I89"/>
  <c r="I87"/>
  <c r="I84"/>
  <c r="I63"/>
  <c r="I61"/>
  <c r="I86"/>
  <c r="I67"/>
  <c r="I65"/>
  <c r="I60"/>
  <c r="I90"/>
  <c r="I85"/>
  <c r="I62"/>
  <c r="I91"/>
  <c r="I68"/>
  <c r="I66"/>
  <c r="I64"/>
  <c r="H6"/>
  <c r="H5"/>
  <c r="I4"/>
  <c r="X72"/>
  <c r="X76"/>
  <c r="X77"/>
  <c r="X80"/>
  <c r="X73"/>
  <c r="X74"/>
  <c r="X75"/>
  <c r="X78"/>
  <c r="X79"/>
  <c r="G7"/>
  <c r="O65" s="1"/>
  <c r="B76" i="20"/>
  <c r="B50"/>
  <c r="B46"/>
  <c r="G74" i="21"/>
  <c r="G80"/>
  <c r="G73"/>
  <c r="G79"/>
  <c r="G72"/>
  <c r="G77"/>
  <c r="G78"/>
  <c r="G75"/>
  <c r="G76"/>
  <c r="I69" l="1"/>
  <c r="I93"/>
  <c r="O3"/>
  <c r="I78"/>
  <c r="I74"/>
  <c r="I80"/>
  <c r="I76"/>
  <c r="I79"/>
  <c r="I75"/>
  <c r="I73"/>
  <c r="I77"/>
  <c r="I72"/>
  <c r="I6"/>
  <c r="I5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5" s="1"/>
  <c r="O5"/>
  <c r="O8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20"/>
  <c r="B49"/>
  <c r="B79"/>
  <c r="B53"/>
  <c r="B45"/>
  <c r="I81" i="21" l="1"/>
  <c r="P4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1"/>
  <c r="P54"/>
  <c r="P56"/>
  <c r="P53"/>
  <c r="P58"/>
  <c r="P60"/>
  <c r="P62"/>
  <c r="P64"/>
  <c r="P66"/>
  <c r="M66" s="1"/>
  <c r="I7"/>
  <c r="Q66" s="1"/>
  <c r="P7"/>
  <c r="P9"/>
  <c r="P12"/>
  <c r="P16"/>
  <c r="P21"/>
  <c r="P23"/>
  <c r="P25"/>
  <c r="P27"/>
  <c r="P29"/>
  <c r="P31"/>
  <c r="P33"/>
  <c r="P35"/>
  <c r="P38"/>
  <c r="P13"/>
  <c r="P18"/>
  <c r="P20"/>
  <c r="P39"/>
  <c r="P40"/>
  <c r="P43"/>
  <c r="P45"/>
  <c r="P47"/>
  <c r="P49"/>
  <c r="P52"/>
  <c r="P55"/>
  <c r="P50"/>
  <c r="P57"/>
  <c r="P59"/>
  <c r="P61"/>
  <c r="P63"/>
  <c r="B74" i="20"/>
  <c r="B48"/>
  <c r="B78"/>
  <c r="B52"/>
  <c r="Q4" i="21" l="1"/>
  <c r="M4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0"/>
  <c r="M50" s="1"/>
  <c r="Q53"/>
  <c r="M53" s="1"/>
  <c r="Q58"/>
  <c r="M58" s="1"/>
  <c r="Q54"/>
  <c r="M54" s="1"/>
  <c r="Q56"/>
  <c r="M56" s="1"/>
  <c r="Q61"/>
  <c r="M61" s="1"/>
  <c r="Q63"/>
  <c r="M63" s="1"/>
  <c r="Q65"/>
  <c r="M65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2"/>
  <c r="M52" s="1"/>
  <c r="Q51"/>
  <c r="M51" s="1"/>
  <c r="Q57"/>
  <c r="M57" s="1"/>
  <c r="Q59"/>
  <c r="M59" s="1"/>
  <c r="Q55"/>
  <c r="M55" s="1"/>
  <c r="Q60"/>
  <c r="M60" s="1"/>
  <c r="Q62"/>
  <c r="M62" s="1"/>
  <c r="Q64"/>
  <c r="M64" s="1"/>
  <c r="B77" i="20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5"/>
  <c r="E60"/>
  <c r="E62"/>
  <c r="E64"/>
  <c r="E68"/>
  <c r="E67"/>
  <c r="E66"/>
  <c r="E63"/>
  <c r="E61"/>
  <c r="M2" i="21" l="1"/>
  <c r="B12" s="1"/>
  <c r="E72" i="20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1"/>
  <c r="K38" l="1"/>
  <c r="K12"/>
  <c r="C28" i="20"/>
  <c r="C37" s="1"/>
  <c r="C48" s="1"/>
  <c r="C66" s="1"/>
  <c r="C18"/>
  <c r="C21" s="1"/>
  <c r="J37"/>
  <c r="J34"/>
  <c r="J31"/>
  <c r="C84"/>
  <c r="T72"/>
  <c r="T84" s="1"/>
  <c r="C87"/>
  <c r="T75"/>
  <c r="T87" s="1"/>
  <c r="G31" l="1"/>
  <c r="H32"/>
  <c r="G32"/>
  <c r="H33"/>
  <c r="G33"/>
  <c r="I31"/>
  <c r="H31"/>
  <c r="I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5"/>
  <c r="K47"/>
  <c r="K50"/>
  <c r="K48"/>
  <c r="K42"/>
  <c r="K44"/>
  <c r="D46" l="1"/>
  <c r="D49"/>
  <c r="E55"/>
  <c r="J54"/>
  <c r="F52"/>
  <c r="E43"/>
  <c r="J42"/>
  <c r="D53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10"/>
  <c r="K46"/>
  <c r="K8"/>
  <c r="K9"/>
  <c r="K5"/>
  <c r="K39"/>
  <c r="K49"/>
  <c r="K43"/>
  <c r="W92" l="1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V87"/>
  <c r="F87" s="1"/>
  <c r="H87" s="1"/>
  <c r="W87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F93" s="1"/>
  <c r="J51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P2" s="1"/>
  <c r="D3"/>
  <c r="Q2"/>
  <c r="O2"/>
  <c r="B88" i="19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20" l="1"/>
  <c r="G6"/>
  <c r="G5"/>
  <c r="X60"/>
  <c r="X64"/>
  <c r="X65"/>
  <c r="X66"/>
  <c r="X68"/>
  <c r="X85"/>
  <c r="X86"/>
  <c r="X91"/>
  <c r="X61"/>
  <c r="X62"/>
  <c r="X63"/>
  <c r="X67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V76"/>
  <c r="F76" s="1"/>
  <c r="H76" s="1"/>
  <c r="U76"/>
  <c r="W75"/>
  <c r="U75"/>
  <c r="V75"/>
  <c r="F75" s="1"/>
  <c r="H75" s="1"/>
  <c r="W74"/>
  <c r="U74"/>
  <c r="V74"/>
  <c r="F74" s="1"/>
  <c r="H74" s="1"/>
  <c r="W73"/>
  <c r="U73"/>
  <c r="V73"/>
  <c r="F73" s="1"/>
  <c r="H73" s="1"/>
  <c r="W72"/>
  <c r="V72"/>
  <c r="F72" s="1"/>
  <c r="H72" s="1"/>
  <c r="F81" s="1"/>
  <c r="U72"/>
  <c r="X84"/>
  <c r="X87"/>
  <c r="X88"/>
  <c r="X89"/>
  <c r="X90"/>
  <c r="X92"/>
  <c r="H4"/>
  <c r="U58" i="19"/>
  <c r="U70" s="1"/>
  <c r="U82" s="1"/>
  <c r="B47"/>
  <c r="G64" i="20"/>
  <c r="G65"/>
  <c r="G86"/>
  <c r="G60"/>
  <c r="G90"/>
  <c r="G61"/>
  <c r="G67"/>
  <c r="G91"/>
  <c r="G89"/>
  <c r="G85"/>
  <c r="G66"/>
  <c r="G92"/>
  <c r="G62"/>
  <c r="G63"/>
  <c r="G84"/>
  <c r="G87"/>
  <c r="G88"/>
  <c r="G68"/>
  <c r="I90" l="1"/>
  <c r="I88"/>
  <c r="I84"/>
  <c r="I92"/>
  <c r="I89"/>
  <c r="I87"/>
  <c r="I63"/>
  <c r="I61"/>
  <c r="I86"/>
  <c r="I68"/>
  <c r="I65"/>
  <c r="I60"/>
  <c r="I67"/>
  <c r="I62"/>
  <c r="I91"/>
  <c r="I85"/>
  <c r="I66"/>
  <c r="I64"/>
  <c r="H6"/>
  <c r="H5"/>
  <c r="I4"/>
  <c r="X72"/>
  <c r="X73"/>
  <c r="X75"/>
  <c r="X76"/>
  <c r="X79"/>
  <c r="X80"/>
  <c r="X74"/>
  <c r="X77"/>
  <c r="X78"/>
  <c r="G7"/>
  <c r="O65" s="1"/>
  <c r="B76" i="19"/>
  <c r="B50"/>
  <c r="B46"/>
  <c r="G76" i="20"/>
  <c r="G77"/>
  <c r="G75"/>
  <c r="G80"/>
  <c r="G78"/>
  <c r="G79"/>
  <c r="G72"/>
  <c r="G74"/>
  <c r="G73"/>
  <c r="I93" l="1"/>
  <c r="I69"/>
  <c r="I77"/>
  <c r="I80"/>
  <c r="I76"/>
  <c r="I73"/>
  <c r="I78"/>
  <c r="I74"/>
  <c r="I79"/>
  <c r="I75"/>
  <c r="I72"/>
  <c r="I6"/>
  <c r="I5"/>
  <c r="O4"/>
  <c r="O3"/>
  <c r="O5"/>
  <c r="O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6" s="1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19"/>
  <c r="B49"/>
  <c r="B79"/>
  <c r="B53"/>
  <c r="B45"/>
  <c r="I81" i="20" l="1"/>
  <c r="P4"/>
  <c r="I7"/>
  <c r="Q65" s="1"/>
  <c r="P7"/>
  <c r="P9"/>
  <c r="P12"/>
  <c r="P16"/>
  <c r="P21"/>
  <c r="P23"/>
  <c r="P25"/>
  <c r="P27"/>
  <c r="P29"/>
  <c r="P31"/>
  <c r="P33"/>
  <c r="P35"/>
  <c r="P38"/>
  <c r="P13"/>
  <c r="P18"/>
  <c r="P20"/>
  <c r="P41"/>
  <c r="P40"/>
  <c r="P43"/>
  <c r="P45"/>
  <c r="P47"/>
  <c r="P49"/>
  <c r="P52"/>
  <c r="P55"/>
  <c r="P50"/>
  <c r="P57"/>
  <c r="P59"/>
  <c r="P61"/>
  <c r="P63"/>
  <c r="P65"/>
  <c r="M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1"/>
  <c r="P54"/>
  <c r="P56"/>
  <c r="P53"/>
  <c r="P58"/>
  <c r="P60"/>
  <c r="P62"/>
  <c r="P64"/>
  <c r="B74" i="19"/>
  <c r="B48"/>
  <c r="B78"/>
  <c r="B52"/>
  <c r="Q4" i="20" l="1"/>
  <c r="M4" s="1"/>
  <c r="Q3"/>
  <c r="M3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19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2"/>
  <c r="E65"/>
  <c r="E64"/>
  <c r="E63"/>
  <c r="E66"/>
  <c r="E60"/>
  <c r="E61"/>
  <c r="E68"/>
  <c r="E67"/>
  <c r="M2" i="20" l="1"/>
  <c r="B12" s="1"/>
  <c r="E72" i="19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20"/>
  <c r="K38" l="1"/>
  <c r="K12"/>
  <c r="J37" i="19"/>
  <c r="J34"/>
  <c r="J31"/>
  <c r="C28"/>
  <c r="C37" s="1"/>
  <c r="C48" s="1"/>
  <c r="C66" s="1"/>
  <c r="C18"/>
  <c r="C21" s="1"/>
  <c r="C84"/>
  <c r="T72"/>
  <c r="T84" s="1"/>
  <c r="C87"/>
  <c r="T75"/>
  <c r="T87" s="1"/>
  <c r="H31" l="1"/>
  <c r="I32"/>
  <c r="H32"/>
  <c r="I33"/>
  <c r="G31"/>
  <c r="G32"/>
  <c r="H33"/>
  <c r="I31"/>
  <c r="G33"/>
  <c r="G38"/>
  <c r="H39"/>
  <c r="I37"/>
  <c r="G39"/>
  <c r="H37"/>
  <c r="I38"/>
  <c r="G37"/>
  <c r="H38"/>
  <c r="I39"/>
  <c r="C78"/>
  <c r="T66"/>
  <c r="G34"/>
  <c r="H35"/>
  <c r="I36"/>
  <c r="G35"/>
  <c r="H36"/>
  <c r="I34"/>
  <c r="G36"/>
  <c r="H34"/>
  <c r="I35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7"/>
  <c r="K48"/>
  <c r="K50"/>
  <c r="K45"/>
  <c r="F44" l="1"/>
  <c r="E44"/>
  <c r="F42"/>
  <c r="D46"/>
  <c r="D53"/>
  <c r="D49"/>
  <c r="E55"/>
  <c r="J54"/>
  <c r="F52"/>
  <c r="E43"/>
  <c r="J42"/>
  <c r="E51"/>
  <c r="D51"/>
  <c r="F56"/>
  <c r="E56"/>
  <c r="F54"/>
  <c r="F53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"/>
  <c r="K9"/>
  <c r="K10"/>
  <c r="K43"/>
  <c r="K49"/>
  <c r="K42"/>
  <c r="K8"/>
  <c r="K44"/>
  <c r="K46"/>
  <c r="K39"/>
  <c r="F51" l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U87"/>
  <c r="V87"/>
  <c r="F87" s="1"/>
  <c r="H87" s="1"/>
  <c r="W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18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9" l="1"/>
  <c r="F69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W77"/>
  <c r="U77"/>
  <c r="V77"/>
  <c r="F77" s="1"/>
  <c r="H77" s="1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H4"/>
  <c r="U58" i="18"/>
  <c r="U70" s="1"/>
  <c r="U82" s="1"/>
  <c r="B47"/>
  <c r="G84" i="19"/>
  <c r="G64"/>
  <c r="G65"/>
  <c r="G91"/>
  <c r="G86"/>
  <c r="G92"/>
  <c r="G67"/>
  <c r="G60"/>
  <c r="G90"/>
  <c r="G85"/>
  <c r="G88"/>
  <c r="G66"/>
  <c r="G89"/>
  <c r="G61"/>
  <c r="G87"/>
  <c r="G62"/>
  <c r="G68"/>
  <c r="G63"/>
  <c r="I84" l="1"/>
  <c r="I92"/>
  <c r="I89"/>
  <c r="I87"/>
  <c r="I63"/>
  <c r="I61"/>
  <c r="I85"/>
  <c r="I68"/>
  <c r="I65"/>
  <c r="I60"/>
  <c r="I90"/>
  <c r="I88"/>
  <c r="I67"/>
  <c r="I62"/>
  <c r="I86"/>
  <c r="I91"/>
  <c r="I66"/>
  <c r="I64"/>
  <c r="H6"/>
  <c r="H5"/>
  <c r="I4"/>
  <c r="X76"/>
  <c r="X78"/>
  <c r="X72"/>
  <c r="X73"/>
  <c r="X74"/>
  <c r="X75"/>
  <c r="X77"/>
  <c r="X79"/>
  <c r="X80"/>
  <c r="G7"/>
  <c r="O65" s="1"/>
  <c r="B76" i="18"/>
  <c r="B50"/>
  <c r="B46"/>
  <c r="G78" i="19"/>
  <c r="G73"/>
  <c r="G76"/>
  <c r="G74"/>
  <c r="G77"/>
  <c r="G79"/>
  <c r="G75"/>
  <c r="G72"/>
  <c r="G80"/>
  <c r="I93" l="1"/>
  <c r="I69"/>
  <c r="O3"/>
  <c r="O5"/>
  <c r="O4"/>
  <c r="O6"/>
  <c r="I79"/>
  <c r="I75"/>
  <c r="I73"/>
  <c r="I78"/>
  <c r="I80"/>
  <c r="I77"/>
  <c r="I74"/>
  <c r="I72"/>
  <c r="I76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6" s="1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18"/>
  <c r="B49"/>
  <c r="B79"/>
  <c r="B53"/>
  <c r="B45"/>
  <c r="I81" i="19" l="1"/>
  <c r="P3"/>
  <c r="P5"/>
  <c r="P9"/>
  <c r="P16"/>
  <c r="P4"/>
  <c r="P6"/>
  <c r="P7"/>
  <c r="P12"/>
  <c r="I7"/>
  <c r="Q65" s="1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4"/>
  <c r="P56"/>
  <c r="P51"/>
  <c r="P57"/>
  <c r="P59"/>
  <c r="P61"/>
  <c r="P63"/>
  <c r="P65"/>
  <c r="M65" s="1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2"/>
  <c r="P55"/>
  <c r="P50"/>
  <c r="P53"/>
  <c r="P58"/>
  <c r="P60"/>
  <c r="P62"/>
  <c r="P64"/>
  <c r="B74" i="18"/>
  <c r="B48"/>
  <c r="B78"/>
  <c r="B52"/>
  <c r="Q4" i="19" l="1"/>
  <c r="M4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18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2"/>
  <c r="E64"/>
  <c r="E66"/>
  <c r="E63"/>
  <c r="E65"/>
  <c r="E67"/>
  <c r="E61"/>
  <c r="E60"/>
  <c r="E68"/>
  <c r="M2" i="19" l="1"/>
  <c r="B12" s="1"/>
  <c r="E72" i="18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89"/>
  <c r="S60"/>
  <c r="S72" s="1"/>
  <c r="S84" s="1"/>
  <c r="B90"/>
  <c r="S61"/>
  <c r="S73" s="1"/>
  <c r="S85" s="1"/>
  <c r="B92"/>
  <c r="S63"/>
  <c r="S75" s="1"/>
  <c r="S87" s="1"/>
  <c r="C75"/>
  <c r="T63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19"/>
  <c r="K38" l="1"/>
  <c r="K12"/>
  <c r="C28" i="18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7"/>
  <c r="K50"/>
  <c r="K48"/>
  <c r="K45"/>
  <c r="F44" l="1"/>
  <c r="E44"/>
  <c r="F42"/>
  <c r="D46"/>
  <c r="D49"/>
  <c r="E55"/>
  <c r="J54"/>
  <c r="F52"/>
  <c r="E43"/>
  <c r="J42"/>
  <c r="D53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10"/>
  <c r="K49"/>
  <c r="K42"/>
  <c r="K9"/>
  <c r="K8"/>
  <c r="K5"/>
  <c r="K44"/>
  <c r="K43"/>
  <c r="K46"/>
  <c r="K39"/>
  <c r="W92" l="1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V87"/>
  <c r="F87" s="1"/>
  <c r="H87" s="1"/>
  <c r="W87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P2" s="1"/>
  <c r="D3"/>
  <c r="Q2"/>
  <c r="O2"/>
  <c r="B88" i="17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8" l="1"/>
  <c r="F69"/>
  <c r="G6"/>
  <c r="G5"/>
  <c r="X60"/>
  <c r="X64"/>
  <c r="X65"/>
  <c r="X66"/>
  <c r="X68"/>
  <c r="X85"/>
  <c r="X86"/>
  <c r="X91"/>
  <c r="X61"/>
  <c r="X62"/>
  <c r="X63"/>
  <c r="X67"/>
  <c r="W80"/>
  <c r="U80"/>
  <c r="V80"/>
  <c r="F80" s="1"/>
  <c r="H80" s="1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U72"/>
  <c r="V72"/>
  <c r="F72" s="1"/>
  <c r="H72" s="1"/>
  <c r="W72"/>
  <c r="X84"/>
  <c r="X87"/>
  <c r="X88"/>
  <c r="X89"/>
  <c r="X90"/>
  <c r="X92"/>
  <c r="H4"/>
  <c r="U58" i="17"/>
  <c r="U70" s="1"/>
  <c r="U82" s="1"/>
  <c r="B47"/>
  <c r="G87" i="18"/>
  <c r="G91"/>
  <c r="G89"/>
  <c r="G88"/>
  <c r="G86"/>
  <c r="G67"/>
  <c r="G66"/>
  <c r="G90"/>
  <c r="G65"/>
  <c r="G63"/>
  <c r="G92"/>
  <c r="G85"/>
  <c r="G64"/>
  <c r="G60"/>
  <c r="G84"/>
  <c r="G61"/>
  <c r="G62"/>
  <c r="G68"/>
  <c r="F81" l="1"/>
  <c r="I90"/>
  <c r="I84"/>
  <c r="I92"/>
  <c r="I89"/>
  <c r="I87"/>
  <c r="I63"/>
  <c r="I61"/>
  <c r="I86"/>
  <c r="I68"/>
  <c r="I65"/>
  <c r="I60"/>
  <c r="I88"/>
  <c r="I67"/>
  <c r="I62"/>
  <c r="I91"/>
  <c r="I85"/>
  <c r="I66"/>
  <c r="I64"/>
  <c r="H6"/>
  <c r="H5"/>
  <c r="I4"/>
  <c r="X72"/>
  <c r="X73"/>
  <c r="X74"/>
  <c r="X75"/>
  <c r="X79"/>
  <c r="X76"/>
  <c r="X77"/>
  <c r="X78"/>
  <c r="X80"/>
  <c r="G7"/>
  <c r="O65" s="1"/>
  <c r="B76" i="17"/>
  <c r="B50"/>
  <c r="B46"/>
  <c r="G78" i="18"/>
  <c r="G72"/>
  <c r="G74"/>
  <c r="G76"/>
  <c r="G73"/>
  <c r="G75"/>
  <c r="G79"/>
  <c r="G80"/>
  <c r="G77"/>
  <c r="I69" l="1"/>
  <c r="I93"/>
  <c r="O3"/>
  <c r="O5"/>
  <c r="I78"/>
  <c r="I76"/>
  <c r="I75"/>
  <c r="I73"/>
  <c r="I80"/>
  <c r="I77"/>
  <c r="I79"/>
  <c r="I74"/>
  <c r="I72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17"/>
  <c r="B49"/>
  <c r="B79"/>
  <c r="B53"/>
  <c r="B45"/>
  <c r="I81" i="18" l="1"/>
  <c r="P3"/>
  <c r="P5"/>
  <c r="P9"/>
  <c r="P4"/>
  <c r="P6"/>
  <c r="P7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0"/>
  <c r="P57"/>
  <c r="P59"/>
  <c r="P61"/>
  <c r="P63"/>
  <c r="P65"/>
  <c r="I7"/>
  <c r="Q65" s="1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1"/>
  <c r="P54"/>
  <c r="P56"/>
  <c r="P53"/>
  <c r="P58"/>
  <c r="P60"/>
  <c r="P62"/>
  <c r="P64"/>
  <c r="B74" i="17"/>
  <c r="B48"/>
  <c r="B78"/>
  <c r="B52"/>
  <c r="Q4" i="18" l="1"/>
  <c r="M65"/>
  <c r="M4"/>
  <c r="Q8"/>
  <c r="M8" s="1"/>
  <c r="Q3"/>
  <c r="M3" s="1"/>
  <c r="Q5"/>
  <c r="M5" s="1"/>
  <c r="Q6"/>
  <c r="M6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17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2"/>
  <c r="E61"/>
  <c r="E65"/>
  <c r="E66"/>
  <c r="E60"/>
  <c r="E67"/>
  <c r="E68"/>
  <c r="E64"/>
  <c r="E63"/>
  <c r="M2" i="18" l="1"/>
  <c r="B12" s="1"/>
  <c r="E72" i="17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90"/>
  <c r="S61"/>
  <c r="S73" s="1"/>
  <c r="S85" s="1"/>
  <c r="B89"/>
  <c r="S60"/>
  <c r="S72" s="1"/>
  <c r="S84" s="1"/>
  <c r="B92"/>
  <c r="S63"/>
  <c r="S75" s="1"/>
  <c r="S87" s="1"/>
  <c r="C75"/>
  <c r="T63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18"/>
  <c r="K38" l="1"/>
  <c r="K12"/>
  <c r="C28" i="17"/>
  <c r="C37" s="1"/>
  <c r="C48" s="1"/>
  <c r="C66" s="1"/>
  <c r="C18"/>
  <c r="C21" s="1"/>
  <c r="J37"/>
  <c r="J34"/>
  <c r="J31"/>
  <c r="C84"/>
  <c r="T72"/>
  <c r="T84" s="1"/>
  <c r="C87"/>
  <c r="T75"/>
  <c r="T87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I43"/>
  <c r="G43"/>
  <c r="H43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50"/>
  <c r="K48"/>
  <c r="K45"/>
  <c r="K44"/>
  <c r="K47"/>
  <c r="F42" l="1"/>
  <c r="F51" s="1"/>
  <c r="D53"/>
  <c r="D46"/>
  <c r="D49"/>
  <c r="E55"/>
  <c r="J54"/>
  <c r="E43"/>
  <c r="J42"/>
  <c r="E51"/>
  <c r="D51"/>
  <c r="F56"/>
  <c r="E56"/>
  <c r="F54"/>
  <c r="D43"/>
  <c r="D52" s="1"/>
  <c r="F53"/>
  <c r="E46"/>
  <c r="J45"/>
  <c r="E49"/>
  <c r="J48"/>
  <c r="D55"/>
  <c r="E53"/>
  <c r="D56"/>
  <c r="E54"/>
  <c r="D54"/>
  <c r="F4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6"/>
  <c r="K8"/>
  <c r="K10"/>
  <c r="K49"/>
  <c r="K5"/>
  <c r="K42"/>
  <c r="K9"/>
  <c r="K43"/>
  <c r="K39"/>
  <c r="E52" l="1"/>
  <c r="F52"/>
  <c r="W92"/>
  <c r="U92"/>
  <c r="V92"/>
  <c r="F92" s="1"/>
  <c r="H92" s="1"/>
  <c r="W91"/>
  <c r="U91"/>
  <c r="V91"/>
  <c r="F91" s="1"/>
  <c r="H91" s="1"/>
  <c r="W90"/>
  <c r="U90"/>
  <c r="V90"/>
  <c r="F90" s="1"/>
  <c r="H90" s="1"/>
  <c r="W89"/>
  <c r="U89"/>
  <c r="V89"/>
  <c r="F89" s="1"/>
  <c r="H89" s="1"/>
  <c r="W88"/>
  <c r="U88"/>
  <c r="V88"/>
  <c r="F88" s="1"/>
  <c r="H88" s="1"/>
  <c r="W87"/>
  <c r="U87"/>
  <c r="V87"/>
  <c r="F87" s="1"/>
  <c r="H87" s="1"/>
  <c r="V86"/>
  <c r="F86" s="1"/>
  <c r="H86" s="1"/>
  <c r="W86"/>
  <c r="U86"/>
  <c r="W85"/>
  <c r="U85"/>
  <c r="V85"/>
  <c r="F85" s="1"/>
  <c r="H85" s="1"/>
  <c r="W84"/>
  <c r="U84"/>
  <c r="V84"/>
  <c r="F84" s="1"/>
  <c r="H84" s="1"/>
  <c r="F93" s="1"/>
  <c r="J51"/>
  <c r="W68"/>
  <c r="U68"/>
  <c r="V68"/>
  <c r="F68" s="1"/>
  <c r="H68" s="1"/>
  <c r="W67"/>
  <c r="V67"/>
  <c r="F67" s="1"/>
  <c r="H67" s="1"/>
  <c r="U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H4" s="1"/>
  <c r="K3"/>
  <c r="F3"/>
  <c r="E3"/>
  <c r="P2" s="1"/>
  <c r="D3"/>
  <c r="Q2"/>
  <c r="O2"/>
  <c r="B88" i="16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H6" i="17" l="1"/>
  <c r="H5"/>
  <c r="X61"/>
  <c r="X62"/>
  <c r="X63"/>
  <c r="X85"/>
  <c r="X86"/>
  <c r="X87"/>
  <c r="X89"/>
  <c r="X91"/>
  <c r="G6"/>
  <c r="G5"/>
  <c r="X60"/>
  <c r="X64"/>
  <c r="X65"/>
  <c r="X66"/>
  <c r="X67"/>
  <c r="X68"/>
  <c r="V80"/>
  <c r="F80" s="1"/>
  <c r="H80" s="1"/>
  <c r="W80"/>
  <c r="U80"/>
  <c r="W79"/>
  <c r="U79"/>
  <c r="V79"/>
  <c r="F79" s="1"/>
  <c r="H79" s="1"/>
  <c r="W78"/>
  <c r="V78"/>
  <c r="F78" s="1"/>
  <c r="H78" s="1"/>
  <c r="U78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F81" s="1"/>
  <c r="W72"/>
  <c r="U72"/>
  <c r="X84"/>
  <c r="X88"/>
  <c r="X90"/>
  <c r="X92"/>
  <c r="I4"/>
  <c r="U58" i="16"/>
  <c r="U70" s="1"/>
  <c r="U82" s="1"/>
  <c r="B47"/>
  <c r="G86" i="17"/>
  <c r="G65"/>
  <c r="G90"/>
  <c r="G61"/>
  <c r="G84"/>
  <c r="G88"/>
  <c r="G63"/>
  <c r="G68"/>
  <c r="G67"/>
  <c r="G92"/>
  <c r="G64"/>
  <c r="G66"/>
  <c r="G89"/>
  <c r="G85"/>
  <c r="G87"/>
  <c r="G60"/>
  <c r="G91"/>
  <c r="G62"/>
  <c r="I92" l="1"/>
  <c r="I88"/>
  <c r="I67"/>
  <c r="I65"/>
  <c r="I60"/>
  <c r="I89"/>
  <c r="I86"/>
  <c r="I63"/>
  <c r="I61"/>
  <c r="I90"/>
  <c r="I84"/>
  <c r="I68"/>
  <c r="I66"/>
  <c r="I64"/>
  <c r="I91"/>
  <c r="I87"/>
  <c r="I85"/>
  <c r="I62"/>
  <c r="X72"/>
  <c r="X73"/>
  <c r="X74"/>
  <c r="X75"/>
  <c r="X78"/>
  <c r="X79"/>
  <c r="X80"/>
  <c r="I6"/>
  <c r="I5"/>
  <c r="X76"/>
  <c r="X77"/>
  <c r="G7"/>
  <c r="O66" s="1"/>
  <c r="H7"/>
  <c r="P65" s="1"/>
  <c r="B76" i="16"/>
  <c r="B50"/>
  <c r="B46"/>
  <c r="G77" i="17"/>
  <c r="G79"/>
  <c r="G76"/>
  <c r="G74"/>
  <c r="G80"/>
  <c r="G75"/>
  <c r="G73"/>
  <c r="G72"/>
  <c r="G78"/>
  <c r="I93" l="1"/>
  <c r="I69"/>
  <c r="P4"/>
  <c r="P8"/>
  <c r="P22"/>
  <c r="P30"/>
  <c r="P3"/>
  <c r="P5"/>
  <c r="P6"/>
  <c r="P10"/>
  <c r="P17"/>
  <c r="P24"/>
  <c r="P28"/>
  <c r="O4"/>
  <c r="P15"/>
  <c r="P26"/>
  <c r="I77"/>
  <c r="I80"/>
  <c r="I78"/>
  <c r="I74"/>
  <c r="I72"/>
  <c r="I76"/>
  <c r="I79"/>
  <c r="I75"/>
  <c r="I73"/>
  <c r="I7"/>
  <c r="Q66" s="1"/>
  <c r="P32"/>
  <c r="P34"/>
  <c r="P36"/>
  <c r="P11"/>
  <c r="P14"/>
  <c r="P19"/>
  <c r="P37"/>
  <c r="P40"/>
  <c r="P42"/>
  <c r="P44"/>
  <c r="P46"/>
  <c r="P48"/>
  <c r="P51"/>
  <c r="P54"/>
  <c r="P56"/>
  <c r="P53"/>
  <c r="P58"/>
  <c r="P60"/>
  <c r="P62"/>
  <c r="P64"/>
  <c r="P66"/>
  <c r="M66" s="1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O65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0"/>
  <c r="P57"/>
  <c r="P59"/>
  <c r="P61"/>
  <c r="P63"/>
  <c r="O3"/>
  <c r="O5"/>
  <c r="O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B75" i="16"/>
  <c r="B49"/>
  <c r="B79"/>
  <c r="B53"/>
  <c r="B45"/>
  <c r="I81" i="17" l="1"/>
  <c r="Q3"/>
  <c r="M3" s="1"/>
  <c r="Q5"/>
  <c r="M5" s="1"/>
  <c r="Q4"/>
  <c r="M4" s="1"/>
  <c r="Q6"/>
  <c r="M6" s="1"/>
  <c r="Q9"/>
  <c r="Q18"/>
  <c r="M18" s="1"/>
  <c r="M9"/>
  <c r="Q7"/>
  <c r="M7" s="1"/>
  <c r="Q13"/>
  <c r="M13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4" i="16"/>
  <c r="B48"/>
  <c r="B78"/>
  <c r="B52"/>
  <c r="M2" i="17" l="1"/>
  <c r="B12" s="1"/>
  <c r="B77" i="16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K4" i="17"/>
  <c r="E62" i="16"/>
  <c r="E60"/>
  <c r="E64"/>
  <c r="E61"/>
  <c r="E66"/>
  <c r="E68"/>
  <c r="E63"/>
  <c r="E67"/>
  <c r="E65"/>
  <c r="K38" i="17" l="1"/>
  <c r="K12"/>
  <c r="E72" i="16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B89"/>
  <c r="S60"/>
  <c r="S72" s="1"/>
  <c r="S84" s="1"/>
  <c r="B90"/>
  <c r="S61"/>
  <c r="S73" s="1"/>
  <c r="S85" s="1"/>
  <c r="B92"/>
  <c r="S63"/>
  <c r="S75" s="1"/>
  <c r="S87" s="1"/>
  <c r="C75"/>
  <c r="T63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7"/>
  <c r="T75"/>
  <c r="T87" s="1"/>
  <c r="C84"/>
  <c r="T72"/>
  <c r="T84" s="1"/>
  <c r="I31" l="1"/>
  <c r="G32"/>
  <c r="H33"/>
  <c r="G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D43" s="1"/>
  <c r="G43"/>
  <c r="F43" s="1"/>
  <c r="I54"/>
  <c r="G54"/>
  <c r="H54"/>
  <c r="H56"/>
  <c r="I56"/>
  <c r="G56"/>
  <c r="H49"/>
  <c r="I49"/>
  <c r="G49"/>
  <c r="F49" s="1"/>
  <c r="H46"/>
  <c r="I46"/>
  <c r="D46" s="1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5"/>
  <c r="K44"/>
  <c r="K47"/>
  <c r="K42"/>
  <c r="F50" l="1"/>
  <c r="E48"/>
  <c r="E51" s="1"/>
  <c r="D48"/>
  <c r="E55"/>
  <c r="J54"/>
  <c r="E49"/>
  <c r="J48"/>
  <c r="D53"/>
  <c r="D51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3"/>
  <c r="K39"/>
  <c r="K10"/>
  <c r="K48"/>
  <c r="K5"/>
  <c r="K8"/>
  <c r="K46"/>
  <c r="K9"/>
  <c r="K49"/>
  <c r="K50"/>
  <c r="E52" l="1"/>
  <c r="V89"/>
  <c r="F89" s="1"/>
  <c r="H89" s="1"/>
  <c r="W89"/>
  <c r="U89"/>
  <c r="W88"/>
  <c r="U88"/>
  <c r="V88"/>
  <c r="F88" s="1"/>
  <c r="H88" s="1"/>
  <c r="W87"/>
  <c r="V87"/>
  <c r="F87" s="1"/>
  <c r="H87" s="1"/>
  <c r="U87"/>
  <c r="V86"/>
  <c r="F86" s="1"/>
  <c r="H86" s="1"/>
  <c r="W86"/>
  <c r="U86"/>
  <c r="W85"/>
  <c r="V85"/>
  <c r="F85" s="1"/>
  <c r="H85" s="1"/>
  <c r="U85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U67"/>
  <c r="V67"/>
  <c r="F67" s="1"/>
  <c r="H67" s="1"/>
  <c r="W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15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6" l="1"/>
  <c r="F69"/>
  <c r="H6"/>
  <c r="H5"/>
  <c r="I4"/>
  <c r="X61"/>
  <c r="X62"/>
  <c r="X63"/>
  <c r="X90"/>
  <c r="X92"/>
  <c r="V80"/>
  <c r="F80" s="1"/>
  <c r="H80" s="1"/>
  <c r="W80"/>
  <c r="U80"/>
  <c r="W79"/>
  <c r="U79"/>
  <c r="V79"/>
  <c r="F79" s="1"/>
  <c r="H79" s="1"/>
  <c r="W78"/>
  <c r="V78"/>
  <c r="F78" s="1"/>
  <c r="H78" s="1"/>
  <c r="U78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W72"/>
  <c r="U72"/>
  <c r="X84"/>
  <c r="X85"/>
  <c r="X87"/>
  <c r="X88"/>
  <c r="X89"/>
  <c r="G6"/>
  <c r="G5"/>
  <c r="X60"/>
  <c r="X64"/>
  <c r="X65"/>
  <c r="X66"/>
  <c r="X67"/>
  <c r="X68"/>
  <c r="X91"/>
  <c r="X86"/>
  <c r="U58" i="15"/>
  <c r="U70" s="1"/>
  <c r="U82" s="1"/>
  <c r="B47"/>
  <c r="G85" i="16"/>
  <c r="G65"/>
  <c r="G61"/>
  <c r="G90"/>
  <c r="G91"/>
  <c r="G66"/>
  <c r="G92"/>
  <c r="G86"/>
  <c r="G84"/>
  <c r="G60"/>
  <c r="G63"/>
  <c r="G64"/>
  <c r="G89"/>
  <c r="G67"/>
  <c r="G88"/>
  <c r="G68"/>
  <c r="G62"/>
  <c r="G87"/>
  <c r="F81" l="1"/>
  <c r="I65"/>
  <c r="I90"/>
  <c r="I62"/>
  <c r="I91"/>
  <c r="I67"/>
  <c r="I60"/>
  <c r="I88"/>
  <c r="I85"/>
  <c r="I86"/>
  <c r="I68"/>
  <c r="I66"/>
  <c r="I64"/>
  <c r="I89"/>
  <c r="I87"/>
  <c r="I84"/>
  <c r="I92"/>
  <c r="I63"/>
  <c r="I61"/>
  <c r="X74"/>
  <c r="X75"/>
  <c r="X78"/>
  <c r="X79"/>
  <c r="X80"/>
  <c r="I6"/>
  <c r="I5"/>
  <c r="X72"/>
  <c r="X73"/>
  <c r="G7"/>
  <c r="O66" s="1"/>
  <c r="X76"/>
  <c r="X77"/>
  <c r="H7"/>
  <c r="P65" s="1"/>
  <c r="B76" i="15"/>
  <c r="B50"/>
  <c r="B46"/>
  <c r="G74" i="16"/>
  <c r="G72"/>
  <c r="G78"/>
  <c r="G79"/>
  <c r="G80"/>
  <c r="G77"/>
  <c r="G75"/>
  <c r="G76"/>
  <c r="G73"/>
  <c r="I93" l="1"/>
  <c r="I69"/>
  <c r="P4"/>
  <c r="P3"/>
  <c r="P5"/>
  <c r="O3"/>
  <c r="O5"/>
  <c r="P6"/>
  <c r="P7"/>
  <c r="P12"/>
  <c r="P21"/>
  <c r="P25"/>
  <c r="P29"/>
  <c r="P33"/>
  <c r="P9"/>
  <c r="P16"/>
  <c r="P23"/>
  <c r="P27"/>
  <c r="P31"/>
  <c r="I76"/>
  <c r="I73"/>
  <c r="I80"/>
  <c r="I78"/>
  <c r="I74"/>
  <c r="I77"/>
  <c r="I72"/>
  <c r="I79"/>
  <c r="I75"/>
  <c r="I7"/>
  <c r="Q65" s="1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0"/>
  <c r="P52"/>
  <c r="P55"/>
  <c r="P53"/>
  <c r="P58"/>
  <c r="P60"/>
  <c r="P62"/>
  <c r="P64"/>
  <c r="P66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O65"/>
  <c r="M65" s="1"/>
  <c r="P35"/>
  <c r="P38"/>
  <c r="P13"/>
  <c r="P18"/>
  <c r="P20"/>
  <c r="P39"/>
  <c r="P40"/>
  <c r="P43"/>
  <c r="P45"/>
  <c r="P47"/>
  <c r="P49"/>
  <c r="P51"/>
  <c r="P54"/>
  <c r="P56"/>
  <c r="P57"/>
  <c r="P59"/>
  <c r="P61"/>
  <c r="P63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B75" i="15"/>
  <c r="B49"/>
  <c r="B79"/>
  <c r="B53"/>
  <c r="B45"/>
  <c r="I81" i="16" l="1"/>
  <c r="Q3"/>
  <c r="M3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4"/>
  <c r="M4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15"/>
  <c r="B48"/>
  <c r="B78"/>
  <c r="B52"/>
  <c r="M2" i="16" l="1"/>
  <c r="B12" s="1"/>
  <c r="B77" i="15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7"/>
  <c r="C20" s="1"/>
  <c r="C16"/>
  <c r="C19" s="1"/>
  <c r="F15"/>
  <c r="E15"/>
  <c r="D15"/>
  <c r="C14"/>
  <c r="C25" s="1"/>
  <c r="C34" s="1"/>
  <c r="C45" s="1"/>
  <c r="C63" s="1"/>
  <c r="E65"/>
  <c r="E64"/>
  <c r="E66"/>
  <c r="E68"/>
  <c r="E60"/>
  <c r="E63"/>
  <c r="K4" i="16"/>
  <c r="E67" i="15"/>
  <c r="E61"/>
  <c r="E62"/>
  <c r="K38" i="16" l="1"/>
  <c r="K12"/>
  <c r="E72" i="15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J37" l="1"/>
  <c r="J34"/>
  <c r="J31"/>
  <c r="C84"/>
  <c r="T72"/>
  <c r="T84" s="1"/>
  <c r="C87"/>
  <c r="T75"/>
  <c r="T87" s="1"/>
  <c r="C28"/>
  <c r="C37" s="1"/>
  <c r="C48" s="1"/>
  <c r="C66" s="1"/>
  <c r="C18"/>
  <c r="C21" s="1"/>
  <c r="C78" l="1"/>
  <c r="T66"/>
  <c r="I34"/>
  <c r="G36"/>
  <c r="G35"/>
  <c r="H36"/>
  <c r="G34"/>
  <c r="H35"/>
  <c r="I36"/>
  <c r="H34"/>
  <c r="I35"/>
  <c r="G32"/>
  <c r="H33"/>
  <c r="G31"/>
  <c r="H32"/>
  <c r="I33"/>
  <c r="H31"/>
  <c r="I32"/>
  <c r="I31"/>
  <c r="G33"/>
  <c r="H38"/>
  <c r="H37"/>
  <c r="I38"/>
  <c r="I37"/>
  <c r="I39"/>
  <c r="G38"/>
  <c r="H39"/>
  <c r="G37"/>
  <c r="G39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C7"/>
  <c r="K6"/>
  <c r="D9" l="1"/>
  <c r="K40"/>
  <c r="I42"/>
  <c r="G42"/>
  <c r="H42"/>
  <c r="H44"/>
  <c r="I44"/>
  <c r="G44"/>
  <c r="H55"/>
  <c r="I55"/>
  <c r="G55"/>
  <c r="F55" s="1"/>
  <c r="I48"/>
  <c r="G48"/>
  <c r="H48"/>
  <c r="I50"/>
  <c r="G50"/>
  <c r="H50"/>
  <c r="H46"/>
  <c r="I46"/>
  <c r="G46"/>
  <c r="F46" s="1"/>
  <c r="H43"/>
  <c r="I43"/>
  <c r="G43"/>
  <c r="F43" s="1"/>
  <c r="I54"/>
  <c r="G54"/>
  <c r="F54" s="1"/>
  <c r="H54"/>
  <c r="H56"/>
  <c r="E56" s="1"/>
  <c r="I56"/>
  <c r="G56"/>
  <c r="F56" s="1"/>
  <c r="H49"/>
  <c r="I49"/>
  <c r="G49"/>
  <c r="F49" s="1"/>
  <c r="I45"/>
  <c r="G45"/>
  <c r="F45" s="1"/>
  <c r="H45"/>
  <c r="H47"/>
  <c r="E47" s="1"/>
  <c r="I47"/>
  <c r="G47"/>
  <c r="F47" s="1"/>
  <c r="B6"/>
  <c r="D56" l="1"/>
  <c r="E54"/>
  <c r="D54"/>
  <c r="D55"/>
  <c r="D43"/>
  <c r="F44"/>
  <c r="E44"/>
  <c r="F42"/>
  <c r="E49"/>
  <c r="J48"/>
  <c r="E46"/>
  <c r="J45"/>
  <c r="F52"/>
  <c r="E43"/>
  <c r="J42"/>
  <c r="E55"/>
  <c r="J54"/>
  <c r="F50"/>
  <c r="E48"/>
  <c r="D48"/>
  <c r="D47"/>
  <c r="E45"/>
  <c r="D45"/>
  <c r="D49"/>
  <c r="D46"/>
  <c r="E50"/>
  <c r="E53" s="1"/>
  <c r="D50"/>
  <c r="F48"/>
  <c r="D44"/>
  <c r="E42"/>
  <c r="D42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9"/>
  <c r="K43"/>
  <c r="K46"/>
  <c r="K10"/>
  <c r="K49"/>
  <c r="K48"/>
  <c r="K50"/>
  <c r="K45"/>
  <c r="K44"/>
  <c r="K8"/>
  <c r="K42"/>
  <c r="K39"/>
  <c r="K47"/>
  <c r="K5"/>
  <c r="D51" l="1"/>
  <c r="E52"/>
  <c r="D52"/>
  <c r="D53"/>
  <c r="W68"/>
  <c r="U68"/>
  <c r="V68"/>
  <c r="F68" s="1"/>
  <c r="H68" s="1"/>
  <c r="W67"/>
  <c r="V67"/>
  <c r="F67" s="1"/>
  <c r="H67" s="1"/>
  <c r="U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F53"/>
  <c r="E51"/>
  <c r="V89"/>
  <c r="F89" s="1"/>
  <c r="H89" s="1"/>
  <c r="W89"/>
  <c r="U89"/>
  <c r="W88"/>
  <c r="U88"/>
  <c r="V88"/>
  <c r="F88" s="1"/>
  <c r="H88" s="1"/>
  <c r="U87"/>
  <c r="V87"/>
  <c r="F87" s="1"/>
  <c r="H87" s="1"/>
  <c r="W87"/>
  <c r="W92"/>
  <c r="U92"/>
  <c r="V92"/>
  <c r="F92" s="1"/>
  <c r="H92" s="1"/>
  <c r="W91"/>
  <c r="U91"/>
  <c r="V91"/>
  <c r="F91" s="1"/>
  <c r="H91" s="1"/>
  <c r="W90"/>
  <c r="U90"/>
  <c r="V90"/>
  <c r="F90" s="1"/>
  <c r="H90" s="1"/>
  <c r="F51"/>
  <c r="G4"/>
  <c r="H4" s="1"/>
  <c r="K3"/>
  <c r="F3"/>
  <c r="E3"/>
  <c r="P2" s="1"/>
  <c r="D3"/>
  <c r="Q2"/>
  <c r="O2"/>
  <c r="B88" i="14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15" l="1"/>
  <c r="F93"/>
  <c r="H6"/>
  <c r="H5"/>
  <c r="X90"/>
  <c r="X92"/>
  <c r="X87"/>
  <c r="X88"/>
  <c r="X89"/>
  <c r="X85"/>
  <c r="X86"/>
  <c r="X60"/>
  <c r="X64"/>
  <c r="X65"/>
  <c r="X66"/>
  <c r="X67"/>
  <c r="X68"/>
  <c r="G6"/>
  <c r="G5"/>
  <c r="X91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61"/>
  <c r="X62"/>
  <c r="X63"/>
  <c r="I4"/>
  <c r="U58" i="14"/>
  <c r="U70" s="1"/>
  <c r="U82" s="1"/>
  <c r="B47"/>
  <c r="G84" i="15"/>
  <c r="G92"/>
  <c r="G64"/>
  <c r="G87"/>
  <c r="G89"/>
  <c r="G63"/>
  <c r="G65"/>
  <c r="G66"/>
  <c r="G90"/>
  <c r="G60"/>
  <c r="G68"/>
  <c r="G67"/>
  <c r="G85"/>
  <c r="G61"/>
  <c r="G86"/>
  <c r="G62"/>
  <c r="G91"/>
  <c r="G88"/>
  <c r="I84" l="1"/>
  <c r="I63"/>
  <c r="I61"/>
  <c r="I68"/>
  <c r="I66"/>
  <c r="I64"/>
  <c r="I86"/>
  <c r="I89"/>
  <c r="I87"/>
  <c r="I90"/>
  <c r="I62"/>
  <c r="I91"/>
  <c r="I67"/>
  <c r="I65"/>
  <c r="I60"/>
  <c r="I85"/>
  <c r="I88"/>
  <c r="I92"/>
  <c r="I6"/>
  <c r="I5"/>
  <c r="X72"/>
  <c r="X73"/>
  <c r="X74"/>
  <c r="X75"/>
  <c r="X79"/>
  <c r="X80"/>
  <c r="G7"/>
  <c r="O65" s="1"/>
  <c r="X76"/>
  <c r="X77"/>
  <c r="X78"/>
  <c r="H7"/>
  <c r="P65" s="1"/>
  <c r="B76" i="14"/>
  <c r="B50"/>
  <c r="B46"/>
  <c r="G74" i="15"/>
  <c r="G76"/>
  <c r="G77"/>
  <c r="G78"/>
  <c r="G75"/>
  <c r="G79"/>
  <c r="G73"/>
  <c r="G72"/>
  <c r="G80"/>
  <c r="I69" l="1"/>
  <c r="I93"/>
  <c r="P3"/>
  <c r="O4"/>
  <c r="O8"/>
  <c r="O14"/>
  <c r="O37"/>
  <c r="O3"/>
  <c r="O5"/>
  <c r="O6"/>
  <c r="O11"/>
  <c r="O19"/>
  <c r="I77"/>
  <c r="I79"/>
  <c r="I74"/>
  <c r="I72"/>
  <c r="I78"/>
  <c r="I76"/>
  <c r="I80"/>
  <c r="I75"/>
  <c r="I73"/>
  <c r="P5"/>
  <c r="P8"/>
  <c r="P15"/>
  <c r="P22"/>
  <c r="P26"/>
  <c r="P30"/>
  <c r="P34"/>
  <c r="P11"/>
  <c r="P19"/>
  <c r="P40"/>
  <c r="P42"/>
  <c r="P46"/>
  <c r="P48"/>
  <c r="P51"/>
  <c r="P54"/>
  <c r="P56"/>
  <c r="P53"/>
  <c r="P58"/>
  <c r="P60"/>
  <c r="P62"/>
  <c r="P64"/>
  <c r="P66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I7"/>
  <c r="Q65" s="1"/>
  <c r="M65" s="1"/>
  <c r="P10"/>
  <c r="P17"/>
  <c r="P24"/>
  <c r="P28"/>
  <c r="P32"/>
  <c r="P36"/>
  <c r="P14"/>
  <c r="P37"/>
  <c r="P44"/>
  <c r="P4"/>
  <c r="P6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2"/>
  <c r="P55"/>
  <c r="P50"/>
  <c r="P57"/>
  <c r="P59"/>
  <c r="P61"/>
  <c r="P63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14"/>
  <c r="B49"/>
  <c r="B79"/>
  <c r="B53"/>
  <c r="B45"/>
  <c r="I81" i="15" l="1"/>
  <c r="Q4"/>
  <c r="M4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2"/>
  <c r="M52" s="1"/>
  <c r="Q51"/>
  <c r="M51" s="1"/>
  <c r="Q57"/>
  <c r="M57" s="1"/>
  <c r="Q59"/>
  <c r="M59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0"/>
  <c r="M50" s="1"/>
  <c r="Q53"/>
  <c r="M53" s="1"/>
  <c r="Q58"/>
  <c r="M58" s="1"/>
  <c r="Q54"/>
  <c r="M54" s="1"/>
  <c r="Q56"/>
  <c r="M56" s="1"/>
  <c r="Q61"/>
  <c r="M61" s="1"/>
  <c r="Q63"/>
  <c r="M63" s="1"/>
  <c r="B74" i="14"/>
  <c r="B48"/>
  <c r="B78"/>
  <c r="B52"/>
  <c r="M2" i="15" l="1"/>
  <c r="B12" s="1"/>
  <c r="B77" i="14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7"/>
  <c r="C20" s="1"/>
  <c r="C16"/>
  <c r="C19" s="1"/>
  <c r="F15"/>
  <c r="E15"/>
  <c r="D15"/>
  <c r="C14"/>
  <c r="C25" s="1"/>
  <c r="C34" s="1"/>
  <c r="C45" s="1"/>
  <c r="C63" s="1"/>
  <c r="E60"/>
  <c r="E62"/>
  <c r="E61"/>
  <c r="E63"/>
  <c r="E67"/>
  <c r="K4" i="15"/>
  <c r="E64" i="14"/>
  <c r="E66"/>
  <c r="E68"/>
  <c r="E65"/>
  <c r="K38" i="15" l="1"/>
  <c r="K12"/>
  <c r="E72" i="14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C75"/>
  <c r="T63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J37" l="1"/>
  <c r="J34"/>
  <c r="J31"/>
  <c r="C28"/>
  <c r="C37" s="1"/>
  <c r="C48" s="1"/>
  <c r="C66" s="1"/>
  <c r="C18"/>
  <c r="C21" s="1"/>
  <c r="C87"/>
  <c r="T75"/>
  <c r="T87" s="1"/>
  <c r="C84"/>
  <c r="T72"/>
  <c r="T84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D49" s="1"/>
  <c r="G49"/>
  <c r="F49" s="1"/>
  <c r="H43"/>
  <c r="I43"/>
  <c r="G43"/>
  <c r="F43" s="1"/>
  <c r="I54"/>
  <c r="G54"/>
  <c r="H54"/>
  <c r="H56"/>
  <c r="I56"/>
  <c r="G56"/>
  <c r="H46"/>
  <c r="I46"/>
  <c r="D46" s="1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50"/>
  <c r="K48"/>
  <c r="K45"/>
  <c r="K47"/>
  <c r="F44" l="1"/>
  <c r="E44"/>
  <c r="F42"/>
  <c r="D53"/>
  <c r="E51"/>
  <c r="D51"/>
  <c r="E55"/>
  <c r="J54"/>
  <c r="F52"/>
  <c r="E43"/>
  <c r="J42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"/>
  <c r="K8"/>
  <c r="K9"/>
  <c r="K49"/>
  <c r="K46"/>
  <c r="K42"/>
  <c r="K39"/>
  <c r="K44"/>
  <c r="K10"/>
  <c r="K43"/>
  <c r="V86" l="1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89"/>
  <c r="U89"/>
  <c r="V89"/>
  <c r="F89" s="1"/>
  <c r="H89" s="1"/>
  <c r="W88"/>
  <c r="U88"/>
  <c r="V88"/>
  <c r="F88" s="1"/>
  <c r="H88" s="1"/>
  <c r="W87"/>
  <c r="V87"/>
  <c r="F87" s="1"/>
  <c r="H87" s="1"/>
  <c r="U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D3"/>
  <c r="Q2"/>
  <c r="P2"/>
  <c r="O2"/>
  <c r="B88" i="13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4" l="1"/>
  <c r="F69"/>
  <c r="G6"/>
  <c r="G5"/>
  <c r="X60"/>
  <c r="X64"/>
  <c r="X65"/>
  <c r="X66"/>
  <c r="X68"/>
  <c r="X89"/>
  <c r="X91"/>
  <c r="X85"/>
  <c r="X86"/>
  <c r="X61"/>
  <c r="X62"/>
  <c r="X63"/>
  <c r="X67"/>
  <c r="X87"/>
  <c r="X88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U72"/>
  <c r="V72"/>
  <c r="F72" s="1"/>
  <c r="H72" s="1"/>
  <c r="F81" s="1"/>
  <c r="W72"/>
  <c r="X84"/>
  <c r="H4"/>
  <c r="U58" i="13"/>
  <c r="U70" s="1"/>
  <c r="U82" s="1"/>
  <c r="B47"/>
  <c r="G60" i="14"/>
  <c r="G63"/>
  <c r="G65"/>
  <c r="G61"/>
  <c r="G64"/>
  <c r="G92"/>
  <c r="G90"/>
  <c r="G91"/>
  <c r="G88"/>
  <c r="G66"/>
  <c r="G86"/>
  <c r="G84"/>
  <c r="G89"/>
  <c r="G87"/>
  <c r="G62"/>
  <c r="G68"/>
  <c r="G85"/>
  <c r="G67"/>
  <c r="I84" l="1"/>
  <c r="I92"/>
  <c r="I88"/>
  <c r="I67"/>
  <c r="I62"/>
  <c r="I86"/>
  <c r="I91"/>
  <c r="I68"/>
  <c r="I65"/>
  <c r="I60"/>
  <c r="I90"/>
  <c r="I87"/>
  <c r="I63"/>
  <c r="I61"/>
  <c r="I85"/>
  <c r="I89"/>
  <c r="I66"/>
  <c r="I64"/>
  <c r="H6"/>
  <c r="H5"/>
  <c r="I4"/>
  <c r="X76"/>
  <c r="X77"/>
  <c r="X78"/>
  <c r="X72"/>
  <c r="X73"/>
  <c r="X74"/>
  <c r="X75"/>
  <c r="X79"/>
  <c r="X80"/>
  <c r="G7"/>
  <c r="O65" s="1"/>
  <c r="B76" i="13"/>
  <c r="B50"/>
  <c r="B46"/>
  <c r="G74" i="14"/>
  <c r="G79"/>
  <c r="G72"/>
  <c r="G75"/>
  <c r="G77"/>
  <c r="G73"/>
  <c r="G76"/>
  <c r="G78"/>
  <c r="G80"/>
  <c r="I93" l="1"/>
  <c r="I69"/>
  <c r="O3"/>
  <c r="O5"/>
  <c r="I79"/>
  <c r="I74"/>
  <c r="I72"/>
  <c r="I77"/>
  <c r="I80"/>
  <c r="I75"/>
  <c r="I73"/>
  <c r="I78"/>
  <c r="I76"/>
  <c r="I6"/>
  <c r="I5"/>
  <c r="O8"/>
  <c r="O13"/>
  <c r="O18"/>
  <c r="O20"/>
  <c r="O11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4"/>
  <c r="O19"/>
  <c r="O37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13"/>
  <c r="B49"/>
  <c r="B79"/>
  <c r="B53"/>
  <c r="B45"/>
  <c r="I81" i="14" l="1"/>
  <c r="P4"/>
  <c r="P7"/>
  <c r="P9"/>
  <c r="P16"/>
  <c r="P21"/>
  <c r="P23"/>
  <c r="P25"/>
  <c r="P27"/>
  <c r="P29"/>
  <c r="P31"/>
  <c r="P33"/>
  <c r="P35"/>
  <c r="P38"/>
  <c r="P12"/>
  <c r="P13"/>
  <c r="P18"/>
  <c r="P20"/>
  <c r="P40"/>
  <c r="P39"/>
  <c r="P43"/>
  <c r="P45"/>
  <c r="P47"/>
  <c r="P49"/>
  <c r="P51"/>
  <c r="P54"/>
  <c r="P56"/>
  <c r="P57"/>
  <c r="P59"/>
  <c r="P61"/>
  <c r="P63"/>
  <c r="P65"/>
  <c r="I7"/>
  <c r="Q65" s="1"/>
  <c r="P3"/>
  <c r="P5"/>
  <c r="P6"/>
  <c r="P8"/>
  <c r="P15"/>
  <c r="P17"/>
  <c r="P22"/>
  <c r="P24"/>
  <c r="P26"/>
  <c r="P28"/>
  <c r="P30"/>
  <c r="P32"/>
  <c r="P34"/>
  <c r="P36"/>
  <c r="P10"/>
  <c r="P11"/>
  <c r="P14"/>
  <c r="P19"/>
  <c r="P37"/>
  <c r="P41"/>
  <c r="P42"/>
  <c r="P44"/>
  <c r="P46"/>
  <c r="P48"/>
  <c r="P50"/>
  <c r="P52"/>
  <c r="P55"/>
  <c r="P53"/>
  <c r="P58"/>
  <c r="P60"/>
  <c r="P62"/>
  <c r="P64"/>
  <c r="B74" i="13"/>
  <c r="B48"/>
  <c r="B78"/>
  <c r="B52"/>
  <c r="Q3" i="14" l="1"/>
  <c r="M3" s="1"/>
  <c r="M65"/>
  <c r="Q5"/>
  <c r="M5" s="1"/>
  <c r="Q4"/>
  <c r="M4" s="1"/>
  <c r="Q6"/>
  <c r="M6" s="1"/>
  <c r="Q8"/>
  <c r="M8" s="1"/>
  <c r="Q13"/>
  <c r="M13" s="1"/>
  <c r="Q18"/>
  <c r="M18" s="1"/>
  <c r="Q20"/>
  <c r="M20" s="1"/>
  <c r="Q11"/>
  <c r="M11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4"/>
  <c r="M14" s="1"/>
  <c r="Q19"/>
  <c r="M19" s="1"/>
  <c r="Q37"/>
  <c r="M37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13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4"/>
  <c r="E65"/>
  <c r="E68"/>
  <c r="E62"/>
  <c r="E66"/>
  <c r="E63"/>
  <c r="E61"/>
  <c r="E60"/>
  <c r="E67"/>
  <c r="M2" i="14" l="1"/>
  <c r="B12" s="1"/>
  <c r="K12" s="1"/>
  <c r="E72" i="13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14"/>
  <c r="K38" l="1"/>
  <c r="C28" i="13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D48" s="1"/>
  <c r="G48"/>
  <c r="F48" s="1"/>
  <c r="H48"/>
  <c r="E48" s="1"/>
  <c r="I50"/>
  <c r="D50" s="1"/>
  <c r="G50"/>
  <c r="F50" s="1"/>
  <c r="H50"/>
  <c r="E50" s="1"/>
  <c r="I42"/>
  <c r="D42" s="1"/>
  <c r="G42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4"/>
  <c r="K45"/>
  <c r="K50"/>
  <c r="K47"/>
  <c r="K48"/>
  <c r="D46" l="1"/>
  <c r="F42"/>
  <c r="D53"/>
  <c r="D49"/>
  <c r="E55"/>
  <c r="J54"/>
  <c r="F52"/>
  <c r="E43"/>
  <c r="J42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3"/>
  <c r="K5"/>
  <c r="K8"/>
  <c r="K46"/>
  <c r="K42"/>
  <c r="K49"/>
  <c r="K39"/>
  <c r="K9"/>
  <c r="K10"/>
  <c r="V86" l="1"/>
  <c r="F86" s="1"/>
  <c r="H86" s="1"/>
  <c r="W86"/>
  <c r="U86"/>
  <c r="W85"/>
  <c r="U85"/>
  <c r="V85"/>
  <c r="F85" s="1"/>
  <c r="H85" s="1"/>
  <c r="W84"/>
  <c r="U84"/>
  <c r="V84"/>
  <c r="F84" s="1"/>
  <c r="H84" s="1"/>
  <c r="J51"/>
  <c r="V92"/>
  <c r="F92" s="1"/>
  <c r="H92" s="1"/>
  <c r="W92"/>
  <c r="U92"/>
  <c r="V91"/>
  <c r="F91" s="1"/>
  <c r="H91" s="1"/>
  <c r="W91"/>
  <c r="U9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U87"/>
  <c r="V87"/>
  <c r="F87" s="1"/>
  <c r="H87" s="1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F69" s="1"/>
  <c r="G4"/>
  <c r="K3"/>
  <c r="F3"/>
  <c r="E3"/>
  <c r="D3"/>
  <c r="Q2"/>
  <c r="P2"/>
  <c r="O2"/>
  <c r="B88" i="12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3" l="1"/>
  <c r="G6"/>
  <c r="G5"/>
  <c r="X60"/>
  <c r="X64"/>
  <c r="X65"/>
  <c r="X66"/>
  <c r="X68"/>
  <c r="X87"/>
  <c r="X92"/>
  <c r="X85"/>
  <c r="X86"/>
  <c r="X61"/>
  <c r="X62"/>
  <c r="X63"/>
  <c r="X67"/>
  <c r="X88"/>
  <c r="X89"/>
  <c r="X90"/>
  <c r="X91"/>
  <c r="W80"/>
  <c r="U80"/>
  <c r="V80"/>
  <c r="F80" s="1"/>
  <c r="H80" s="1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U72"/>
  <c r="X84"/>
  <c r="H4"/>
  <c r="U58" i="12"/>
  <c r="U70" s="1"/>
  <c r="U82" s="1"/>
  <c r="B47"/>
  <c r="G64" i="13"/>
  <c r="G86"/>
  <c r="G60"/>
  <c r="G68"/>
  <c r="G87"/>
  <c r="G65"/>
  <c r="G66"/>
  <c r="G84"/>
  <c r="G91"/>
  <c r="G85"/>
  <c r="G88"/>
  <c r="G89"/>
  <c r="G92"/>
  <c r="G61"/>
  <c r="G63"/>
  <c r="G67"/>
  <c r="G62"/>
  <c r="G90"/>
  <c r="F81" l="1"/>
  <c r="I84"/>
  <c r="I91"/>
  <c r="I89"/>
  <c r="I67"/>
  <c r="I62"/>
  <c r="I86"/>
  <c r="I92"/>
  <c r="I68"/>
  <c r="I65"/>
  <c r="I60"/>
  <c r="I90"/>
  <c r="I88"/>
  <c r="I63"/>
  <c r="I61"/>
  <c r="I85"/>
  <c r="I87"/>
  <c r="I66"/>
  <c r="I64"/>
  <c r="X76"/>
  <c r="X77"/>
  <c r="X78"/>
  <c r="X80"/>
  <c r="H6"/>
  <c r="H5"/>
  <c r="I4"/>
  <c r="X72"/>
  <c r="X73"/>
  <c r="X74"/>
  <c r="X75"/>
  <c r="X79"/>
  <c r="G7"/>
  <c r="O65" s="1"/>
  <c r="B76" i="12"/>
  <c r="B50"/>
  <c r="B46"/>
  <c r="G78" i="13"/>
  <c r="G80"/>
  <c r="G74"/>
  <c r="G75"/>
  <c r="G77"/>
  <c r="G76"/>
  <c r="G73"/>
  <c r="G72"/>
  <c r="G79"/>
  <c r="I69" l="1"/>
  <c r="I93"/>
  <c r="O3"/>
  <c r="O5"/>
  <c r="I75"/>
  <c r="I73"/>
  <c r="I78"/>
  <c r="I76"/>
  <c r="I79"/>
  <c r="I74"/>
  <c r="I72"/>
  <c r="I80"/>
  <c r="I77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P4"/>
  <c r="P3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12"/>
  <c r="B49"/>
  <c r="B79"/>
  <c r="B53"/>
  <c r="B45"/>
  <c r="I81" i="13" l="1"/>
  <c r="P5"/>
  <c r="P6"/>
  <c r="P7"/>
  <c r="P21"/>
  <c r="P12"/>
  <c r="P25"/>
  <c r="P9"/>
  <c r="P16"/>
  <c r="P23"/>
  <c r="P27"/>
  <c r="P29"/>
  <c r="P31"/>
  <c r="P33"/>
  <c r="P35"/>
  <c r="P38"/>
  <c r="P13"/>
  <c r="P18"/>
  <c r="P20"/>
  <c r="P40"/>
  <c r="P41"/>
  <c r="P43"/>
  <c r="P45"/>
  <c r="P47"/>
  <c r="P49"/>
  <c r="P52"/>
  <c r="P55"/>
  <c r="P51"/>
  <c r="P57"/>
  <c r="P59"/>
  <c r="P61"/>
  <c r="P63"/>
  <c r="P65"/>
  <c r="I7"/>
  <c r="Q66" s="1"/>
  <c r="M66" s="1"/>
  <c r="P8"/>
  <c r="P10"/>
  <c r="P15"/>
  <c r="P17"/>
  <c r="P22"/>
  <c r="P24"/>
  <c r="P26"/>
  <c r="P28"/>
  <c r="P30"/>
  <c r="P32"/>
  <c r="P34"/>
  <c r="P36"/>
  <c r="P11"/>
  <c r="P14"/>
  <c r="P19"/>
  <c r="P37"/>
  <c r="P39"/>
  <c r="P42"/>
  <c r="P44"/>
  <c r="P46"/>
  <c r="P48"/>
  <c r="P50"/>
  <c r="P54"/>
  <c r="P56"/>
  <c r="P53"/>
  <c r="P58"/>
  <c r="P60"/>
  <c r="P62"/>
  <c r="P64"/>
  <c r="B74" i="12"/>
  <c r="B48"/>
  <c r="B78"/>
  <c r="B52"/>
  <c r="Q4" i="13" l="1"/>
  <c r="M4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3"/>
  <c r="M3" s="1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7" i="12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1"/>
  <c r="E68"/>
  <c r="E63"/>
  <c r="E60"/>
  <c r="E65"/>
  <c r="E62"/>
  <c r="E64"/>
  <c r="E67"/>
  <c r="E66"/>
  <c r="M2" i="13" l="1"/>
  <c r="B12" s="1"/>
  <c r="E72" i="12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13"/>
  <c r="K38" l="1"/>
  <c r="K12"/>
  <c r="C28" i="12"/>
  <c r="C37" s="1"/>
  <c r="C48" s="1"/>
  <c r="C66" s="1"/>
  <c r="C18"/>
  <c r="C21" s="1"/>
  <c r="J37"/>
  <c r="J34"/>
  <c r="J31"/>
  <c r="C84"/>
  <c r="T72"/>
  <c r="T84" s="1"/>
  <c r="C87"/>
  <c r="T75"/>
  <c r="T87" s="1"/>
  <c r="G31" l="1"/>
  <c r="G32"/>
  <c r="H33"/>
  <c r="I31"/>
  <c r="G33"/>
  <c r="H31"/>
  <c r="I32"/>
  <c r="H32"/>
  <c r="I33"/>
  <c r="H37"/>
  <c r="I38"/>
  <c r="G37"/>
  <c r="H38"/>
  <c r="I39"/>
  <c r="I37"/>
  <c r="G38"/>
  <c r="H39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H48"/>
  <c r="I48"/>
  <c r="D48" s="1"/>
  <c r="G48"/>
  <c r="I50"/>
  <c r="D50" s="1"/>
  <c r="G50"/>
  <c r="H50"/>
  <c r="E50" s="1"/>
  <c r="I42"/>
  <c r="D42" s="1"/>
  <c r="G42"/>
  <c r="H42"/>
  <c r="E42" s="1"/>
  <c r="H44"/>
  <c r="I44"/>
  <c r="D44" s="1"/>
  <c r="G44"/>
  <c r="H55"/>
  <c r="I55"/>
  <c r="G55"/>
  <c r="F55" s="1"/>
  <c r="I45"/>
  <c r="D45" s="1"/>
  <c r="G45"/>
  <c r="H45"/>
  <c r="E45" s="1"/>
  <c r="H47"/>
  <c r="I47"/>
  <c r="D47" s="1"/>
  <c r="G47"/>
  <c r="B6"/>
  <c r="F47" l="1"/>
  <c r="E47"/>
  <c r="F45"/>
  <c r="D46"/>
  <c r="F44"/>
  <c r="E44"/>
  <c r="F42"/>
  <c r="F50"/>
  <c r="F48"/>
  <c r="F51" s="1"/>
  <c r="E48"/>
  <c r="D49"/>
  <c r="D53"/>
  <c r="E55"/>
  <c r="J54"/>
  <c r="F52"/>
  <c r="E43"/>
  <c r="J42"/>
  <c r="E51"/>
  <c r="D51"/>
  <c r="F56"/>
  <c r="E56"/>
  <c r="F54"/>
  <c r="E46"/>
  <c r="J45"/>
  <c r="E49"/>
  <c r="J48"/>
  <c r="D55"/>
  <c r="E53"/>
  <c r="D56"/>
  <c r="E54"/>
  <c r="D54"/>
  <c r="D4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5"/>
  <c r="K10"/>
  <c r="K44"/>
  <c r="K50"/>
  <c r="K8"/>
  <c r="K43"/>
  <c r="K46"/>
  <c r="K48"/>
  <c r="K9"/>
  <c r="K47"/>
  <c r="K39"/>
  <c r="K42"/>
  <c r="K45"/>
  <c r="K49"/>
  <c r="F53" l="1"/>
  <c r="D52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U87"/>
  <c r="V87"/>
  <c r="F87" s="1"/>
  <c r="H87" s="1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P2" s="1"/>
  <c r="D3"/>
  <c r="Q2"/>
  <c r="O2"/>
  <c r="B88" i="11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2" l="1"/>
  <c r="F69"/>
  <c r="G6"/>
  <c r="G5"/>
  <c r="X60"/>
  <c r="X64"/>
  <c r="X65"/>
  <c r="X66"/>
  <c r="X68"/>
  <c r="X87"/>
  <c r="X91"/>
  <c r="X85"/>
  <c r="X86"/>
  <c r="X61"/>
  <c r="X62"/>
  <c r="X63"/>
  <c r="X6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U72"/>
  <c r="V72"/>
  <c r="F72" s="1"/>
  <c r="H72" s="1"/>
  <c r="F81" s="1"/>
  <c r="X84"/>
  <c r="H4"/>
  <c r="U58" i="11"/>
  <c r="U70" s="1"/>
  <c r="U82" s="1"/>
  <c r="B47"/>
  <c r="G60" i="12"/>
  <c r="G90"/>
  <c r="G86"/>
  <c r="G68"/>
  <c r="G62"/>
  <c r="G67"/>
  <c r="G66"/>
  <c r="G61"/>
  <c r="G87"/>
  <c r="G64"/>
  <c r="G88"/>
  <c r="G91"/>
  <c r="G84"/>
  <c r="G63"/>
  <c r="G65"/>
  <c r="G92"/>
  <c r="G89"/>
  <c r="G85"/>
  <c r="I84" l="1"/>
  <c r="I92"/>
  <c r="I89"/>
  <c r="I67"/>
  <c r="I62"/>
  <c r="I86"/>
  <c r="I91"/>
  <c r="I68"/>
  <c r="I65"/>
  <c r="I60"/>
  <c r="I90"/>
  <c r="I88"/>
  <c r="I63"/>
  <c r="I61"/>
  <c r="I85"/>
  <c r="I87"/>
  <c r="I66"/>
  <c r="I64"/>
  <c r="X72"/>
  <c r="X76"/>
  <c r="X77"/>
  <c r="X78"/>
  <c r="H6"/>
  <c r="H5"/>
  <c r="I4"/>
  <c r="X73"/>
  <c r="X74"/>
  <c r="X75"/>
  <c r="X79"/>
  <c r="X80"/>
  <c r="G7"/>
  <c r="O65" s="1"/>
  <c r="B76" i="11"/>
  <c r="B50"/>
  <c r="B46"/>
  <c r="G73" i="12"/>
  <c r="G79"/>
  <c r="G80"/>
  <c r="G75"/>
  <c r="G78"/>
  <c r="G74"/>
  <c r="G77"/>
  <c r="G76"/>
  <c r="G72"/>
  <c r="I93" l="1"/>
  <c r="I69"/>
  <c r="O3"/>
  <c r="O5"/>
  <c r="I79"/>
  <c r="I74"/>
  <c r="I77"/>
  <c r="I72"/>
  <c r="I80"/>
  <c r="I75"/>
  <c r="I73"/>
  <c r="I78"/>
  <c r="I76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11"/>
  <c r="B49"/>
  <c r="B79"/>
  <c r="B53"/>
  <c r="B45"/>
  <c r="I81" i="12" l="1"/>
  <c r="P3"/>
  <c r="P5"/>
  <c r="P4"/>
  <c r="P6"/>
  <c r="P7"/>
  <c r="P9"/>
  <c r="P12"/>
  <c r="P16"/>
  <c r="P21"/>
  <c r="P23"/>
  <c r="P25"/>
  <c r="P27"/>
  <c r="P29"/>
  <c r="P31"/>
  <c r="P33"/>
  <c r="P35"/>
  <c r="P38"/>
  <c r="P13"/>
  <c r="P18"/>
  <c r="P20"/>
  <c r="P39"/>
  <c r="P40"/>
  <c r="P43"/>
  <c r="P45"/>
  <c r="P47"/>
  <c r="P49"/>
  <c r="P52"/>
  <c r="P55"/>
  <c r="P51"/>
  <c r="P57"/>
  <c r="P59"/>
  <c r="P61"/>
  <c r="P63"/>
  <c r="P65"/>
  <c r="I7"/>
  <c r="Q65" s="1"/>
  <c r="P8"/>
  <c r="P10"/>
  <c r="P15"/>
  <c r="P17"/>
  <c r="P22"/>
  <c r="P24"/>
  <c r="P26"/>
  <c r="P28"/>
  <c r="P30"/>
  <c r="P32"/>
  <c r="P34"/>
  <c r="P36"/>
  <c r="P11"/>
  <c r="P14"/>
  <c r="P19"/>
  <c r="P37"/>
  <c r="P41"/>
  <c r="P42"/>
  <c r="P44"/>
  <c r="P46"/>
  <c r="P48"/>
  <c r="P50"/>
  <c r="P54"/>
  <c r="P56"/>
  <c r="P53"/>
  <c r="P58"/>
  <c r="P60"/>
  <c r="P62"/>
  <c r="P64"/>
  <c r="B74" i="11"/>
  <c r="B48"/>
  <c r="B78"/>
  <c r="B52"/>
  <c r="Q3" i="12" l="1"/>
  <c r="Q4"/>
  <c r="M65"/>
  <c r="M3"/>
  <c r="M4"/>
  <c r="Q5"/>
  <c r="M5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7" i="11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6"/>
  <c r="E63"/>
  <c r="E60"/>
  <c r="E65"/>
  <c r="E67"/>
  <c r="E68"/>
  <c r="E64"/>
  <c r="E62"/>
  <c r="E61"/>
  <c r="M2" i="12" l="1"/>
  <c r="B12" s="1"/>
  <c r="E72" i="11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B89"/>
  <c r="S60"/>
  <c r="S72" s="1"/>
  <c r="S84" s="1"/>
  <c r="B90"/>
  <c r="S61"/>
  <c r="S73" s="1"/>
  <c r="S85" s="1"/>
  <c r="B92"/>
  <c r="S63"/>
  <c r="S75" s="1"/>
  <c r="S87" s="1"/>
  <c r="C75"/>
  <c r="T63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K4" i="12"/>
  <c r="K38" l="1"/>
  <c r="K12"/>
  <c r="C28" i="11"/>
  <c r="C37" s="1"/>
  <c r="C48" s="1"/>
  <c r="C66" s="1"/>
  <c r="C18"/>
  <c r="C21" s="1"/>
  <c r="J37"/>
  <c r="J34"/>
  <c r="J31"/>
  <c r="C84"/>
  <c r="T72"/>
  <c r="T84" s="1"/>
  <c r="C87"/>
  <c r="T75"/>
  <c r="T87" s="1"/>
  <c r="I31" l="1"/>
  <c r="G32"/>
  <c r="H33"/>
  <c r="G31"/>
  <c r="G33"/>
  <c r="H31"/>
  <c r="I32"/>
  <c r="H32"/>
  <c r="I33"/>
  <c r="H37"/>
  <c r="I38"/>
  <c r="G37"/>
  <c r="H38"/>
  <c r="I39"/>
  <c r="I37"/>
  <c r="G38"/>
  <c r="H39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G42"/>
  <c r="F42" s="1"/>
  <c r="H42"/>
  <c r="H44"/>
  <c r="E44" s="1"/>
  <c r="I44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H45"/>
  <c r="E45" s="1"/>
  <c r="H47"/>
  <c r="I47"/>
  <c r="D47" s="1"/>
  <c r="G47"/>
  <c r="B6"/>
  <c r="F50" l="1"/>
  <c r="E48"/>
  <c r="D48"/>
  <c r="F47"/>
  <c r="E47"/>
  <c r="E53" s="1"/>
  <c r="F45"/>
  <c r="D44"/>
  <c r="E42"/>
  <c r="D42"/>
  <c r="D51" s="1"/>
  <c r="D46"/>
  <c r="D43"/>
  <c r="E55"/>
  <c r="J54"/>
  <c r="E49"/>
  <c r="J48"/>
  <c r="E51"/>
  <c r="D56"/>
  <c r="E54"/>
  <c r="D54"/>
  <c r="F51"/>
  <c r="E46"/>
  <c r="J45"/>
  <c r="F52"/>
  <c r="E43"/>
  <c r="J42"/>
  <c r="D55"/>
  <c r="D49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2"/>
  <c r="K47"/>
  <c r="K44"/>
  <c r="K39"/>
  <c r="K46"/>
  <c r="K43"/>
  <c r="K8"/>
  <c r="K50"/>
  <c r="K48"/>
  <c r="K45"/>
  <c r="K9"/>
  <c r="K5"/>
  <c r="K10"/>
  <c r="K49"/>
  <c r="F53" l="1"/>
  <c r="D52"/>
  <c r="E52"/>
  <c r="D53"/>
  <c r="V89"/>
  <c r="F89" s="1"/>
  <c r="H89" s="1"/>
  <c r="W89"/>
  <c r="U89"/>
  <c r="W88"/>
  <c r="U88"/>
  <c r="V88"/>
  <c r="F88" s="1"/>
  <c r="H88" s="1"/>
  <c r="W87"/>
  <c r="V87"/>
  <c r="F87" s="1"/>
  <c r="H87" s="1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V67"/>
  <c r="F67" s="1"/>
  <c r="H67" s="1"/>
  <c r="W67"/>
  <c r="U67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10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69" i="11" l="1"/>
  <c r="F93"/>
  <c r="H6"/>
  <c r="H5"/>
  <c r="I4"/>
  <c r="X61"/>
  <c r="X62"/>
  <c r="X63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V73"/>
  <c r="F73" s="1"/>
  <c r="H73" s="1"/>
  <c r="U73"/>
  <c r="V72"/>
  <c r="F72" s="1"/>
  <c r="H72" s="1"/>
  <c r="F81" s="1"/>
  <c r="W72"/>
  <c r="U72"/>
  <c r="X84"/>
  <c r="X87"/>
  <c r="X88"/>
  <c r="X89"/>
  <c r="G6"/>
  <c r="G5"/>
  <c r="X60"/>
  <c r="X64"/>
  <c r="X65"/>
  <c r="X66"/>
  <c r="X67"/>
  <c r="X68"/>
  <c r="X91"/>
  <c r="X85"/>
  <c r="X86"/>
  <c r="U58" i="10"/>
  <c r="U70" s="1"/>
  <c r="U82" s="1"/>
  <c r="B47"/>
  <c r="G84" i="11"/>
  <c r="G65"/>
  <c r="G91"/>
  <c r="G85"/>
  <c r="G90"/>
  <c r="G64"/>
  <c r="G60"/>
  <c r="G87"/>
  <c r="G62"/>
  <c r="G66"/>
  <c r="G86"/>
  <c r="G67"/>
  <c r="G61"/>
  <c r="G88"/>
  <c r="G89"/>
  <c r="G68"/>
  <c r="G92"/>
  <c r="G63"/>
  <c r="I85" l="1"/>
  <c r="I66"/>
  <c r="I89"/>
  <c r="I87"/>
  <c r="I90"/>
  <c r="I62"/>
  <c r="I68"/>
  <c r="I64"/>
  <c r="I86"/>
  <c r="I91"/>
  <c r="I67"/>
  <c r="I65"/>
  <c r="I60"/>
  <c r="I88"/>
  <c r="I84"/>
  <c r="I92"/>
  <c r="I63"/>
  <c r="I61"/>
  <c r="G7"/>
  <c r="O65" s="1"/>
  <c r="X72"/>
  <c r="X74"/>
  <c r="X75"/>
  <c r="X79"/>
  <c r="X80"/>
  <c r="I6"/>
  <c r="I5"/>
  <c r="X73"/>
  <c r="X76"/>
  <c r="X77"/>
  <c r="X78"/>
  <c r="H7"/>
  <c r="P65" s="1"/>
  <c r="B76" i="10"/>
  <c r="B50"/>
  <c r="B46"/>
  <c r="G80" i="11"/>
  <c r="G72"/>
  <c r="G74"/>
  <c r="G75"/>
  <c r="G78"/>
  <c r="G73"/>
  <c r="G79"/>
  <c r="G77"/>
  <c r="G76"/>
  <c r="I93" l="1"/>
  <c r="I69"/>
  <c r="O3"/>
  <c r="P15"/>
  <c r="P22"/>
  <c r="P34"/>
  <c r="P11"/>
  <c r="P19"/>
  <c r="P39"/>
  <c r="P4"/>
  <c r="P8"/>
  <c r="P26"/>
  <c r="P30"/>
  <c r="P3"/>
  <c r="P5"/>
  <c r="P6"/>
  <c r="P10"/>
  <c r="P17"/>
  <c r="P24"/>
  <c r="P28"/>
  <c r="P32"/>
  <c r="P36"/>
  <c r="P14"/>
  <c r="P37"/>
  <c r="O5"/>
  <c r="I77"/>
  <c r="I73"/>
  <c r="I79"/>
  <c r="I74"/>
  <c r="I78"/>
  <c r="I76"/>
  <c r="I80"/>
  <c r="I75"/>
  <c r="I72"/>
  <c r="P42"/>
  <c r="P44"/>
  <c r="P46"/>
  <c r="P48"/>
  <c r="P51"/>
  <c r="P54"/>
  <c r="P56"/>
  <c r="P53"/>
  <c r="P58"/>
  <c r="P60"/>
  <c r="P62"/>
  <c r="P64"/>
  <c r="P66"/>
  <c r="O8"/>
  <c r="O10"/>
  <c r="O13"/>
  <c r="O18"/>
  <c r="O20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I7"/>
  <c r="Q65" s="1"/>
  <c r="M65" s="1"/>
  <c r="P7"/>
  <c r="P9"/>
  <c r="P12"/>
  <c r="P16"/>
  <c r="P21"/>
  <c r="P23"/>
  <c r="P25"/>
  <c r="P27"/>
  <c r="P29"/>
  <c r="P31"/>
  <c r="P33"/>
  <c r="P35"/>
  <c r="P38"/>
  <c r="P13"/>
  <c r="P18"/>
  <c r="P20"/>
  <c r="P41"/>
  <c r="P40"/>
  <c r="P43"/>
  <c r="P45"/>
  <c r="P47"/>
  <c r="P49"/>
  <c r="P52"/>
  <c r="P55"/>
  <c r="P50"/>
  <c r="P57"/>
  <c r="P59"/>
  <c r="P61"/>
  <c r="P63"/>
  <c r="O4"/>
  <c r="O6"/>
  <c r="O7"/>
  <c r="O9"/>
  <c r="O11"/>
  <c r="O14"/>
  <c r="O19"/>
  <c r="O37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10"/>
  <c r="B49"/>
  <c r="B79"/>
  <c r="B53"/>
  <c r="B45"/>
  <c r="I81" i="11" l="1"/>
  <c r="Q3"/>
  <c r="M3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4"/>
  <c r="M4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10"/>
  <c r="B48"/>
  <c r="B78"/>
  <c r="B52"/>
  <c r="M2" i="11" l="1"/>
  <c r="B12" s="1"/>
  <c r="B77" i="10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0"/>
  <c r="E61"/>
  <c r="K4" i="11"/>
  <c r="E65" i="10"/>
  <c r="E64"/>
  <c r="E62"/>
  <c r="E67"/>
  <c r="E63"/>
  <c r="E66"/>
  <c r="E68"/>
  <c r="K38" i="11" l="1"/>
  <c r="K12"/>
  <c r="E72" i="10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B89"/>
  <c r="S60"/>
  <c r="S72" s="1"/>
  <c r="S84" s="1"/>
  <c r="B90"/>
  <c r="S61"/>
  <c r="S73" s="1"/>
  <c r="S85" s="1"/>
  <c r="B92"/>
  <c r="S63"/>
  <c r="S75" s="1"/>
  <c r="S87" s="1"/>
  <c r="C72"/>
  <c r="T60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4"/>
  <c r="T72"/>
  <c r="T84" s="1"/>
  <c r="C87"/>
  <c r="T75"/>
  <c r="T87" s="1"/>
  <c r="I31" l="1"/>
  <c r="G32"/>
  <c r="H33"/>
  <c r="G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5"/>
  <c r="K47"/>
  <c r="K44"/>
  <c r="K42"/>
  <c r="F55" l="1"/>
  <c r="D46"/>
  <c r="F50"/>
  <c r="E48"/>
  <c r="D48"/>
  <c r="D43"/>
  <c r="E55"/>
  <c r="J54"/>
  <c r="E49"/>
  <c r="J48"/>
  <c r="D53"/>
  <c r="E51"/>
  <c r="D51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3"/>
  <c r="K39"/>
  <c r="K5"/>
  <c r="K9"/>
  <c r="K48"/>
  <c r="K50"/>
  <c r="K8"/>
  <c r="K46"/>
  <c r="K49"/>
  <c r="K10"/>
  <c r="E52" l="1"/>
  <c r="V89"/>
  <c r="F89" s="1"/>
  <c r="H89" s="1"/>
  <c r="W89"/>
  <c r="U89"/>
  <c r="W88"/>
  <c r="U88"/>
  <c r="V88"/>
  <c r="F88" s="1"/>
  <c r="H88" s="1"/>
  <c r="V87"/>
  <c r="F87" s="1"/>
  <c r="H87" s="1"/>
  <c r="W87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9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10" l="1"/>
  <c r="F69"/>
  <c r="H6"/>
  <c r="H5"/>
  <c r="X61"/>
  <c r="X62"/>
  <c r="X63"/>
  <c r="X67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V72"/>
  <c r="F72" s="1"/>
  <c r="H72" s="1"/>
  <c r="W72"/>
  <c r="U72"/>
  <c r="X84"/>
  <c r="X87"/>
  <c r="X88"/>
  <c r="X89"/>
  <c r="G6"/>
  <c r="G5"/>
  <c r="X60"/>
  <c r="X64"/>
  <c r="X65"/>
  <c r="X66"/>
  <c r="X68"/>
  <c r="X91"/>
  <c r="X85"/>
  <c r="X86"/>
  <c r="I4"/>
  <c r="U58" i="9"/>
  <c r="U70" s="1"/>
  <c r="U82" s="1"/>
  <c r="B47"/>
  <c r="G91" i="10"/>
  <c r="G92"/>
  <c r="G67"/>
  <c r="G87"/>
  <c r="G61"/>
  <c r="G88"/>
  <c r="G63"/>
  <c r="G68"/>
  <c r="G84"/>
  <c r="G60"/>
  <c r="G89"/>
  <c r="G85"/>
  <c r="G86"/>
  <c r="G65"/>
  <c r="G62"/>
  <c r="G66"/>
  <c r="G90"/>
  <c r="G64"/>
  <c r="F81" l="1"/>
  <c r="I91"/>
  <c r="I66"/>
  <c r="I64"/>
  <c r="I89"/>
  <c r="I87"/>
  <c r="I90"/>
  <c r="I63"/>
  <c r="I61"/>
  <c r="I86"/>
  <c r="I85"/>
  <c r="I68"/>
  <c r="I65"/>
  <c r="I60"/>
  <c r="I88"/>
  <c r="I84"/>
  <c r="I92"/>
  <c r="I67"/>
  <c r="I62"/>
  <c r="G7"/>
  <c r="O65" s="1"/>
  <c r="X72"/>
  <c r="X73"/>
  <c r="X74"/>
  <c r="X75"/>
  <c r="X79"/>
  <c r="X80"/>
  <c r="I6"/>
  <c r="I5"/>
  <c r="X76"/>
  <c r="X77"/>
  <c r="X78"/>
  <c r="H7"/>
  <c r="P65" s="1"/>
  <c r="B76" i="9"/>
  <c r="B50"/>
  <c r="B46"/>
  <c r="G75" i="10"/>
  <c r="G73"/>
  <c r="G78"/>
  <c r="G74"/>
  <c r="G77"/>
  <c r="G80"/>
  <c r="G79"/>
  <c r="G72"/>
  <c r="G76"/>
  <c r="I93" l="1"/>
  <c r="I69"/>
  <c r="O4"/>
  <c r="O3"/>
  <c r="O5"/>
  <c r="O6"/>
  <c r="P4"/>
  <c r="O19"/>
  <c r="O11"/>
  <c r="P8"/>
  <c r="P15"/>
  <c r="P22"/>
  <c r="P26"/>
  <c r="P30"/>
  <c r="P34"/>
  <c r="P11"/>
  <c r="P19"/>
  <c r="P39"/>
  <c r="P44"/>
  <c r="P48"/>
  <c r="P55"/>
  <c r="P3"/>
  <c r="P5"/>
  <c r="P6"/>
  <c r="P10"/>
  <c r="P17"/>
  <c r="P24"/>
  <c r="P28"/>
  <c r="P32"/>
  <c r="P36"/>
  <c r="P14"/>
  <c r="P37"/>
  <c r="P42"/>
  <c r="P46"/>
  <c r="P52"/>
  <c r="O8"/>
  <c r="O14"/>
  <c r="O37"/>
  <c r="I77"/>
  <c r="I80"/>
  <c r="I75"/>
  <c r="I73"/>
  <c r="I78"/>
  <c r="I76"/>
  <c r="I79"/>
  <c r="I74"/>
  <c r="I72"/>
  <c r="I7"/>
  <c r="Q65" s="1"/>
  <c r="M65" s="1"/>
  <c r="P50"/>
  <c r="P53"/>
  <c r="P58"/>
  <c r="P60"/>
  <c r="P62"/>
  <c r="P64"/>
  <c r="P66"/>
  <c r="O12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O66"/>
  <c r="P7"/>
  <c r="P9"/>
  <c r="P12"/>
  <c r="P16"/>
  <c r="P21"/>
  <c r="P23"/>
  <c r="P25"/>
  <c r="P27"/>
  <c r="P29"/>
  <c r="P31"/>
  <c r="P33"/>
  <c r="P35"/>
  <c r="P38"/>
  <c r="P13"/>
  <c r="P18"/>
  <c r="P20"/>
  <c r="P40"/>
  <c r="P41"/>
  <c r="P43"/>
  <c r="P45"/>
  <c r="P47"/>
  <c r="P49"/>
  <c r="P54"/>
  <c r="P56"/>
  <c r="P51"/>
  <c r="P57"/>
  <c r="P59"/>
  <c r="P61"/>
  <c r="P63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B75" i="9"/>
  <c r="B49"/>
  <c r="B79"/>
  <c r="B53"/>
  <c r="B45"/>
  <c r="I81" i="10" l="1"/>
  <c r="Q3"/>
  <c r="M3" s="1"/>
  <c r="Q5"/>
  <c r="M5" s="1"/>
  <c r="Q4"/>
  <c r="M4" s="1"/>
  <c r="Q6"/>
  <c r="M6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9"/>
  <c r="B48"/>
  <c r="B78"/>
  <c r="B52"/>
  <c r="M2" i="10" l="1"/>
  <c r="B12" s="1"/>
  <c r="B77" i="9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C19"/>
  <c r="F18"/>
  <c r="E18"/>
  <c r="D18"/>
  <c r="C16"/>
  <c r="F15"/>
  <c r="E15"/>
  <c r="D15"/>
  <c r="C14"/>
  <c r="C25" s="1"/>
  <c r="C34" s="1"/>
  <c r="C45" s="1"/>
  <c r="C63" s="1"/>
  <c r="E63"/>
  <c r="E66"/>
  <c r="E65"/>
  <c r="K4" i="10"/>
  <c r="E60" i="9"/>
  <c r="E67"/>
  <c r="E64"/>
  <c r="E61"/>
  <c r="E62"/>
  <c r="E68"/>
  <c r="K38" i="10" l="1"/>
  <c r="K12"/>
  <c r="E72" i="9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C75"/>
  <c r="T63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7"/>
  <c r="T75"/>
  <c r="T87" s="1"/>
  <c r="C84"/>
  <c r="T72"/>
  <c r="T84" s="1"/>
  <c r="I31" l="1"/>
  <c r="G32"/>
  <c r="H33"/>
  <c r="G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7"/>
  <c r="K44"/>
  <c r="K42"/>
  <c r="K45"/>
  <c r="D46" l="1"/>
  <c r="D43"/>
  <c r="F50"/>
  <c r="E48"/>
  <c r="E51" s="1"/>
  <c r="D48"/>
  <c r="D51" s="1"/>
  <c r="E55"/>
  <c r="J54"/>
  <c r="E49"/>
  <c r="J48"/>
  <c r="D53"/>
  <c r="D56"/>
  <c r="E54"/>
  <c r="D54"/>
  <c r="F53"/>
  <c r="F51"/>
  <c r="E46"/>
  <c r="J45"/>
  <c r="F52"/>
  <c r="E43"/>
  <c r="J42"/>
  <c r="D55"/>
  <c r="E53"/>
  <c r="D49"/>
  <c r="D52" s="1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6"/>
  <c r="K8"/>
  <c r="K43"/>
  <c r="K39"/>
  <c r="K9"/>
  <c r="K49"/>
  <c r="K5"/>
  <c r="K48"/>
  <c r="K50"/>
  <c r="K10"/>
  <c r="E52" l="1"/>
  <c r="V89"/>
  <c r="F89" s="1"/>
  <c r="H89" s="1"/>
  <c r="W89"/>
  <c r="U89"/>
  <c r="W88"/>
  <c r="U88"/>
  <c r="V88"/>
  <c r="F88" s="1"/>
  <c r="H88" s="1"/>
  <c r="U87"/>
  <c r="V87"/>
  <c r="F87" s="1"/>
  <c r="H87" s="1"/>
  <c r="W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V91"/>
  <c r="F91" s="1"/>
  <c r="H91" s="1"/>
  <c r="U9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B88" i="8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9" l="1"/>
  <c r="F69"/>
  <c r="H6"/>
  <c r="H5"/>
  <c r="I4"/>
  <c r="X61"/>
  <c r="X62"/>
  <c r="X63"/>
  <c r="X67"/>
  <c r="X90"/>
  <c r="X91"/>
  <c r="X92"/>
  <c r="V80"/>
  <c r="F80" s="1"/>
  <c r="H80" s="1"/>
  <c r="W80"/>
  <c r="U80"/>
  <c r="W79"/>
  <c r="V79"/>
  <c r="F79" s="1"/>
  <c r="H79" s="1"/>
  <c r="U79"/>
  <c r="W78"/>
  <c r="U78"/>
  <c r="V78"/>
  <c r="F78" s="1"/>
  <c r="H78" s="1"/>
  <c r="W77"/>
  <c r="U77"/>
  <c r="V77"/>
  <c r="F77" s="1"/>
  <c r="H77" s="1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87"/>
  <c r="X88"/>
  <c r="X89"/>
  <c r="G6"/>
  <c r="G5"/>
  <c r="X60"/>
  <c r="X64"/>
  <c r="X65"/>
  <c r="X66"/>
  <c r="X68"/>
  <c r="X85"/>
  <c r="X86"/>
  <c r="U58" i="8"/>
  <c r="U70" s="1"/>
  <c r="U82" s="1"/>
  <c r="B47"/>
  <c r="G68" i="9"/>
  <c r="G86"/>
  <c r="G66"/>
  <c r="G90"/>
  <c r="G84"/>
  <c r="G60"/>
  <c r="G63"/>
  <c r="G87"/>
  <c r="G92"/>
  <c r="G88"/>
  <c r="G89"/>
  <c r="G61"/>
  <c r="G64"/>
  <c r="G65"/>
  <c r="G91"/>
  <c r="G85"/>
  <c r="G62"/>
  <c r="G67"/>
  <c r="I85" l="1"/>
  <c r="I66"/>
  <c r="I64"/>
  <c r="I89"/>
  <c r="I87"/>
  <c r="I91"/>
  <c r="I67"/>
  <c r="I62"/>
  <c r="I86"/>
  <c r="I68"/>
  <c r="I65"/>
  <c r="I60"/>
  <c r="I88"/>
  <c r="I84"/>
  <c r="I92"/>
  <c r="I90"/>
  <c r="I63"/>
  <c r="I61"/>
  <c r="G7"/>
  <c r="O65" s="1"/>
  <c r="O3"/>
  <c r="X72"/>
  <c r="X73"/>
  <c r="X74"/>
  <c r="X75"/>
  <c r="X77"/>
  <c r="X80"/>
  <c r="I6"/>
  <c r="I5"/>
  <c r="X76"/>
  <c r="X78"/>
  <c r="X79"/>
  <c r="H7"/>
  <c r="P65" s="1"/>
  <c r="B76" i="8"/>
  <c r="B50"/>
  <c r="B46"/>
  <c r="G79" i="9"/>
  <c r="G78"/>
  <c r="G74"/>
  <c r="G80"/>
  <c r="G73"/>
  <c r="G75"/>
  <c r="G77"/>
  <c r="G76"/>
  <c r="G72"/>
  <c r="I93" l="1"/>
  <c r="I69"/>
  <c r="O5"/>
  <c r="O4"/>
  <c r="O6"/>
  <c r="O7"/>
  <c r="O13"/>
  <c r="O20"/>
  <c r="O9"/>
  <c r="O18"/>
  <c r="I78"/>
  <c r="I80"/>
  <c r="I75"/>
  <c r="I73"/>
  <c r="I79"/>
  <c r="I76"/>
  <c r="I77"/>
  <c r="I74"/>
  <c r="I72"/>
  <c r="I7"/>
  <c r="Q65" s="1"/>
  <c r="M65" s="1"/>
  <c r="Q4"/>
  <c r="Q3"/>
  <c r="P9"/>
  <c r="P10"/>
  <c r="P17"/>
  <c r="P3"/>
  <c r="M3" s="1"/>
  <c r="P5"/>
  <c r="P6"/>
  <c r="P8"/>
  <c r="P11"/>
  <c r="P14"/>
  <c r="P12"/>
  <c r="P16"/>
  <c r="P21"/>
  <c r="P23"/>
  <c r="P25"/>
  <c r="P27"/>
  <c r="P29"/>
  <c r="P31"/>
  <c r="P33"/>
  <c r="P35"/>
  <c r="P38"/>
  <c r="P19"/>
  <c r="P37"/>
  <c r="P40"/>
  <c r="P42"/>
  <c r="P44"/>
  <c r="P46"/>
  <c r="P48"/>
  <c r="P51"/>
  <c r="P54"/>
  <c r="P56"/>
  <c r="P53"/>
  <c r="P58"/>
  <c r="P60"/>
  <c r="P62"/>
  <c r="P64"/>
  <c r="P66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P4"/>
  <c r="M4" s="1"/>
  <c r="P7"/>
  <c r="P13"/>
  <c r="P15"/>
  <c r="P22"/>
  <c r="P24"/>
  <c r="P26"/>
  <c r="P28"/>
  <c r="P30"/>
  <c r="P32"/>
  <c r="P34"/>
  <c r="P36"/>
  <c r="P18"/>
  <c r="P20"/>
  <c r="P39"/>
  <c r="P41"/>
  <c r="P43"/>
  <c r="P45"/>
  <c r="P47"/>
  <c r="P49"/>
  <c r="P52"/>
  <c r="P55"/>
  <c r="P50"/>
  <c r="P57"/>
  <c r="P59"/>
  <c r="P61"/>
  <c r="P63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B75" i="8"/>
  <c r="B49"/>
  <c r="B79"/>
  <c r="B53"/>
  <c r="B45"/>
  <c r="I81" i="9" l="1"/>
  <c r="Q5"/>
  <c r="Q6"/>
  <c r="M6" s="1"/>
  <c r="M5"/>
  <c r="Q7"/>
  <c r="M7" s="1"/>
  <c r="Q8"/>
  <c r="M8" s="1"/>
  <c r="Q10"/>
  <c r="M10" s="1"/>
  <c r="Q11"/>
  <c r="M11" s="1"/>
  <c r="Q14"/>
  <c r="M14" s="1"/>
  <c r="Q19"/>
  <c r="M19" s="1"/>
  <c r="Q37"/>
  <c r="M37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9"/>
  <c r="M9" s="1"/>
  <c r="Q12"/>
  <c r="M12" s="1"/>
  <c r="Q13"/>
  <c r="M13" s="1"/>
  <c r="Q18"/>
  <c r="M18" s="1"/>
  <c r="Q20"/>
  <c r="M2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B74" i="8"/>
  <c r="B48"/>
  <c r="B78"/>
  <c r="B52"/>
  <c r="M2" i="9" l="1"/>
  <c r="B12" s="1"/>
  <c r="B77" i="8"/>
  <c r="B51"/>
  <c r="B80" s="1"/>
  <c r="K37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C19"/>
  <c r="F18"/>
  <c r="E18"/>
  <c r="D18"/>
  <c r="C16"/>
  <c r="F15"/>
  <c r="E15"/>
  <c r="D15"/>
  <c r="C14"/>
  <c r="C25" s="1"/>
  <c r="C34" s="1"/>
  <c r="C45" s="1"/>
  <c r="C63" s="1"/>
  <c r="E65"/>
  <c r="E68"/>
  <c r="E64"/>
  <c r="E60"/>
  <c r="K4" i="9"/>
  <c r="E61" i="8"/>
  <c r="E63"/>
  <c r="E62"/>
  <c r="E67"/>
  <c r="E66"/>
  <c r="K38" i="9" l="1"/>
  <c r="K12"/>
  <c r="E72" i="8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2"/>
  <c r="T60"/>
  <c r="C75"/>
  <c r="T63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7"/>
  <c r="T75"/>
  <c r="T87" s="1"/>
  <c r="C84"/>
  <c r="T72"/>
  <c r="T84" s="1"/>
  <c r="I31" l="1"/>
  <c r="G32"/>
  <c r="H33"/>
  <c r="G31"/>
  <c r="G33"/>
  <c r="H31"/>
  <c r="I32"/>
  <c r="H32"/>
  <c r="I33"/>
  <c r="H37"/>
  <c r="I38"/>
  <c r="G37"/>
  <c r="H38"/>
  <c r="I39"/>
  <c r="G38"/>
  <c r="H39"/>
  <c r="I37"/>
  <c r="G39"/>
  <c r="C78"/>
  <c r="T66"/>
  <c r="I34"/>
  <c r="G36"/>
  <c r="H34"/>
  <c r="I35"/>
  <c r="G34"/>
  <c r="H35"/>
  <c r="I36"/>
  <c r="G35"/>
  <c r="H36"/>
  <c r="F8"/>
  <c r="E8"/>
  <c r="D8"/>
  <c r="C8"/>
  <c r="K7"/>
  <c r="K41" l="1"/>
  <c r="G47" a="1"/>
  <c r="G46" a="1"/>
  <c r="G45" a="1"/>
  <c r="C90"/>
  <c r="T78"/>
  <c r="T90" s="1"/>
  <c r="G50" a="1"/>
  <c r="G49" a="1"/>
  <c r="G48" a="1"/>
  <c r="G56" a="1"/>
  <c r="G55" a="1"/>
  <c r="G54" a="1"/>
  <c r="G44" a="1"/>
  <c r="G43" a="1"/>
  <c r="G42" a="1"/>
  <c r="F7"/>
  <c r="F9" s="1"/>
  <c r="E7"/>
  <c r="E9" s="1"/>
  <c r="D7"/>
  <c r="D9" s="1"/>
  <c r="C7"/>
  <c r="K6"/>
  <c r="K40" l="1"/>
  <c r="H43"/>
  <c r="I43"/>
  <c r="G43"/>
  <c r="F43" s="1"/>
  <c r="I54"/>
  <c r="G54"/>
  <c r="H54"/>
  <c r="H56"/>
  <c r="I56"/>
  <c r="G56"/>
  <c r="H49"/>
  <c r="I49"/>
  <c r="G49"/>
  <c r="F49" s="1"/>
  <c r="H46"/>
  <c r="I46"/>
  <c r="G46"/>
  <c r="F46" s="1"/>
  <c r="I42"/>
  <c r="D42" s="1"/>
  <c r="G42"/>
  <c r="F42" s="1"/>
  <c r="H42"/>
  <c r="E42" s="1"/>
  <c r="H44"/>
  <c r="E44" s="1"/>
  <c r="I44"/>
  <c r="D44" s="1"/>
  <c r="G44"/>
  <c r="F44" s="1"/>
  <c r="H55"/>
  <c r="I55"/>
  <c r="G55"/>
  <c r="F55" s="1"/>
  <c r="I48"/>
  <c r="G48"/>
  <c r="F48" s="1"/>
  <c r="H48"/>
  <c r="I50"/>
  <c r="D50" s="1"/>
  <c r="G50"/>
  <c r="H50"/>
  <c r="E50" s="1"/>
  <c r="I45"/>
  <c r="D45" s="1"/>
  <c r="G45"/>
  <c r="F45" s="1"/>
  <c r="H45"/>
  <c r="E45" s="1"/>
  <c r="H47"/>
  <c r="E47" s="1"/>
  <c r="I47"/>
  <c r="D47" s="1"/>
  <c r="G47"/>
  <c r="F47" s="1"/>
  <c r="B6"/>
  <c r="K45"/>
  <c r="K47"/>
  <c r="K42"/>
  <c r="K44"/>
  <c r="F50" l="1"/>
  <c r="E48"/>
  <c r="E51" s="1"/>
  <c r="D48"/>
  <c r="D46"/>
  <c r="D43"/>
  <c r="E55"/>
  <c r="J54"/>
  <c r="E49"/>
  <c r="J48"/>
  <c r="D53"/>
  <c r="D51"/>
  <c r="D56"/>
  <c r="E54"/>
  <c r="D54"/>
  <c r="F53"/>
  <c r="F51"/>
  <c r="E46"/>
  <c r="J45"/>
  <c r="F52"/>
  <c r="E43"/>
  <c r="J42"/>
  <c r="D55"/>
  <c r="E53"/>
  <c r="D49"/>
  <c r="F56"/>
  <c r="E56"/>
  <c r="F54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8"/>
  <c r="K9"/>
  <c r="K5"/>
  <c r="K8"/>
  <c r="K50"/>
  <c r="K43"/>
  <c r="K39"/>
  <c r="K46"/>
  <c r="K10"/>
  <c r="K49"/>
  <c r="D52" l="1"/>
  <c r="E52"/>
  <c r="V89"/>
  <c r="F89" s="1"/>
  <c r="H89" s="1"/>
  <c r="W89"/>
  <c r="U89"/>
  <c r="W88"/>
  <c r="U88"/>
  <c r="V88"/>
  <c r="F88" s="1"/>
  <c r="H88" s="1"/>
  <c r="W87"/>
  <c r="V87"/>
  <c r="F87" s="1"/>
  <c r="H87" s="1"/>
  <c r="U87"/>
  <c r="V86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H4" s="1"/>
  <c r="K3"/>
  <c r="F3"/>
  <c r="E3"/>
  <c r="P2" s="1"/>
  <c r="D3"/>
  <c r="Q2"/>
  <c r="O2"/>
  <c r="N73" i="1"/>
  <c r="B88" i="7"/>
  <c r="B87"/>
  <c r="B86"/>
  <c r="B85"/>
  <c r="R84"/>
  <c r="B84"/>
  <c r="G83"/>
  <c r="I83" s="1"/>
  <c r="H93" s="1"/>
  <c r="F83"/>
  <c r="H83" s="1"/>
  <c r="E93" s="1"/>
  <c r="B73"/>
  <c r="B72"/>
  <c r="G71"/>
  <c r="I71" s="1"/>
  <c r="H81" s="1"/>
  <c r="F71"/>
  <c r="H71" s="1"/>
  <c r="E81" s="1"/>
  <c r="A70"/>
  <c r="R72" s="1"/>
  <c r="W59"/>
  <c r="W71" s="1"/>
  <c r="W83" s="1"/>
  <c r="V59"/>
  <c r="V71" s="1"/>
  <c r="V83" s="1"/>
  <c r="U59"/>
  <c r="U71" s="1"/>
  <c r="U83" s="1"/>
  <c r="G59"/>
  <c r="I59" s="1"/>
  <c r="H69" s="1"/>
  <c r="F59"/>
  <c r="H59" s="1"/>
  <c r="E69" s="1"/>
  <c r="F58"/>
  <c r="F70" s="1"/>
  <c r="F82" s="1"/>
  <c r="D58"/>
  <c r="D70" s="1"/>
  <c r="D82" s="1"/>
  <c r="A58"/>
  <c r="R60" s="1"/>
  <c r="F93" i="8" l="1"/>
  <c r="F69"/>
  <c r="H6"/>
  <c r="H5"/>
  <c r="I4"/>
  <c r="X61"/>
  <c r="X62"/>
  <c r="X63"/>
  <c r="X67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U75"/>
  <c r="V75"/>
  <c r="F75" s="1"/>
  <c r="H75" s="1"/>
  <c r="V74"/>
  <c r="F74" s="1"/>
  <c r="H74" s="1"/>
  <c r="W74"/>
  <c r="U74"/>
  <c r="W73"/>
  <c r="U73"/>
  <c r="V73"/>
  <c r="F73" s="1"/>
  <c r="H73" s="1"/>
  <c r="W72"/>
  <c r="V72"/>
  <c r="F72" s="1"/>
  <c r="H72" s="1"/>
  <c r="F81" s="1"/>
  <c r="U72"/>
  <c r="X84"/>
  <c r="X87"/>
  <c r="X88"/>
  <c r="X89"/>
  <c r="G6"/>
  <c r="G5"/>
  <c r="X60"/>
  <c r="X64"/>
  <c r="X65"/>
  <c r="X66"/>
  <c r="X68"/>
  <c r="X91"/>
  <c r="X85"/>
  <c r="X86"/>
  <c r="U58" i="7"/>
  <c r="U70" s="1"/>
  <c r="U82" s="1"/>
  <c r="B47"/>
  <c r="G91" i="8"/>
  <c r="G84"/>
  <c r="G64"/>
  <c r="G62"/>
  <c r="G85"/>
  <c r="G89"/>
  <c r="G63"/>
  <c r="G65"/>
  <c r="G61"/>
  <c r="G67"/>
  <c r="G90"/>
  <c r="G88"/>
  <c r="G68"/>
  <c r="G60"/>
  <c r="G92"/>
  <c r="G86"/>
  <c r="G87"/>
  <c r="G66"/>
  <c r="I86" l="1"/>
  <c r="I85"/>
  <c r="I68"/>
  <c r="I65"/>
  <c r="I60"/>
  <c r="I88"/>
  <c r="I84"/>
  <c r="I92"/>
  <c r="I67"/>
  <c r="I62"/>
  <c r="I91"/>
  <c r="I66"/>
  <c r="I64"/>
  <c r="I89"/>
  <c r="I87"/>
  <c r="I90"/>
  <c r="I63"/>
  <c r="I61"/>
  <c r="X76"/>
  <c r="X77"/>
  <c r="X78"/>
  <c r="I6"/>
  <c r="I5"/>
  <c r="G7"/>
  <c r="O66" s="1"/>
  <c r="X72"/>
  <c r="X73"/>
  <c r="X74"/>
  <c r="X75"/>
  <c r="X79"/>
  <c r="X80"/>
  <c r="H7"/>
  <c r="P65" s="1"/>
  <c r="B76" i="7"/>
  <c r="B50"/>
  <c r="B46"/>
  <c r="G76" i="8"/>
  <c r="G77"/>
  <c r="G79"/>
  <c r="G74"/>
  <c r="G78"/>
  <c r="G72"/>
  <c r="G75"/>
  <c r="G80"/>
  <c r="G73"/>
  <c r="I93" l="1"/>
  <c r="I69"/>
  <c r="O4"/>
  <c r="P12"/>
  <c r="P21"/>
  <c r="P3"/>
  <c r="P5"/>
  <c r="P6"/>
  <c r="P14"/>
  <c r="P16"/>
  <c r="P23"/>
  <c r="P4"/>
  <c r="P8"/>
  <c r="P25"/>
  <c r="I79"/>
  <c r="I74"/>
  <c r="I72"/>
  <c r="I78"/>
  <c r="I76"/>
  <c r="I80"/>
  <c r="I75"/>
  <c r="I73"/>
  <c r="I77"/>
  <c r="I7"/>
  <c r="Q66" s="1"/>
  <c r="P27"/>
  <c r="P29"/>
  <c r="P31"/>
  <c r="P33"/>
  <c r="P35"/>
  <c r="P38"/>
  <c r="P13"/>
  <c r="P19"/>
  <c r="P37"/>
  <c r="P39"/>
  <c r="P42"/>
  <c r="P44"/>
  <c r="P46"/>
  <c r="P48"/>
  <c r="P50"/>
  <c r="P52"/>
  <c r="P55"/>
  <c r="P53"/>
  <c r="P58"/>
  <c r="P60"/>
  <c r="P62"/>
  <c r="P64"/>
  <c r="P66"/>
  <c r="M66" s="1"/>
  <c r="O7"/>
  <c r="O9"/>
  <c r="O12"/>
  <c r="O13"/>
  <c r="O18"/>
  <c r="O20"/>
  <c r="O15"/>
  <c r="O17"/>
  <c r="O22"/>
  <c r="O24"/>
  <c r="O26"/>
  <c r="O28"/>
  <c r="O30"/>
  <c r="O32"/>
  <c r="O34"/>
  <c r="O36"/>
  <c r="O39"/>
  <c r="O41"/>
  <c r="O43"/>
  <c r="O45"/>
  <c r="O47"/>
  <c r="O49"/>
  <c r="O50"/>
  <c r="O53"/>
  <c r="O58"/>
  <c r="O54"/>
  <c r="O56"/>
  <c r="O61"/>
  <c r="O63"/>
  <c r="O65"/>
  <c r="P7"/>
  <c r="P9"/>
  <c r="P10"/>
  <c r="P15"/>
  <c r="P17"/>
  <c r="P22"/>
  <c r="P24"/>
  <c r="P26"/>
  <c r="P28"/>
  <c r="P30"/>
  <c r="P32"/>
  <c r="P34"/>
  <c r="P36"/>
  <c r="P11"/>
  <c r="P18"/>
  <c r="P20"/>
  <c r="P41"/>
  <c r="P40"/>
  <c r="P43"/>
  <c r="P45"/>
  <c r="P47"/>
  <c r="P49"/>
  <c r="P51"/>
  <c r="P54"/>
  <c r="P56"/>
  <c r="P57"/>
  <c r="P59"/>
  <c r="P61"/>
  <c r="P63"/>
  <c r="O3"/>
  <c r="O5"/>
  <c r="O6"/>
  <c r="O8"/>
  <c r="O10"/>
  <c r="O11"/>
  <c r="O14"/>
  <c r="O19"/>
  <c r="O37"/>
  <c r="O16"/>
  <c r="O21"/>
  <c r="O23"/>
  <c r="O25"/>
  <c r="O27"/>
  <c r="O29"/>
  <c r="O31"/>
  <c r="O33"/>
  <c r="O35"/>
  <c r="O38"/>
  <c r="O40"/>
  <c r="O42"/>
  <c r="O44"/>
  <c r="O46"/>
  <c r="O48"/>
  <c r="O52"/>
  <c r="O51"/>
  <c r="O57"/>
  <c r="O59"/>
  <c r="O55"/>
  <c r="O60"/>
  <c r="O62"/>
  <c r="O64"/>
  <c r="B75" i="7"/>
  <c r="B49"/>
  <c r="B79"/>
  <c r="B53"/>
  <c r="B45"/>
  <c r="I81" i="8" l="1"/>
  <c r="Q3"/>
  <c r="M3" s="1"/>
  <c r="Q5"/>
  <c r="M5" s="1"/>
  <c r="Q4"/>
  <c r="M4" s="1"/>
  <c r="Q6"/>
  <c r="M6" s="1"/>
  <c r="Q7"/>
  <c r="M7" s="1"/>
  <c r="Q9"/>
  <c r="M9" s="1"/>
  <c r="Q11"/>
  <c r="M11" s="1"/>
  <c r="Q14"/>
  <c r="M14" s="1"/>
  <c r="Q19"/>
  <c r="M19" s="1"/>
  <c r="Q37"/>
  <c r="M37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Q65"/>
  <c r="M65" s="1"/>
  <c r="Q8"/>
  <c r="M8" s="1"/>
  <c r="Q10"/>
  <c r="M10" s="1"/>
  <c r="Q13"/>
  <c r="M13" s="1"/>
  <c r="Q18"/>
  <c r="M18" s="1"/>
  <c r="Q20"/>
  <c r="M20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B74" i="7"/>
  <c r="B48"/>
  <c r="B78"/>
  <c r="B52"/>
  <c r="M2" i="8" l="1"/>
  <c r="B12" s="1"/>
  <c r="B77" i="7"/>
  <c r="B51"/>
  <c r="B80" s="1"/>
  <c r="I30"/>
  <c r="H30"/>
  <c r="G30"/>
  <c r="F30"/>
  <c r="F39" s="1"/>
  <c r="E30"/>
  <c r="D68" s="1"/>
  <c r="D80" s="1"/>
  <c r="D92" s="1"/>
  <c r="D30"/>
  <c r="B30"/>
  <c r="B39" s="1"/>
  <c r="B68" s="1"/>
  <c r="S68" s="1"/>
  <c r="S80" s="1"/>
  <c r="S92" s="1"/>
  <c r="I29"/>
  <c r="H29"/>
  <c r="G29"/>
  <c r="F29"/>
  <c r="F38" s="1"/>
  <c r="E29"/>
  <c r="D67" s="1"/>
  <c r="D79" s="1"/>
  <c r="D91" s="1"/>
  <c r="D29"/>
  <c r="D38" s="1"/>
  <c r="B29"/>
  <c r="B38" s="1"/>
  <c r="B67" s="1"/>
  <c r="S67" s="1"/>
  <c r="S79" s="1"/>
  <c r="S91" s="1"/>
  <c r="I28"/>
  <c r="H28"/>
  <c r="G28"/>
  <c r="F28"/>
  <c r="F37" s="1"/>
  <c r="E28"/>
  <c r="D66" s="1"/>
  <c r="D78" s="1"/>
  <c r="D90" s="1"/>
  <c r="D28"/>
  <c r="B28"/>
  <c r="B37" s="1"/>
  <c r="B66" s="1"/>
  <c r="S66" s="1"/>
  <c r="S78" s="1"/>
  <c r="S90" s="1"/>
  <c r="I27"/>
  <c r="H27"/>
  <c r="G27"/>
  <c r="F27"/>
  <c r="F36" s="1"/>
  <c r="E27"/>
  <c r="D65" s="1"/>
  <c r="D77" s="1"/>
  <c r="D89" s="1"/>
  <c r="D27"/>
  <c r="B27"/>
  <c r="B36" s="1"/>
  <c r="B65" s="1"/>
  <c r="S65" s="1"/>
  <c r="S77" s="1"/>
  <c r="S89" s="1"/>
  <c r="I26"/>
  <c r="H26"/>
  <c r="G26"/>
  <c r="F26"/>
  <c r="F35" s="1"/>
  <c r="E26"/>
  <c r="D64" s="1"/>
  <c r="D76" s="1"/>
  <c r="D88" s="1"/>
  <c r="D26"/>
  <c r="B26"/>
  <c r="B35" s="1"/>
  <c r="B64" s="1"/>
  <c r="S64" s="1"/>
  <c r="S76" s="1"/>
  <c r="S88" s="1"/>
  <c r="I25"/>
  <c r="H25"/>
  <c r="G25"/>
  <c r="F25"/>
  <c r="F34" s="1"/>
  <c r="E25"/>
  <c r="D63" s="1"/>
  <c r="D75" s="1"/>
  <c r="D87" s="1"/>
  <c r="D25"/>
  <c r="B25"/>
  <c r="B34" s="1"/>
  <c r="B63" s="1"/>
  <c r="I24"/>
  <c r="H24"/>
  <c r="G24"/>
  <c r="F24"/>
  <c r="F33" s="1"/>
  <c r="E24"/>
  <c r="D62" s="1"/>
  <c r="D74" s="1"/>
  <c r="D86" s="1"/>
  <c r="D24"/>
  <c r="B24"/>
  <c r="B33" s="1"/>
  <c r="B62" s="1"/>
  <c r="I23"/>
  <c r="H23"/>
  <c r="G23"/>
  <c r="F23"/>
  <c r="F32" s="1"/>
  <c r="E23"/>
  <c r="D61" s="1"/>
  <c r="D73" s="1"/>
  <c r="D85" s="1"/>
  <c r="D23"/>
  <c r="B23"/>
  <c r="B32" s="1"/>
  <c r="B61" s="1"/>
  <c r="I22"/>
  <c r="H22"/>
  <c r="G22"/>
  <c r="F22"/>
  <c r="F31" s="1"/>
  <c r="E22"/>
  <c r="D60" s="1"/>
  <c r="D72" s="1"/>
  <c r="D84" s="1"/>
  <c r="D22"/>
  <c r="C22"/>
  <c r="C31" s="1"/>
  <c r="C42" s="1"/>
  <c r="C60" s="1"/>
  <c r="B22"/>
  <c r="B31" s="1"/>
  <c r="B60" s="1"/>
  <c r="F21"/>
  <c r="E21"/>
  <c r="D21"/>
  <c r="F18"/>
  <c r="E18"/>
  <c r="D18"/>
  <c r="C16"/>
  <c r="C19" s="1"/>
  <c r="F15"/>
  <c r="E15"/>
  <c r="D15"/>
  <c r="C14"/>
  <c r="C25" s="1"/>
  <c r="C34" s="1"/>
  <c r="C45" s="1"/>
  <c r="C63" s="1"/>
  <c r="E65"/>
  <c r="E61"/>
  <c r="E60"/>
  <c r="E64"/>
  <c r="K4" i="8"/>
  <c r="E66" i="7"/>
  <c r="E62"/>
  <c r="E63"/>
  <c r="E68"/>
  <c r="E67"/>
  <c r="K38" i="8" l="1"/>
  <c r="K12"/>
  <c r="E72" i="7"/>
  <c r="E84" s="1"/>
  <c r="E75"/>
  <c r="E87" s="1"/>
  <c r="E78"/>
  <c r="E90" s="1"/>
  <c r="E73"/>
  <c r="E85" s="1"/>
  <c r="E74"/>
  <c r="E86" s="1"/>
  <c r="E76"/>
  <c r="E88" s="1"/>
  <c r="E77"/>
  <c r="E89" s="1"/>
  <c r="E79"/>
  <c r="E91" s="1"/>
  <c r="E80"/>
  <c r="E92" s="1"/>
  <c r="C75"/>
  <c r="T63"/>
  <c r="C72"/>
  <c r="T60"/>
  <c r="B89"/>
  <c r="S60"/>
  <c r="S72" s="1"/>
  <c r="S84" s="1"/>
  <c r="B90"/>
  <c r="S61"/>
  <c r="S73" s="1"/>
  <c r="S85" s="1"/>
  <c r="B92"/>
  <c r="S63"/>
  <c r="S75" s="1"/>
  <c r="S87" s="1"/>
  <c r="B91"/>
  <c r="S62"/>
  <c r="S74" s="1"/>
  <c r="S86" s="1"/>
  <c r="C17"/>
  <c r="C20" s="1"/>
  <c r="J22"/>
  <c r="J25"/>
  <c r="J28"/>
  <c r="D31"/>
  <c r="E32"/>
  <c r="E33"/>
  <c r="D34"/>
  <c r="E35"/>
  <c r="E36"/>
  <c r="D37"/>
  <c r="E39"/>
  <c r="C15"/>
  <c r="E31"/>
  <c r="D32"/>
  <c r="D33"/>
  <c r="E34"/>
  <c r="D35"/>
  <c r="D36"/>
  <c r="E37"/>
  <c r="E38"/>
  <c r="D39"/>
  <c r="C28" l="1"/>
  <c r="C37" s="1"/>
  <c r="C48" s="1"/>
  <c r="C66" s="1"/>
  <c r="C18"/>
  <c r="C21" s="1"/>
  <c r="J37"/>
  <c r="J34"/>
  <c r="J31"/>
  <c r="C84"/>
  <c r="T72"/>
  <c r="T84" s="1"/>
  <c r="C87"/>
  <c r="T75"/>
  <c r="T87" s="1"/>
  <c r="H31" l="1"/>
  <c r="I32"/>
  <c r="I31"/>
  <c r="G33"/>
  <c r="G32"/>
  <c r="H33"/>
  <c r="G31"/>
  <c r="H32"/>
  <c r="I33"/>
  <c r="G38"/>
  <c r="H39"/>
  <c r="G37"/>
  <c r="H38"/>
  <c r="I39"/>
  <c r="H37"/>
  <c r="I38"/>
  <c r="I37"/>
  <c r="G39"/>
  <c r="C78"/>
  <c r="T66"/>
  <c r="G34"/>
  <c r="H35"/>
  <c r="I36"/>
  <c r="H34"/>
  <c r="I35"/>
  <c r="I34"/>
  <c r="G36"/>
  <c r="G35"/>
  <c r="H36"/>
  <c r="F8"/>
  <c r="E8"/>
  <c r="D8"/>
  <c r="C8"/>
  <c r="K7"/>
  <c r="K41" l="1"/>
  <c r="G47" a="1"/>
  <c r="G46" a="1"/>
  <c r="G45" a="1"/>
  <c r="C90"/>
  <c r="T78"/>
  <c r="T90" s="1"/>
  <c r="G56" a="1"/>
  <c r="G55" a="1"/>
  <c r="G54" a="1"/>
  <c r="G44" a="1"/>
  <c r="G43" a="1"/>
  <c r="G42" a="1"/>
  <c r="G50" a="1"/>
  <c r="G49" a="1"/>
  <c r="G48" a="1"/>
  <c r="F7"/>
  <c r="F9" s="1"/>
  <c r="E7"/>
  <c r="E9" s="1"/>
  <c r="D7"/>
  <c r="D9" s="1"/>
  <c r="C7"/>
  <c r="K6"/>
  <c r="K40" l="1"/>
  <c r="H49"/>
  <c r="I49"/>
  <c r="G49"/>
  <c r="F49" s="1"/>
  <c r="H43"/>
  <c r="I43"/>
  <c r="G43"/>
  <c r="F43" s="1"/>
  <c r="I54"/>
  <c r="G54"/>
  <c r="H54"/>
  <c r="H56"/>
  <c r="I56"/>
  <c r="G56"/>
  <c r="H46"/>
  <c r="I46"/>
  <c r="G46"/>
  <c r="F46" s="1"/>
  <c r="I48"/>
  <c r="G48"/>
  <c r="F48" s="1"/>
  <c r="H48"/>
  <c r="I50"/>
  <c r="D50" s="1"/>
  <c r="G50"/>
  <c r="H50"/>
  <c r="E50" s="1"/>
  <c r="I42"/>
  <c r="D42" s="1"/>
  <c r="G42"/>
  <c r="H42"/>
  <c r="E42" s="1"/>
  <c r="H44"/>
  <c r="E44" s="1"/>
  <c r="I44"/>
  <c r="D44" s="1"/>
  <c r="G44"/>
  <c r="F44" s="1"/>
  <c r="H55"/>
  <c r="I55"/>
  <c r="G55"/>
  <c r="F55" s="1"/>
  <c r="I45"/>
  <c r="D45" s="1"/>
  <c r="G45"/>
  <c r="F45" s="1"/>
  <c r="H45"/>
  <c r="E45" s="1"/>
  <c r="H47"/>
  <c r="E47" s="1"/>
  <c r="I47"/>
  <c r="D47" s="1"/>
  <c r="G47"/>
  <c r="F47" s="1"/>
  <c r="B6"/>
  <c r="K45"/>
  <c r="K44"/>
  <c r="K47"/>
  <c r="F50" l="1"/>
  <c r="E48"/>
  <c r="D48"/>
  <c r="D46"/>
  <c r="D49"/>
  <c r="F42"/>
  <c r="D53"/>
  <c r="E55"/>
  <c r="J54"/>
  <c r="F52"/>
  <c r="E43"/>
  <c r="J42"/>
  <c r="E51"/>
  <c r="D51"/>
  <c r="F56"/>
  <c r="E56"/>
  <c r="F54"/>
  <c r="F53"/>
  <c r="F51"/>
  <c r="E46"/>
  <c r="J45"/>
  <c r="E49"/>
  <c r="J48"/>
  <c r="D55"/>
  <c r="E53"/>
  <c r="D56"/>
  <c r="E54"/>
  <c r="D54"/>
  <c r="D43"/>
  <c r="D52" s="1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K43"/>
  <c r="K39"/>
  <c r="K46"/>
  <c r="K5"/>
  <c r="K10"/>
  <c r="K9"/>
  <c r="K49"/>
  <c r="K48"/>
  <c r="K50"/>
  <c r="K8"/>
  <c r="K42"/>
  <c r="V86" l="1"/>
  <c r="F86" s="1"/>
  <c r="H86" s="1"/>
  <c r="W86"/>
  <c r="U86"/>
  <c r="W85"/>
  <c r="U85"/>
  <c r="V85"/>
  <c r="F85" s="1"/>
  <c r="H85" s="1"/>
  <c r="W84"/>
  <c r="U84"/>
  <c r="V84"/>
  <c r="F84" s="1"/>
  <c r="H84" s="1"/>
  <c r="J51"/>
  <c r="W92"/>
  <c r="U92"/>
  <c r="V92"/>
  <c r="F92" s="1"/>
  <c r="H92" s="1"/>
  <c r="W91"/>
  <c r="U91"/>
  <c r="V91"/>
  <c r="F91" s="1"/>
  <c r="H91" s="1"/>
  <c r="W90"/>
  <c r="U90"/>
  <c r="V90"/>
  <c r="F90" s="1"/>
  <c r="H90" s="1"/>
  <c r="V89"/>
  <c r="F89" s="1"/>
  <c r="H89" s="1"/>
  <c r="W89"/>
  <c r="U89"/>
  <c r="W88"/>
  <c r="U88"/>
  <c r="V88"/>
  <c r="F88" s="1"/>
  <c r="H88" s="1"/>
  <c r="W87"/>
  <c r="V87"/>
  <c r="F87" s="1"/>
  <c r="H87" s="1"/>
  <c r="U87"/>
  <c r="E52"/>
  <c r="W68"/>
  <c r="U68"/>
  <c r="V68"/>
  <c r="F68" s="1"/>
  <c r="H68" s="1"/>
  <c r="W67"/>
  <c r="U67"/>
  <c r="V67"/>
  <c r="F67" s="1"/>
  <c r="H67" s="1"/>
  <c r="W66"/>
  <c r="U66"/>
  <c r="V66"/>
  <c r="F66" s="1"/>
  <c r="H66" s="1"/>
  <c r="V65"/>
  <c r="F65" s="1"/>
  <c r="H65" s="1"/>
  <c r="W65"/>
  <c r="U65"/>
  <c r="W64"/>
  <c r="U64"/>
  <c r="V64"/>
  <c r="F64" s="1"/>
  <c r="H64" s="1"/>
  <c r="W63"/>
  <c r="U63"/>
  <c r="V63"/>
  <c r="F63" s="1"/>
  <c r="H63" s="1"/>
  <c r="V62"/>
  <c r="F62" s="1"/>
  <c r="H62" s="1"/>
  <c r="W62"/>
  <c r="U62"/>
  <c r="W61"/>
  <c r="U61"/>
  <c r="V61"/>
  <c r="F61" s="1"/>
  <c r="H61" s="1"/>
  <c r="W60"/>
  <c r="U60"/>
  <c r="V60"/>
  <c r="F60" s="1"/>
  <c r="H60" s="1"/>
  <c r="G4"/>
  <c r="K3"/>
  <c r="F3"/>
  <c r="E3"/>
  <c r="P2" s="1"/>
  <c r="D3"/>
  <c r="Q2"/>
  <c r="O2"/>
  <c r="F93" l="1"/>
  <c r="F69"/>
  <c r="G6"/>
  <c r="G5"/>
  <c r="X60"/>
  <c r="X64"/>
  <c r="X65"/>
  <c r="X66"/>
  <c r="X68"/>
  <c r="X91"/>
  <c r="X85"/>
  <c r="X86"/>
  <c r="X61"/>
  <c r="X62"/>
  <c r="X63"/>
  <c r="X67"/>
  <c r="X87"/>
  <c r="X88"/>
  <c r="X89"/>
  <c r="X90"/>
  <c r="X92"/>
  <c r="V80"/>
  <c r="F80" s="1"/>
  <c r="H80" s="1"/>
  <c r="W80"/>
  <c r="U80"/>
  <c r="W79"/>
  <c r="U79"/>
  <c r="V79"/>
  <c r="F79" s="1"/>
  <c r="H79" s="1"/>
  <c r="W78"/>
  <c r="U78"/>
  <c r="V78"/>
  <c r="F78" s="1"/>
  <c r="H78" s="1"/>
  <c r="V77"/>
  <c r="F77" s="1"/>
  <c r="H77" s="1"/>
  <c r="W77"/>
  <c r="U77"/>
  <c r="W76"/>
  <c r="U76"/>
  <c r="V76"/>
  <c r="F76" s="1"/>
  <c r="H76" s="1"/>
  <c r="W75"/>
  <c r="V75"/>
  <c r="F75" s="1"/>
  <c r="H75" s="1"/>
  <c r="U75"/>
  <c r="V74"/>
  <c r="F74" s="1"/>
  <c r="H74" s="1"/>
  <c r="W74"/>
  <c r="U74"/>
  <c r="V73"/>
  <c r="F73" s="1"/>
  <c r="H73" s="1"/>
  <c r="W73"/>
  <c r="U73"/>
  <c r="W72"/>
  <c r="V72"/>
  <c r="F72" s="1"/>
  <c r="H72" s="1"/>
  <c r="F81" s="1"/>
  <c r="U72"/>
  <c r="X84"/>
  <c r="H4"/>
  <c r="B6" i="1"/>
  <c r="G85" i="7"/>
  <c r="G90"/>
  <c r="G66"/>
  <c r="G91"/>
  <c r="G63"/>
  <c r="G87"/>
  <c r="G64"/>
  <c r="G65"/>
  <c r="G62"/>
  <c r="G88"/>
  <c r="G67"/>
  <c r="G68"/>
  <c r="G84"/>
  <c r="G92"/>
  <c r="G60"/>
  <c r="G61"/>
  <c r="G89"/>
  <c r="G86"/>
  <c r="I84" l="1"/>
  <c r="I92"/>
  <c r="I89"/>
  <c r="I87"/>
  <c r="I63"/>
  <c r="I61"/>
  <c r="I85"/>
  <c r="I68"/>
  <c r="I65"/>
  <c r="I60"/>
  <c r="I90"/>
  <c r="I88"/>
  <c r="I67"/>
  <c r="I62"/>
  <c r="I86"/>
  <c r="I91"/>
  <c r="I66"/>
  <c r="I64"/>
  <c r="H6"/>
  <c r="H5"/>
  <c r="I4"/>
  <c r="X73"/>
  <c r="X75"/>
  <c r="X76"/>
  <c r="X77"/>
  <c r="X78"/>
  <c r="X72"/>
  <c r="X74"/>
  <c r="X79"/>
  <c r="X80"/>
  <c r="G7"/>
  <c r="O65" s="1"/>
  <c r="R84" i="1"/>
  <c r="G78" i="7"/>
  <c r="G76"/>
  <c r="G72"/>
  <c r="G74"/>
  <c r="G79"/>
  <c r="G73"/>
  <c r="G75"/>
  <c r="G77"/>
  <c r="G80"/>
  <c r="I93" l="1"/>
  <c r="I69"/>
  <c r="O3"/>
  <c r="O5"/>
  <c r="I79"/>
  <c r="I72"/>
  <c r="I77"/>
  <c r="I75"/>
  <c r="I80"/>
  <c r="I74"/>
  <c r="I78"/>
  <c r="I76"/>
  <c r="I73"/>
  <c r="I6"/>
  <c r="I5"/>
  <c r="O8"/>
  <c r="O11"/>
  <c r="O14"/>
  <c r="O19"/>
  <c r="O37"/>
  <c r="O12"/>
  <c r="O16"/>
  <c r="O21"/>
  <c r="O23"/>
  <c r="O25"/>
  <c r="O27"/>
  <c r="O29"/>
  <c r="O31"/>
  <c r="O33"/>
  <c r="O35"/>
  <c r="O38"/>
  <c r="O40"/>
  <c r="O42"/>
  <c r="O44"/>
  <c r="O46"/>
  <c r="O48"/>
  <c r="O50"/>
  <c r="O53"/>
  <c r="O58"/>
  <c r="O52"/>
  <c r="O55"/>
  <c r="O60"/>
  <c r="O62"/>
  <c r="O64"/>
  <c r="O66"/>
  <c r="H7"/>
  <c r="P66" s="1"/>
  <c r="O4"/>
  <c r="O6"/>
  <c r="O7"/>
  <c r="O9"/>
  <c r="O13"/>
  <c r="O18"/>
  <c r="O20"/>
  <c r="O10"/>
  <c r="O15"/>
  <c r="O17"/>
  <c r="O22"/>
  <c r="O24"/>
  <c r="O26"/>
  <c r="O28"/>
  <c r="O30"/>
  <c r="O32"/>
  <c r="O34"/>
  <c r="O36"/>
  <c r="O39"/>
  <c r="O41"/>
  <c r="O43"/>
  <c r="O45"/>
  <c r="O47"/>
  <c r="O49"/>
  <c r="O51"/>
  <c r="O57"/>
  <c r="O59"/>
  <c r="O54"/>
  <c r="O56"/>
  <c r="O61"/>
  <c r="O63"/>
  <c r="I81" l="1"/>
  <c r="P4"/>
  <c r="I7"/>
  <c r="Q65" s="1"/>
  <c r="P7"/>
  <c r="P9"/>
  <c r="P12"/>
  <c r="P16"/>
  <c r="P21"/>
  <c r="P23"/>
  <c r="P25"/>
  <c r="P27"/>
  <c r="P29"/>
  <c r="P31"/>
  <c r="P33"/>
  <c r="P35"/>
  <c r="P38"/>
  <c r="P13"/>
  <c r="P18"/>
  <c r="P20"/>
  <c r="P39"/>
  <c r="P41"/>
  <c r="P43"/>
  <c r="P45"/>
  <c r="P47"/>
  <c r="P49"/>
  <c r="P54"/>
  <c r="P56"/>
  <c r="P51"/>
  <c r="P57"/>
  <c r="P59"/>
  <c r="P61"/>
  <c r="P63"/>
  <c r="P65"/>
  <c r="M65" s="1"/>
  <c r="P3"/>
  <c r="P5"/>
  <c r="P6"/>
  <c r="P8"/>
  <c r="P10"/>
  <c r="P15"/>
  <c r="P17"/>
  <c r="P22"/>
  <c r="P24"/>
  <c r="P26"/>
  <c r="P28"/>
  <c r="P30"/>
  <c r="P32"/>
  <c r="P34"/>
  <c r="P36"/>
  <c r="P11"/>
  <c r="P14"/>
  <c r="P19"/>
  <c r="P37"/>
  <c r="P40"/>
  <c r="P42"/>
  <c r="P44"/>
  <c r="P46"/>
  <c r="P48"/>
  <c r="P52"/>
  <c r="P55"/>
  <c r="P50"/>
  <c r="P53"/>
  <c r="P58"/>
  <c r="P60"/>
  <c r="P62"/>
  <c r="P64"/>
  <c r="Q3" l="1"/>
  <c r="M3" s="1"/>
  <c r="Q4"/>
  <c r="M4" s="1"/>
  <c r="Q5"/>
  <c r="M5" s="1"/>
  <c r="Q8"/>
  <c r="M8" s="1"/>
  <c r="Q11"/>
  <c r="M11" s="1"/>
  <c r="Q14"/>
  <c r="M14" s="1"/>
  <c r="Q19"/>
  <c r="M19" s="1"/>
  <c r="Q37"/>
  <c r="M37" s="1"/>
  <c r="Q12"/>
  <c r="M12" s="1"/>
  <c r="Q16"/>
  <c r="M16" s="1"/>
  <c r="Q21"/>
  <c r="M21" s="1"/>
  <c r="Q23"/>
  <c r="M23" s="1"/>
  <c r="Q25"/>
  <c r="M25" s="1"/>
  <c r="Q27"/>
  <c r="M27" s="1"/>
  <c r="Q29"/>
  <c r="M29" s="1"/>
  <c r="Q31"/>
  <c r="M31" s="1"/>
  <c r="Q33"/>
  <c r="M33" s="1"/>
  <c r="Q35"/>
  <c r="M35" s="1"/>
  <c r="Q38"/>
  <c r="M38" s="1"/>
  <c r="Q40"/>
  <c r="M40" s="1"/>
  <c r="Q42"/>
  <c r="M42" s="1"/>
  <c r="Q44"/>
  <c r="M44" s="1"/>
  <c r="Q46"/>
  <c r="M46" s="1"/>
  <c r="Q48"/>
  <c r="M48" s="1"/>
  <c r="Q50"/>
  <c r="M50" s="1"/>
  <c r="Q53"/>
  <c r="M53" s="1"/>
  <c r="Q58"/>
  <c r="M58" s="1"/>
  <c r="Q52"/>
  <c r="M52" s="1"/>
  <c r="Q55"/>
  <c r="M55" s="1"/>
  <c r="Q60"/>
  <c r="M60" s="1"/>
  <c r="Q62"/>
  <c r="M62" s="1"/>
  <c r="Q64"/>
  <c r="M64" s="1"/>
  <c r="Q66"/>
  <c r="M66" s="1"/>
  <c r="Q6"/>
  <c r="M6" s="1"/>
  <c r="Q7"/>
  <c r="M7" s="1"/>
  <c r="Q9"/>
  <c r="M9" s="1"/>
  <c r="Q13"/>
  <c r="M13" s="1"/>
  <c r="Q18"/>
  <c r="M18" s="1"/>
  <c r="Q20"/>
  <c r="M20" s="1"/>
  <c r="Q10"/>
  <c r="M10" s="1"/>
  <c r="Q15"/>
  <c r="M15" s="1"/>
  <c r="Q17"/>
  <c r="M17" s="1"/>
  <c r="Q22"/>
  <c r="M22" s="1"/>
  <c r="Q24"/>
  <c r="M24" s="1"/>
  <c r="Q26"/>
  <c r="M26" s="1"/>
  <c r="Q28"/>
  <c r="M28" s="1"/>
  <c r="Q30"/>
  <c r="M30" s="1"/>
  <c r="Q32"/>
  <c r="M32" s="1"/>
  <c r="Q34"/>
  <c r="M34" s="1"/>
  <c r="Q36"/>
  <c r="M36" s="1"/>
  <c r="Q39"/>
  <c r="M39" s="1"/>
  <c r="Q41"/>
  <c r="M41" s="1"/>
  <c r="Q43"/>
  <c r="M43" s="1"/>
  <c r="Q45"/>
  <c r="M45" s="1"/>
  <c r="Q47"/>
  <c r="M47" s="1"/>
  <c r="Q49"/>
  <c r="M49" s="1"/>
  <c r="Q51"/>
  <c r="M51" s="1"/>
  <c r="Q57"/>
  <c r="M57" s="1"/>
  <c r="Q59"/>
  <c r="M59" s="1"/>
  <c r="Q54"/>
  <c r="M54" s="1"/>
  <c r="Q56"/>
  <c r="M56" s="1"/>
  <c r="Q61"/>
  <c r="M61" s="1"/>
  <c r="Q63"/>
  <c r="M63" s="1"/>
  <c r="C90" i="1"/>
  <c r="M2" i="7" l="1"/>
  <c r="B12" s="1"/>
  <c r="K4"/>
  <c r="K38" l="1"/>
  <c r="K12"/>
  <c r="C87" i="1" l="1"/>
  <c r="C84" l="1"/>
  <c r="G83"/>
  <c r="I83" s="1"/>
  <c r="H93" s="1"/>
  <c r="F83"/>
  <c r="H83" s="1"/>
  <c r="E93" s="1"/>
  <c r="F82"/>
  <c r="D82"/>
  <c r="T90"/>
  <c r="T87"/>
  <c r="T84"/>
  <c r="U82"/>
  <c r="U70"/>
  <c r="S92"/>
  <c r="S91"/>
  <c r="S90"/>
  <c r="S89"/>
  <c r="S88"/>
  <c r="S87"/>
  <c r="S86"/>
  <c r="S85"/>
  <c r="S84"/>
  <c r="W83"/>
  <c r="V83"/>
  <c r="U83"/>
  <c r="K37"/>
  <c r="G4"/>
  <c r="G5" s="1"/>
  <c r="D3"/>
  <c r="F3"/>
  <c r="S80"/>
  <c r="S79"/>
  <c r="S77"/>
  <c r="S76"/>
  <c r="S74"/>
  <c r="S73"/>
  <c r="W71"/>
  <c r="V71"/>
  <c r="U71"/>
  <c r="C78"/>
  <c r="C75"/>
  <c r="C72"/>
  <c r="F70"/>
  <c r="D70"/>
  <c r="A70"/>
  <c r="G6" l="1"/>
  <c r="G7" s="1"/>
  <c r="O64" s="1"/>
  <c r="H4"/>
  <c r="O5" l="1"/>
  <c r="O9"/>
  <c r="O13"/>
  <c r="O17"/>
  <c r="O21"/>
  <c r="O25"/>
  <c r="O29"/>
  <c r="O33"/>
  <c r="O37"/>
  <c r="O41"/>
  <c r="O45"/>
  <c r="O49"/>
  <c r="O53"/>
  <c r="O57"/>
  <c r="O61"/>
  <c r="O65"/>
  <c r="O6"/>
  <c r="O10"/>
  <c r="O14"/>
  <c r="O18"/>
  <c r="O22"/>
  <c r="O26"/>
  <c r="O30"/>
  <c r="O34"/>
  <c r="O38"/>
  <c r="O42"/>
  <c r="O46"/>
  <c r="O50"/>
  <c r="O54"/>
  <c r="O58"/>
  <c r="O62"/>
  <c r="O66"/>
  <c r="O7"/>
  <c r="O11"/>
  <c r="O15"/>
  <c r="O19"/>
  <c r="O23"/>
  <c r="O27"/>
  <c r="O31"/>
  <c r="O35"/>
  <c r="O39"/>
  <c r="O43"/>
  <c r="O47"/>
  <c r="O51"/>
  <c r="O55"/>
  <c r="O59"/>
  <c r="O63"/>
  <c r="O4"/>
  <c r="O8"/>
  <c r="O12"/>
  <c r="O16"/>
  <c r="O20"/>
  <c r="O24"/>
  <c r="O28"/>
  <c r="O32"/>
  <c r="O36"/>
  <c r="O40"/>
  <c r="O44"/>
  <c r="O48"/>
  <c r="O52"/>
  <c r="O56"/>
  <c r="O60"/>
  <c r="O3"/>
  <c r="H6"/>
  <c r="H5"/>
  <c r="I4"/>
  <c r="H7" l="1"/>
  <c r="P63" s="1"/>
  <c r="I5"/>
  <c r="I6"/>
  <c r="P6" l="1"/>
  <c r="P10"/>
  <c r="P14"/>
  <c r="P18"/>
  <c r="P22"/>
  <c r="P26"/>
  <c r="P30"/>
  <c r="P34"/>
  <c r="P38"/>
  <c r="P42"/>
  <c r="P46"/>
  <c r="P50"/>
  <c r="P54"/>
  <c r="P58"/>
  <c r="P62"/>
  <c r="P66"/>
  <c r="P5"/>
  <c r="P9"/>
  <c r="P13"/>
  <c r="P17"/>
  <c r="P21"/>
  <c r="P25"/>
  <c r="P29"/>
  <c r="P33"/>
  <c r="P37"/>
  <c r="P41"/>
  <c r="P45"/>
  <c r="P49"/>
  <c r="P53"/>
  <c r="P57"/>
  <c r="P61"/>
  <c r="P65"/>
  <c r="P4"/>
  <c r="P8"/>
  <c r="P12"/>
  <c r="P16"/>
  <c r="P20"/>
  <c r="P24"/>
  <c r="P28"/>
  <c r="P32"/>
  <c r="P36"/>
  <c r="P40"/>
  <c r="P44"/>
  <c r="P48"/>
  <c r="P52"/>
  <c r="P56"/>
  <c r="P60"/>
  <c r="P64"/>
  <c r="P3"/>
  <c r="P7"/>
  <c r="P11"/>
  <c r="P15"/>
  <c r="P19"/>
  <c r="P23"/>
  <c r="P27"/>
  <c r="P31"/>
  <c r="P35"/>
  <c r="P39"/>
  <c r="P43"/>
  <c r="P47"/>
  <c r="P51"/>
  <c r="P55"/>
  <c r="P59"/>
  <c r="I7"/>
  <c r="Q64" s="1"/>
  <c r="Q5" l="1"/>
  <c r="Q9"/>
  <c r="Q13"/>
  <c r="Q17"/>
  <c r="Q21"/>
  <c r="Q25"/>
  <c r="Q29"/>
  <c r="Q33"/>
  <c r="Q37"/>
  <c r="Q41"/>
  <c r="Q45"/>
  <c r="Q49"/>
  <c r="Q53"/>
  <c r="Q57"/>
  <c r="Q61"/>
  <c r="Q65"/>
  <c r="Q6"/>
  <c r="Q10"/>
  <c r="Q14"/>
  <c r="Q18"/>
  <c r="Q22"/>
  <c r="Q26"/>
  <c r="Q30"/>
  <c r="Q34"/>
  <c r="Q38"/>
  <c r="Q42"/>
  <c r="Q46"/>
  <c r="Q50"/>
  <c r="Q54"/>
  <c r="Q58"/>
  <c r="Q62"/>
  <c r="Q66"/>
  <c r="Q3"/>
  <c r="Q7"/>
  <c r="Q11"/>
  <c r="Q15"/>
  <c r="Q19"/>
  <c r="Q23"/>
  <c r="Q27"/>
  <c r="Q31"/>
  <c r="Q35"/>
  <c r="Q39"/>
  <c r="Q43"/>
  <c r="Q47"/>
  <c r="Q51"/>
  <c r="Q55"/>
  <c r="Q59"/>
  <c r="Q63"/>
  <c r="Q4"/>
  <c r="Q8"/>
  <c r="Q12"/>
  <c r="Q16"/>
  <c r="Q20"/>
  <c r="Q24"/>
  <c r="Q28"/>
  <c r="Q32"/>
  <c r="Q36"/>
  <c r="Q40"/>
  <c r="Q44"/>
  <c r="Q48"/>
  <c r="Q52"/>
  <c r="Q56"/>
  <c r="Q60"/>
  <c r="G71" l="1"/>
  <c r="I71" s="1"/>
  <c r="H81" s="1"/>
  <c r="F71"/>
  <c r="H71" s="1"/>
  <c r="E81" s="1"/>
  <c r="E69"/>
  <c r="H69"/>
  <c r="T78"/>
  <c r="T75"/>
  <c r="T72"/>
  <c r="R72"/>
  <c r="R60"/>
  <c r="A58"/>
  <c r="B53"/>
  <c r="B52"/>
  <c r="B51"/>
  <c r="S68" l="1"/>
  <c r="S67"/>
  <c r="S65"/>
  <c r="S64"/>
  <c r="S62"/>
  <c r="S61"/>
  <c r="T66"/>
  <c r="T63"/>
  <c r="T60"/>
  <c r="W59"/>
  <c r="V59"/>
  <c r="U59"/>
  <c r="U58"/>
  <c r="B68" l="1"/>
  <c r="B67"/>
  <c r="B65"/>
  <c r="B64"/>
  <c r="B62"/>
  <c r="B61"/>
  <c r="C66"/>
  <c r="C63"/>
  <c r="C60"/>
  <c r="N5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N4"/>
  <c r="C8"/>
  <c r="C7"/>
  <c r="F8"/>
  <c r="E8"/>
  <c r="D8"/>
  <c r="F7"/>
  <c r="E7"/>
  <c r="D7"/>
  <c r="Q2"/>
  <c r="E3"/>
  <c r="P2" s="1"/>
  <c r="O2"/>
  <c r="G59"/>
  <c r="I59" s="1"/>
  <c r="F59"/>
  <c r="H59" s="1"/>
  <c r="F58"/>
  <c r="D58"/>
  <c r="K3"/>
  <c r="F21"/>
  <c r="E21"/>
  <c r="D21"/>
  <c r="F18"/>
  <c r="E18"/>
  <c r="D18"/>
  <c r="F15"/>
  <c r="E15"/>
  <c r="D15"/>
  <c r="B47"/>
  <c r="B50" s="1"/>
  <c r="B46"/>
  <c r="B49" s="1"/>
  <c r="B45"/>
  <c r="B48" s="1"/>
  <c r="B35"/>
  <c r="B30"/>
  <c r="B39" s="1"/>
  <c r="B27"/>
  <c r="B36" s="1"/>
  <c r="B24"/>
  <c r="B33" s="1"/>
  <c r="B29"/>
  <c r="B38" s="1"/>
  <c r="B26"/>
  <c r="B23"/>
  <c r="B32" s="1"/>
  <c r="B28"/>
  <c r="B37" s="1"/>
  <c r="B66" s="1"/>
  <c r="S66" s="1"/>
  <c r="S78" s="1"/>
  <c r="B25"/>
  <c r="B34" s="1"/>
  <c r="B63" s="1"/>
  <c r="S63" s="1"/>
  <c r="S75" s="1"/>
  <c r="B22"/>
  <c r="B31" s="1"/>
  <c r="B60" s="1"/>
  <c r="S60" s="1"/>
  <c r="S72" s="1"/>
  <c r="C22"/>
  <c r="C31" s="1"/>
  <c r="C42" s="1"/>
  <c r="F27"/>
  <c r="F36" s="1"/>
  <c r="E24"/>
  <c r="E33" s="1"/>
  <c r="D30"/>
  <c r="F23"/>
  <c r="F32" s="1"/>
  <c r="E29"/>
  <c r="E38" s="1"/>
  <c r="D29"/>
  <c r="F28"/>
  <c r="F37" s="1"/>
  <c r="E28"/>
  <c r="E37" s="1"/>
  <c r="D22"/>
  <c r="D31" s="1"/>
  <c r="I24"/>
  <c r="H24"/>
  <c r="G24"/>
  <c r="I23"/>
  <c r="H23"/>
  <c r="G23"/>
  <c r="I22"/>
  <c r="H22"/>
  <c r="G22"/>
  <c r="I30"/>
  <c r="H30"/>
  <c r="G27"/>
  <c r="I29"/>
  <c r="H29"/>
  <c r="G29"/>
  <c r="I28"/>
  <c r="H28"/>
  <c r="G25"/>
  <c r="C16"/>
  <c r="C14"/>
  <c r="C15" s="1"/>
  <c r="C28" s="1"/>
  <c r="C37" s="1"/>
  <c r="C48" s="1"/>
  <c r="K7"/>
  <c r="K41" l="1"/>
  <c r="D62"/>
  <c r="D74" s="1"/>
  <c r="D86" s="1"/>
  <c r="D39"/>
  <c r="D67"/>
  <c r="D79" s="1"/>
  <c r="D91" s="1"/>
  <c r="D38"/>
  <c r="D66"/>
  <c r="D78" s="1"/>
  <c r="D90" s="1"/>
  <c r="E9"/>
  <c r="D9"/>
  <c r="F9"/>
  <c r="J22"/>
  <c r="G30"/>
  <c r="C18"/>
  <c r="C21" s="1"/>
  <c r="G28"/>
  <c r="I27"/>
  <c r="F25"/>
  <c r="F34" s="1"/>
  <c r="E27"/>
  <c r="D24"/>
  <c r="F26"/>
  <c r="F35" s="1"/>
  <c r="E23"/>
  <c r="F30"/>
  <c r="F39" s="1"/>
  <c r="C19"/>
  <c r="I26"/>
  <c r="H27"/>
  <c r="C25"/>
  <c r="C34" s="1"/>
  <c r="C45" s="1"/>
  <c r="D25"/>
  <c r="E25"/>
  <c r="D23"/>
  <c r="E26"/>
  <c r="F29"/>
  <c r="F38" s="1"/>
  <c r="D27"/>
  <c r="E30"/>
  <c r="I25"/>
  <c r="H26"/>
  <c r="F22"/>
  <c r="F31" s="1"/>
  <c r="D26"/>
  <c r="F24"/>
  <c r="F33" s="1"/>
  <c r="D28"/>
  <c r="C17"/>
  <c r="H25"/>
  <c r="G26"/>
  <c r="E22"/>
  <c r="E67"/>
  <c r="E68"/>
  <c r="E60"/>
  <c r="E36" l="1"/>
  <c r="D65"/>
  <c r="D77" s="1"/>
  <c r="D89" s="1"/>
  <c r="E39"/>
  <c r="D68"/>
  <c r="D80" s="1"/>
  <c r="D92" s="1"/>
  <c r="E80"/>
  <c r="E92" s="1"/>
  <c r="D33"/>
  <c r="D36"/>
  <c r="E35"/>
  <c r="D64"/>
  <c r="D76" s="1"/>
  <c r="D88" s="1"/>
  <c r="E32"/>
  <c r="D61"/>
  <c r="D73" s="1"/>
  <c r="D85" s="1"/>
  <c r="E79"/>
  <c r="E91" s="1"/>
  <c r="D35"/>
  <c r="D32"/>
  <c r="E72"/>
  <c r="E84" s="1"/>
  <c r="E31"/>
  <c r="D60"/>
  <c r="D72" s="1"/>
  <c r="D84" s="1"/>
  <c r="E34"/>
  <c r="D63"/>
  <c r="D75" s="1"/>
  <c r="D87" s="1"/>
  <c r="D37"/>
  <c r="D34"/>
  <c r="M64"/>
  <c r="M32"/>
  <c r="M33"/>
  <c r="M10"/>
  <c r="M19"/>
  <c r="M21"/>
  <c r="M23"/>
  <c r="M55"/>
  <c r="J31"/>
  <c r="J25"/>
  <c r="J34" s="1"/>
  <c r="J28"/>
  <c r="J37" s="1"/>
  <c r="C20"/>
  <c r="E61"/>
  <c r="E64"/>
  <c r="E65"/>
  <c r="E63"/>
  <c r="K6"/>
  <c r="E66"/>
  <c r="E62"/>
  <c r="K40" l="1"/>
  <c r="E74"/>
  <c r="E86" s="1"/>
  <c r="E77"/>
  <c r="E89" s="1"/>
  <c r="E76"/>
  <c r="E88" s="1"/>
  <c r="E73"/>
  <c r="E85" s="1"/>
  <c r="E75"/>
  <c r="E87" s="1"/>
  <c r="E78"/>
  <c r="E90" s="1"/>
  <c r="M25"/>
  <c r="M20"/>
  <c r="M31"/>
  <c r="M29"/>
  <c r="M27"/>
  <c r="M48"/>
  <c r="M7"/>
  <c r="M5"/>
  <c r="M4"/>
  <c r="M9"/>
  <c r="M15"/>
  <c r="M49"/>
  <c r="M6"/>
  <c r="M60"/>
  <c r="M53"/>
  <c r="M51"/>
  <c r="M57"/>
  <c r="M12"/>
  <c r="M18"/>
  <c r="M63"/>
  <c r="M61"/>
  <c r="M59"/>
  <c r="M65"/>
  <c r="M40"/>
  <c r="M56"/>
  <c r="M39"/>
  <c r="M37"/>
  <c r="M35"/>
  <c r="M41"/>
  <c r="M47"/>
  <c r="M28"/>
  <c r="M38"/>
  <c r="M45"/>
  <c r="M34"/>
  <c r="M66"/>
  <c r="M11"/>
  <c r="M42"/>
  <c r="M13"/>
  <c r="M24"/>
  <c r="M14"/>
  <c r="M43"/>
  <c r="M16"/>
  <c r="M46"/>
  <c r="M52"/>
  <c r="M8"/>
  <c r="M22"/>
  <c r="M54"/>
  <c r="M17"/>
  <c r="M44"/>
  <c r="M26"/>
  <c r="M58"/>
  <c r="M36"/>
  <c r="M50"/>
  <c r="M30"/>
  <c r="M62"/>
  <c r="M3"/>
  <c r="M2" s="1"/>
  <c r="B12" s="1"/>
  <c r="G36"/>
  <c r="I34"/>
  <c r="G34"/>
  <c r="H34"/>
  <c r="H36"/>
  <c r="G35"/>
  <c r="H35"/>
  <c r="I35"/>
  <c r="I36"/>
  <c r="I38"/>
  <c r="H37"/>
  <c r="G38"/>
  <c r="I39"/>
  <c r="G37"/>
  <c r="G39"/>
  <c r="I37"/>
  <c r="H39"/>
  <c r="H38"/>
  <c r="H33"/>
  <c r="G32"/>
  <c r="H31"/>
  <c r="I33"/>
  <c r="H32"/>
  <c r="I32"/>
  <c r="G33"/>
  <c r="I31"/>
  <c r="G31"/>
  <c r="K12" l="1"/>
  <c r="G49" a="1"/>
  <c r="G50" a="1"/>
  <c r="G48" a="1"/>
  <c r="G46" a="1"/>
  <c r="G47" a="1"/>
  <c r="G45" a="1"/>
  <c r="G42" a="1"/>
  <c r="G56" a="1"/>
  <c r="G43" a="1"/>
  <c r="G54" a="1"/>
  <c r="G44" a="1"/>
  <c r="G55" a="1"/>
  <c r="K4"/>
  <c r="K38" l="1"/>
  <c r="H55"/>
  <c r="I55"/>
  <c r="G55"/>
  <c r="I43"/>
  <c r="H43"/>
  <c r="J42" s="1"/>
  <c r="G43"/>
  <c r="I47"/>
  <c r="H47"/>
  <c r="G47"/>
  <c r="I49"/>
  <c r="H49"/>
  <c r="J48" s="1"/>
  <c r="G49"/>
  <c r="H54"/>
  <c r="E54" s="1"/>
  <c r="I54"/>
  <c r="G54"/>
  <c r="G45"/>
  <c r="H45"/>
  <c r="I45"/>
  <c r="H50"/>
  <c r="E50" s="1"/>
  <c r="I50"/>
  <c r="G50"/>
  <c r="I44"/>
  <c r="G44"/>
  <c r="H44"/>
  <c r="I42"/>
  <c r="D42" s="1"/>
  <c r="G42"/>
  <c r="H42"/>
  <c r="G48"/>
  <c r="I48"/>
  <c r="H48"/>
  <c r="I56"/>
  <c r="G56"/>
  <c r="H56"/>
  <c r="E56" s="1"/>
  <c r="G46"/>
  <c r="I46"/>
  <c r="H46"/>
  <c r="J45" s="1"/>
  <c r="D46" l="1"/>
  <c r="F48"/>
  <c r="D48"/>
  <c r="F50"/>
  <c r="E45"/>
  <c r="F47"/>
  <c r="F46"/>
  <c r="E48"/>
  <c r="D45"/>
  <c r="D51" s="1"/>
  <c r="D49"/>
  <c r="D50"/>
  <c r="W92" s="1"/>
  <c r="F49"/>
  <c r="E49"/>
  <c r="D44"/>
  <c r="D54"/>
  <c r="F43"/>
  <c r="D56"/>
  <c r="E42"/>
  <c r="F44"/>
  <c r="F54"/>
  <c r="D47"/>
  <c r="F55"/>
  <c r="E43"/>
  <c r="J54"/>
  <c r="E55"/>
  <c r="E46"/>
  <c r="F42"/>
  <c r="D55"/>
  <c r="F56"/>
  <c r="E44"/>
  <c r="F45"/>
  <c r="E47"/>
  <c r="D43"/>
  <c r="V86" s="1"/>
  <c r="F86" s="1"/>
  <c r="H86" s="1"/>
  <c r="K50"/>
  <c r="K9"/>
  <c r="K10"/>
  <c r="K46"/>
  <c r="K45"/>
  <c r="K49"/>
  <c r="K48"/>
  <c r="K8"/>
  <c r="K43"/>
  <c r="K5"/>
  <c r="K47"/>
  <c r="K42"/>
  <c r="K44"/>
  <c r="K39"/>
  <c r="U91" l="1"/>
  <c r="W88"/>
  <c r="V87"/>
  <c r="F87" s="1"/>
  <c r="H87" s="1"/>
  <c r="U86"/>
  <c r="W84"/>
  <c r="V90"/>
  <c r="F90" s="1"/>
  <c r="H90" s="1"/>
  <c r="V84"/>
  <c r="F84" s="1"/>
  <c r="H84" s="1"/>
  <c r="W85"/>
  <c r="U84"/>
  <c r="V85"/>
  <c r="F85" s="1"/>
  <c r="H85" s="1"/>
  <c r="W86"/>
  <c r="X86" s="1"/>
  <c r="U90"/>
  <c r="W90"/>
  <c r="V92"/>
  <c r="F92" s="1"/>
  <c r="H92" s="1"/>
  <c r="W91"/>
  <c r="U87"/>
  <c r="V88"/>
  <c r="F88" s="1"/>
  <c r="H88" s="1"/>
  <c r="W89"/>
  <c r="U88"/>
  <c r="V89"/>
  <c r="F89" s="1"/>
  <c r="H89" s="1"/>
  <c r="U85"/>
  <c r="V91"/>
  <c r="F91" s="1"/>
  <c r="H91" s="1"/>
  <c r="U92"/>
  <c r="W87"/>
  <c r="U89"/>
  <c r="D52"/>
  <c r="E51"/>
  <c r="V68"/>
  <c r="F68" s="1"/>
  <c r="H68" s="1"/>
  <c r="J51"/>
  <c r="F52"/>
  <c r="F53"/>
  <c r="E53"/>
  <c r="E52"/>
  <c r="D53"/>
  <c r="F51"/>
  <c r="U78" s="1"/>
  <c r="U60"/>
  <c r="U67"/>
  <c r="W65"/>
  <c r="V64"/>
  <c r="U63"/>
  <c r="V62"/>
  <c r="F62" s="1"/>
  <c r="H62" s="1"/>
  <c r="U61"/>
  <c r="U68"/>
  <c r="V65"/>
  <c r="F65" s="1"/>
  <c r="H65" s="1"/>
  <c r="U62"/>
  <c r="W68"/>
  <c r="V67"/>
  <c r="F67" s="1"/>
  <c r="H67" s="1"/>
  <c r="U66"/>
  <c r="W64"/>
  <c r="V63"/>
  <c r="F63" s="1"/>
  <c r="H63" s="1"/>
  <c r="W62"/>
  <c r="V61"/>
  <c r="F61" s="1"/>
  <c r="H61" s="1"/>
  <c r="W67"/>
  <c r="V66"/>
  <c r="F66" s="1"/>
  <c r="H66" s="1"/>
  <c r="U65"/>
  <c r="W63"/>
  <c r="W61"/>
  <c r="V60"/>
  <c r="F60" s="1"/>
  <c r="H60" s="1"/>
  <c r="W66"/>
  <c r="U64"/>
  <c r="W60"/>
  <c r="G86"/>
  <c r="F93" l="1"/>
  <c r="I86"/>
  <c r="X89"/>
  <c r="X92"/>
  <c r="X85"/>
  <c r="X88"/>
  <c r="X84"/>
  <c r="X91"/>
  <c r="X87"/>
  <c r="X90"/>
  <c r="V80"/>
  <c r="F80" s="1"/>
  <c r="H80" s="1"/>
  <c r="V73"/>
  <c r="F73" s="1"/>
  <c r="H73" s="1"/>
  <c r="V72"/>
  <c r="F72" s="1"/>
  <c r="H72" s="1"/>
  <c r="V75"/>
  <c r="F75" s="1"/>
  <c r="H75" s="1"/>
  <c r="V74"/>
  <c r="F74" s="1"/>
  <c r="H74" s="1"/>
  <c r="V77"/>
  <c r="F77" s="1"/>
  <c r="H77" s="1"/>
  <c r="V76"/>
  <c r="F76" s="1"/>
  <c r="H76" s="1"/>
  <c r="V78"/>
  <c r="F78" s="1"/>
  <c r="H78" s="1"/>
  <c r="V79"/>
  <c r="F79" s="1"/>
  <c r="H79" s="1"/>
  <c r="W79"/>
  <c r="F81"/>
  <c r="U73"/>
  <c r="W72"/>
  <c r="W74"/>
  <c r="W76"/>
  <c r="W78"/>
  <c r="W80"/>
  <c r="U77"/>
  <c r="W73"/>
  <c r="W75"/>
  <c r="W77"/>
  <c r="X78"/>
  <c r="U72"/>
  <c r="U76"/>
  <c r="U80"/>
  <c r="U75"/>
  <c r="U79"/>
  <c r="U74"/>
  <c r="X63"/>
  <c r="X65"/>
  <c r="X64"/>
  <c r="F64"/>
  <c r="H64" s="1"/>
  <c r="F69" s="1"/>
  <c r="X60"/>
  <c r="X66"/>
  <c r="X62"/>
  <c r="X67"/>
  <c r="X68"/>
  <c r="X61"/>
  <c r="G89"/>
  <c r="G63"/>
  <c r="G62"/>
  <c r="G87"/>
  <c r="G88"/>
  <c r="G90"/>
  <c r="G65"/>
  <c r="G84"/>
  <c r="G66"/>
  <c r="G68"/>
  <c r="G85"/>
  <c r="G60"/>
  <c r="G91"/>
  <c r="G61"/>
  <c r="G64"/>
  <c r="G92"/>
  <c r="G67"/>
  <c r="G78"/>
  <c r="I90" l="1"/>
  <c r="I91"/>
  <c r="I88"/>
  <c r="I92"/>
  <c r="I87"/>
  <c r="I84"/>
  <c r="I85"/>
  <c r="I89"/>
  <c r="X73"/>
  <c r="X77"/>
  <c r="I78"/>
  <c r="X79"/>
  <c r="X80"/>
  <c r="X72"/>
  <c r="X74"/>
  <c r="X75"/>
  <c r="X76"/>
  <c r="I61"/>
  <c r="I66"/>
  <c r="I67"/>
  <c r="I68"/>
  <c r="I60"/>
  <c r="I63"/>
  <c r="I65"/>
  <c r="I62"/>
  <c r="I64"/>
  <c r="G72"/>
  <c r="G75"/>
  <c r="G79"/>
  <c r="G80"/>
  <c r="G76"/>
  <c r="G74"/>
  <c r="G73"/>
  <c r="G77"/>
  <c r="I93" l="1"/>
  <c r="I73"/>
  <c r="I77"/>
  <c r="I74"/>
  <c r="I80"/>
  <c r="I75"/>
  <c r="I76"/>
  <c r="I72"/>
  <c r="I79"/>
  <c r="I69"/>
  <c r="I81" l="1"/>
  <c r="J38" i="47" l="1"/>
  <c r="J11"/>
  <c r="J100"/>
  <c r="J58"/>
  <c r="J81"/>
  <c r="J31"/>
  <c r="J62"/>
  <c r="J105"/>
  <c r="J73"/>
  <c r="J75"/>
  <c r="J104"/>
  <c r="J67"/>
  <c r="J66"/>
  <c r="J77"/>
  <c r="J78"/>
  <c r="J68"/>
  <c r="J36"/>
  <c r="J80"/>
  <c r="J70"/>
  <c r="J30"/>
  <c r="J69"/>
  <c r="J35"/>
  <c r="J99"/>
  <c r="J52"/>
  <c r="J71"/>
  <c r="J106"/>
  <c r="J54"/>
  <c r="J64"/>
  <c r="J107"/>
  <c r="J57"/>
  <c r="J102"/>
  <c r="J55"/>
  <c r="J63"/>
  <c r="J37"/>
  <c r="J59"/>
  <c r="J32"/>
  <c r="J101"/>
  <c r="J41"/>
  <c r="J79"/>
  <c r="J61"/>
  <c r="J8"/>
  <c r="J9"/>
  <c r="J34"/>
  <c r="J103"/>
  <c r="J29"/>
  <c r="J60"/>
  <c r="J76"/>
  <c r="J72"/>
  <c r="J40"/>
  <c r="J53"/>
  <c r="J39"/>
  <c r="J56"/>
  <c r="J33"/>
  <c r="J65"/>
  <c r="J74"/>
  <c r="J12"/>
  <c r="J113" l="1"/>
  <c r="J110"/>
  <c r="J112"/>
  <c r="J109"/>
  <c r="J108"/>
  <c r="J111"/>
  <c r="J115"/>
  <c r="J114"/>
  <c r="J116"/>
  <c r="AB99"/>
  <c r="AB104"/>
  <c r="AB67"/>
  <c r="AB11"/>
  <c r="AB36"/>
  <c r="AB81"/>
  <c r="AB53"/>
  <c r="AB69"/>
  <c r="AB38"/>
  <c r="AB100"/>
  <c r="AB105"/>
  <c r="AB106"/>
  <c r="AB79"/>
  <c r="AB63"/>
  <c r="AB40"/>
  <c r="AB65"/>
  <c r="AB101"/>
  <c r="AB102"/>
  <c r="AB59"/>
  <c r="AB75"/>
  <c r="AB61"/>
  <c r="AB77"/>
  <c r="AB107"/>
  <c r="AB103"/>
  <c r="AB55"/>
  <c r="AB71"/>
  <c r="AB57"/>
  <c r="AB73"/>
  <c r="AB70"/>
  <c r="AB32"/>
  <c r="AB33"/>
  <c r="AB37"/>
  <c r="AB9"/>
  <c r="AB12"/>
  <c r="AB72"/>
  <c r="AB64"/>
  <c r="AB56"/>
  <c r="AB35"/>
  <c r="AB54"/>
  <c r="AB80"/>
  <c r="AB31"/>
  <c r="AB74"/>
  <c r="AB66"/>
  <c r="AB58"/>
  <c r="AB39"/>
  <c r="AB29"/>
  <c r="AB34"/>
  <c r="AB78"/>
  <c r="AB62"/>
  <c r="AB30"/>
  <c r="AB8"/>
  <c r="AB76"/>
  <c r="AB68"/>
  <c r="AB60"/>
  <c r="AB52"/>
  <c r="AB41"/>
  <c r="AB110" l="1"/>
  <c r="AB108"/>
  <c r="AB109"/>
  <c r="AB113"/>
  <c r="AB112"/>
  <c r="AB111"/>
  <c r="AB116"/>
  <c r="AB114"/>
  <c r="AB115"/>
  <c r="AG107"/>
  <c r="AG100"/>
  <c r="AG66"/>
  <c r="AG79"/>
  <c r="AG67"/>
  <c r="AG12"/>
  <c r="AG56"/>
  <c r="AG103"/>
  <c r="AG101"/>
  <c r="AG62"/>
  <c r="AG78"/>
  <c r="AG38"/>
  <c r="AG63"/>
  <c r="AG73"/>
  <c r="AG99"/>
  <c r="AG106"/>
  <c r="AG58"/>
  <c r="AG74"/>
  <c r="AG59"/>
  <c r="AG75"/>
  <c r="AG72"/>
  <c r="AG40"/>
  <c r="AG65"/>
  <c r="AG41"/>
  <c r="AG105"/>
  <c r="AG102"/>
  <c r="AG104"/>
  <c r="AG54"/>
  <c r="AG70"/>
  <c r="AG55"/>
  <c r="AG71"/>
  <c r="AG39"/>
  <c r="AG64"/>
  <c r="AG57"/>
  <c r="AG76"/>
  <c r="AG81"/>
  <c r="AG30"/>
  <c r="AG77"/>
  <c r="AG61"/>
  <c r="AG9"/>
  <c r="AG29"/>
  <c r="AG34"/>
  <c r="AG8"/>
  <c r="AG11"/>
  <c r="AG68"/>
  <c r="AG52"/>
  <c r="AG31"/>
  <c r="AG37"/>
  <c r="AG60"/>
  <c r="AG32"/>
  <c r="AG33"/>
  <c r="AG35"/>
  <c r="AG36"/>
  <c r="AG69"/>
  <c r="AG53"/>
  <c r="AG80"/>
  <c r="AG113" l="1"/>
  <c r="AG109"/>
  <c r="AG108"/>
  <c r="AG111"/>
  <c r="AG112"/>
  <c r="AG110"/>
  <c r="AG114"/>
  <c r="AG115"/>
  <c r="AG116"/>
  <c r="M103"/>
  <c r="M100"/>
  <c r="M55"/>
  <c r="M71"/>
  <c r="M56"/>
  <c r="M72"/>
  <c r="M80"/>
  <c r="M61"/>
  <c r="M54"/>
  <c r="M40"/>
  <c r="M99"/>
  <c r="M105"/>
  <c r="M67"/>
  <c r="M52"/>
  <c r="M68"/>
  <c r="M79"/>
  <c r="M53"/>
  <c r="M78"/>
  <c r="M101"/>
  <c r="M106"/>
  <c r="M81"/>
  <c r="M63"/>
  <c r="M41"/>
  <c r="M64"/>
  <c r="M77"/>
  <c r="M70"/>
  <c r="M9"/>
  <c r="M102"/>
  <c r="M107"/>
  <c r="M104"/>
  <c r="M59"/>
  <c r="M75"/>
  <c r="M8"/>
  <c r="M60"/>
  <c r="M76"/>
  <c r="M12"/>
  <c r="M69"/>
  <c r="M11"/>
  <c r="M62"/>
  <c r="M31"/>
  <c r="M30"/>
  <c r="M35"/>
  <c r="M66"/>
  <c r="M38"/>
  <c r="M65"/>
  <c r="M29"/>
  <c r="M33"/>
  <c r="M34"/>
  <c r="M36"/>
  <c r="M37"/>
  <c r="M73"/>
  <c r="M57"/>
  <c r="M39"/>
  <c r="M32"/>
  <c r="M74"/>
  <c r="M58"/>
  <c r="M108" l="1"/>
  <c r="M112"/>
  <c r="M109"/>
  <c r="M110"/>
  <c r="M113"/>
  <c r="M111"/>
  <c r="M115"/>
  <c r="M114"/>
  <c r="M116"/>
  <c r="AD102"/>
  <c r="AD106"/>
  <c r="AD60"/>
  <c r="AD76"/>
  <c r="AD61"/>
  <c r="AD77"/>
  <c r="AD66"/>
  <c r="AD59"/>
  <c r="AD8"/>
  <c r="AD107"/>
  <c r="AD99"/>
  <c r="AD79"/>
  <c r="AD56"/>
  <c r="AD72"/>
  <c r="AD57"/>
  <c r="AD73"/>
  <c r="AD58"/>
  <c r="AD41"/>
  <c r="AD12"/>
  <c r="AD9"/>
  <c r="AD103"/>
  <c r="AD104"/>
  <c r="AD105"/>
  <c r="AD52"/>
  <c r="AD68"/>
  <c r="AD80"/>
  <c r="AD53"/>
  <c r="AD69"/>
  <c r="AD40"/>
  <c r="AD75"/>
  <c r="AD71"/>
  <c r="AD38"/>
  <c r="AD100"/>
  <c r="AD101"/>
  <c r="AD64"/>
  <c r="AD39"/>
  <c r="AD65"/>
  <c r="AD74"/>
  <c r="AD67"/>
  <c r="AD55"/>
  <c r="AD35"/>
  <c r="AD63"/>
  <c r="AD37"/>
  <c r="AD33"/>
  <c r="AD36"/>
  <c r="AD31"/>
  <c r="AD62"/>
  <c r="AD81"/>
  <c r="AD32"/>
  <c r="AD30"/>
  <c r="AD70"/>
  <c r="AD54"/>
  <c r="AD29"/>
  <c r="AD34"/>
  <c r="AD11"/>
  <c r="AD78"/>
  <c r="AD108" l="1"/>
  <c r="AD113"/>
  <c r="AD112"/>
  <c r="AD109"/>
  <c r="AD110"/>
  <c r="AD111"/>
  <c r="AD115"/>
  <c r="AD116"/>
  <c r="AD114"/>
  <c r="Z105"/>
  <c r="Z101"/>
  <c r="Z107"/>
  <c r="Z80"/>
  <c r="Z65"/>
  <c r="Z12"/>
  <c r="Z81"/>
  <c r="Z66"/>
  <c r="Z71"/>
  <c r="Z79"/>
  <c r="Z64"/>
  <c r="Z38"/>
  <c r="Z76"/>
  <c r="Z39"/>
  <c r="Z106"/>
  <c r="Z103"/>
  <c r="Z61"/>
  <c r="Z77"/>
  <c r="Z40"/>
  <c r="Z62"/>
  <c r="Z78"/>
  <c r="Z41"/>
  <c r="Z63"/>
  <c r="Z56"/>
  <c r="Z60"/>
  <c r="Z37"/>
  <c r="Z68"/>
  <c r="Z102"/>
  <c r="Z99"/>
  <c r="Z57"/>
  <c r="Z73"/>
  <c r="Z58"/>
  <c r="Z74"/>
  <c r="Z11"/>
  <c r="Z55"/>
  <c r="Z8"/>
  <c r="Z33"/>
  <c r="Z52"/>
  <c r="Z35"/>
  <c r="Z104"/>
  <c r="Z100"/>
  <c r="Z53"/>
  <c r="Z69"/>
  <c r="Z54"/>
  <c r="Z70"/>
  <c r="Z72"/>
  <c r="Z9"/>
  <c r="Z59"/>
  <c r="Z29"/>
  <c r="Z34"/>
  <c r="Z36"/>
  <c r="Z67"/>
  <c r="Z30"/>
  <c r="Z32"/>
  <c r="Z75"/>
  <c r="Z31"/>
  <c r="Z109" l="1"/>
  <c r="Z110"/>
  <c r="Z108"/>
  <c r="Z113"/>
  <c r="Z112"/>
  <c r="Z111"/>
  <c r="Z116"/>
  <c r="Z114"/>
  <c r="Z115"/>
  <c r="L12"/>
  <c r="L41"/>
  <c r="L61"/>
  <c r="L38"/>
  <c r="L65"/>
  <c r="L53"/>
  <c r="L64"/>
  <c r="L72"/>
  <c r="L77"/>
  <c r="L39"/>
  <c r="L68"/>
  <c r="L78"/>
  <c r="L58"/>
  <c r="L33"/>
  <c r="L52"/>
  <c r="L69"/>
  <c r="L80"/>
  <c r="L76"/>
  <c r="L37"/>
  <c r="L66"/>
  <c r="L79"/>
  <c r="L35"/>
  <c r="L57"/>
  <c r="L73"/>
  <c r="L29"/>
  <c r="L60"/>
  <c r="L11"/>
  <c r="L59"/>
  <c r="L81"/>
  <c r="L56"/>
  <c r="L70"/>
  <c r="L74"/>
  <c r="L63"/>
  <c r="L54"/>
  <c r="L75"/>
  <c r="L31"/>
  <c r="L9"/>
  <c r="L30"/>
  <c r="L55"/>
  <c r="L36"/>
  <c r="L34"/>
  <c r="L32"/>
  <c r="L62"/>
  <c r="L8"/>
  <c r="L40"/>
  <c r="L71"/>
  <c r="L67"/>
  <c r="L104"/>
  <c r="L107"/>
  <c r="L105"/>
  <c r="L106"/>
  <c r="L102"/>
  <c r="L100"/>
  <c r="L99"/>
  <c r="L101"/>
  <c r="L103"/>
  <c r="L110" l="1"/>
  <c r="L111"/>
  <c r="L109"/>
  <c r="L108"/>
  <c r="L112"/>
  <c r="L113"/>
  <c r="L116"/>
  <c r="L115"/>
  <c r="L114"/>
  <c r="N12"/>
  <c r="N73"/>
  <c r="N56"/>
  <c r="N55"/>
  <c r="N33"/>
  <c r="N63"/>
  <c r="N31"/>
  <c r="N9"/>
  <c r="N74"/>
  <c r="N37"/>
  <c r="N67"/>
  <c r="N34"/>
  <c r="N59"/>
  <c r="N32"/>
  <c r="N29"/>
  <c r="N65"/>
  <c r="N68"/>
  <c r="N57"/>
  <c r="N36"/>
  <c r="N70"/>
  <c r="N8"/>
  <c r="N54"/>
  <c r="N40"/>
  <c r="N11"/>
  <c r="N66"/>
  <c r="N39"/>
  <c r="N58"/>
  <c r="N71"/>
  <c r="N35"/>
  <c r="N30"/>
  <c r="N53"/>
  <c r="N76"/>
  <c r="N75"/>
  <c r="N62"/>
  <c r="N80"/>
  <c r="N41"/>
  <c r="N78"/>
  <c r="N79"/>
  <c r="N72"/>
  <c r="N77"/>
  <c r="N69"/>
  <c r="N60"/>
  <c r="N64"/>
  <c r="N81"/>
  <c r="N38"/>
  <c r="N61"/>
  <c r="N52"/>
  <c r="N100"/>
  <c r="N101"/>
  <c r="N103"/>
  <c r="N105"/>
  <c r="N99"/>
  <c r="N102"/>
  <c r="N107"/>
  <c r="N104"/>
  <c r="N106"/>
  <c r="N110" l="1"/>
  <c r="N109"/>
  <c r="N108"/>
  <c r="N113"/>
  <c r="N112"/>
  <c r="N111"/>
  <c r="N116"/>
  <c r="N114"/>
  <c r="N115"/>
  <c r="O12"/>
  <c r="O39"/>
  <c r="O69"/>
  <c r="O29"/>
  <c r="O40"/>
  <c r="O81"/>
  <c r="O64"/>
  <c r="O77"/>
  <c r="O65"/>
  <c r="O62"/>
  <c r="O56"/>
  <c r="O71"/>
  <c r="O33"/>
  <c r="O35"/>
  <c r="O59"/>
  <c r="O75"/>
  <c r="O11"/>
  <c r="O74"/>
  <c r="O52"/>
  <c r="O80"/>
  <c r="O61"/>
  <c r="O30"/>
  <c r="O57"/>
  <c r="O68"/>
  <c r="O72"/>
  <c r="O67"/>
  <c r="O60"/>
  <c r="O31"/>
  <c r="O53"/>
  <c r="O37"/>
  <c r="O34"/>
  <c r="O79"/>
  <c r="O38"/>
  <c r="O78"/>
  <c r="O41"/>
  <c r="O36"/>
  <c r="O9"/>
  <c r="O54"/>
  <c r="O55"/>
  <c r="O58"/>
  <c r="O8"/>
  <c r="O66"/>
  <c r="O76"/>
  <c r="O73"/>
  <c r="O32"/>
  <c r="O70"/>
  <c r="O63"/>
  <c r="O101"/>
  <c r="O107"/>
  <c r="O104"/>
  <c r="O102"/>
  <c r="O100"/>
  <c r="O99"/>
  <c r="O106"/>
  <c r="O105"/>
  <c r="O103"/>
  <c r="O109" l="1"/>
  <c r="O110"/>
  <c r="O113"/>
  <c r="O111"/>
  <c r="O112"/>
  <c r="O108"/>
  <c r="O115"/>
  <c r="O114"/>
  <c r="O116"/>
  <c r="P12"/>
  <c r="P75"/>
  <c r="P67"/>
  <c r="P99"/>
  <c r="P60"/>
  <c r="P54"/>
  <c r="P34"/>
  <c r="P105"/>
  <c r="P76"/>
  <c r="P39"/>
  <c r="P37"/>
  <c r="P11"/>
  <c r="P69"/>
  <c r="P81"/>
  <c r="P57"/>
  <c r="P8"/>
  <c r="P104"/>
  <c r="P68"/>
  <c r="P32"/>
  <c r="P31"/>
  <c r="P102"/>
  <c r="P58"/>
  <c r="P65"/>
  <c r="P56"/>
  <c r="P103"/>
  <c r="P9"/>
  <c r="P71"/>
  <c r="P59"/>
  <c r="P70"/>
  <c r="P33"/>
  <c r="P53"/>
  <c r="P55"/>
  <c r="P64"/>
  <c r="P80"/>
  <c r="P79"/>
  <c r="P66"/>
  <c r="P52"/>
  <c r="P107"/>
  <c r="P35"/>
  <c r="P38"/>
  <c r="P101"/>
  <c r="P77"/>
  <c r="P30"/>
  <c r="P41"/>
  <c r="P61"/>
  <c r="P36"/>
  <c r="P62"/>
  <c r="P74"/>
  <c r="P78"/>
  <c r="P72"/>
  <c r="P106"/>
  <c r="P63"/>
  <c r="P100"/>
  <c r="P40"/>
  <c r="P29"/>
  <c r="P73"/>
  <c r="P109" l="1"/>
  <c r="P108"/>
  <c r="P112"/>
  <c r="P111"/>
  <c r="P110"/>
  <c r="P113"/>
  <c r="P116"/>
  <c r="P114"/>
  <c r="P115"/>
  <c r="Q12"/>
  <c r="Q70"/>
  <c r="Q101"/>
  <c r="Q35"/>
  <c r="Q77"/>
  <c r="Q32"/>
  <c r="Q74"/>
  <c r="Q59"/>
  <c r="Q76"/>
  <c r="Q9"/>
  <c r="Q68"/>
  <c r="Q99"/>
  <c r="Q65"/>
  <c r="Q8"/>
  <c r="Q57"/>
  <c r="Q29"/>
  <c r="Q55"/>
  <c r="Q33"/>
  <c r="Q75"/>
  <c r="Q102"/>
  <c r="Q53"/>
  <c r="Q104"/>
  <c r="Q56"/>
  <c r="Q39"/>
  <c r="Q38"/>
  <c r="Q40"/>
  <c r="Q79"/>
  <c r="Q73"/>
  <c r="Q61"/>
  <c r="Q31"/>
  <c r="Q78"/>
  <c r="Q63"/>
  <c r="Q66"/>
  <c r="Q71"/>
  <c r="Q100"/>
  <c r="Q62"/>
  <c r="Q34"/>
  <c r="Q41"/>
  <c r="Q58"/>
  <c r="Q107"/>
  <c r="Q72"/>
  <c r="Q30"/>
  <c r="Q106"/>
  <c r="Q105"/>
  <c r="Q60"/>
  <c r="Q67"/>
  <c r="Q37"/>
  <c r="Q69"/>
  <c r="Q81"/>
  <c r="Q64"/>
  <c r="Q52"/>
  <c r="Q80"/>
  <c r="Q103"/>
  <c r="Q11"/>
  <c r="Q36"/>
  <c r="Q54"/>
  <c r="Q113" l="1"/>
  <c r="Q108"/>
  <c r="Q109"/>
  <c r="Q112"/>
  <c r="Q110"/>
  <c r="Q111"/>
  <c r="Q115"/>
  <c r="Q114"/>
  <c r="Q116"/>
  <c r="R12"/>
  <c r="R103"/>
  <c r="R60"/>
  <c r="R67"/>
  <c r="R106"/>
  <c r="R80"/>
  <c r="R39"/>
  <c r="R69"/>
  <c r="R38"/>
  <c r="R62"/>
  <c r="R104"/>
  <c r="R33"/>
  <c r="R57"/>
  <c r="R8"/>
  <c r="R37"/>
  <c r="R53"/>
  <c r="R72"/>
  <c r="R99"/>
  <c r="R59"/>
  <c r="R76"/>
  <c r="R52"/>
  <c r="R30"/>
  <c r="R36"/>
  <c r="R68"/>
  <c r="R101"/>
  <c r="R11"/>
  <c r="R66"/>
  <c r="R78"/>
  <c r="R32"/>
  <c r="R75"/>
  <c r="R9"/>
  <c r="R107"/>
  <c r="R74"/>
  <c r="R35"/>
  <c r="R55"/>
  <c r="R58"/>
  <c r="R61"/>
  <c r="R29"/>
  <c r="R102"/>
  <c r="R64"/>
  <c r="R73"/>
  <c r="R81"/>
  <c r="R70"/>
  <c r="R77"/>
  <c r="R40"/>
  <c r="R100"/>
  <c r="R54"/>
  <c r="R31"/>
  <c r="R41"/>
  <c r="R105"/>
  <c r="R71"/>
  <c r="R63"/>
  <c r="R65"/>
  <c r="R34"/>
  <c r="R79"/>
  <c r="R56"/>
  <c r="R109" l="1"/>
  <c r="R111"/>
  <c r="R112"/>
  <c r="R108"/>
  <c r="R110"/>
  <c r="R113"/>
  <c r="R115"/>
  <c r="R114"/>
  <c r="R116"/>
  <c r="S12"/>
  <c r="S64"/>
  <c r="S71"/>
  <c r="S36"/>
  <c r="S72"/>
  <c r="S77"/>
  <c r="S103"/>
  <c r="S55"/>
  <c r="S61"/>
  <c r="S35"/>
  <c r="S62"/>
  <c r="S65"/>
  <c r="S33"/>
  <c r="S102"/>
  <c r="S59"/>
  <c r="S37"/>
  <c r="S101"/>
  <c r="S104"/>
  <c r="S39"/>
  <c r="S8"/>
  <c r="S76"/>
  <c r="S67"/>
  <c r="S30"/>
  <c r="S29"/>
  <c r="S105"/>
  <c r="S79"/>
  <c r="S34"/>
  <c r="S73"/>
  <c r="S41"/>
  <c r="S106"/>
  <c r="S107"/>
  <c r="S58"/>
  <c r="S56"/>
  <c r="S78"/>
  <c r="S40"/>
  <c r="S69"/>
  <c r="S74"/>
  <c r="S99"/>
  <c r="S68"/>
  <c r="S70"/>
  <c r="S9"/>
  <c r="S31"/>
  <c r="S66"/>
  <c r="S60"/>
  <c r="S81"/>
  <c r="S32"/>
  <c r="S80"/>
  <c r="S11"/>
  <c r="S53"/>
  <c r="S52"/>
  <c r="S63"/>
  <c r="S57"/>
  <c r="S38"/>
  <c r="S100"/>
  <c r="S75"/>
  <c r="S54"/>
  <c r="S113" l="1"/>
  <c r="S112"/>
  <c r="S111"/>
  <c r="S109"/>
  <c r="S108"/>
  <c r="S110"/>
  <c r="S114"/>
  <c r="S115"/>
  <c r="S116"/>
  <c r="T12"/>
  <c r="T67"/>
  <c r="T78"/>
  <c r="T61"/>
  <c r="T37"/>
  <c r="T76"/>
  <c r="T66"/>
  <c r="T35"/>
  <c r="T74"/>
  <c r="T33"/>
  <c r="T9"/>
  <c r="T79"/>
  <c r="T99"/>
  <c r="T31"/>
  <c r="T75"/>
  <c r="T68"/>
  <c r="T105"/>
  <c r="T71"/>
  <c r="T8"/>
  <c r="T59"/>
  <c r="T52"/>
  <c r="T102"/>
  <c r="T69"/>
  <c r="T29"/>
  <c r="T101"/>
  <c r="T55"/>
  <c r="T106"/>
  <c r="T41"/>
  <c r="T38"/>
  <c r="T60"/>
  <c r="T58"/>
  <c r="T40"/>
  <c r="T73"/>
  <c r="T53"/>
  <c r="T63"/>
  <c r="T100"/>
  <c r="T77"/>
  <c r="T39"/>
  <c r="T65"/>
  <c r="T64"/>
  <c r="T107"/>
  <c r="T57"/>
  <c r="T54"/>
  <c r="T36"/>
  <c r="T103"/>
  <c r="T11"/>
  <c r="T81"/>
  <c r="T72"/>
  <c r="T80"/>
  <c r="T56"/>
  <c r="T104"/>
  <c r="T62"/>
  <c r="T34"/>
  <c r="T70"/>
  <c r="T32"/>
  <c r="T30"/>
  <c r="T111" l="1"/>
  <c r="T109"/>
  <c r="T113"/>
  <c r="T112"/>
  <c r="T110"/>
  <c r="T108"/>
  <c r="T115"/>
  <c r="T116"/>
  <c r="T114"/>
  <c r="U12"/>
  <c r="U62"/>
  <c r="U66"/>
  <c r="U35"/>
  <c r="U38"/>
  <c r="U40"/>
  <c r="U76"/>
  <c r="U79"/>
  <c r="U58"/>
  <c r="U60"/>
  <c r="U104"/>
  <c r="U31"/>
  <c r="U52"/>
  <c r="U34"/>
  <c r="U99"/>
  <c r="U32"/>
  <c r="U69"/>
  <c r="U80"/>
  <c r="U57"/>
  <c r="U53"/>
  <c r="U8"/>
  <c r="U101"/>
  <c r="U63"/>
  <c r="U81"/>
  <c r="U103"/>
  <c r="U100"/>
  <c r="U37"/>
  <c r="U36"/>
  <c r="U61"/>
  <c r="U64"/>
  <c r="U71"/>
  <c r="U68"/>
  <c r="U106"/>
  <c r="U55"/>
  <c r="U39"/>
  <c r="U54"/>
  <c r="U65"/>
  <c r="U75"/>
  <c r="U73"/>
  <c r="U11"/>
  <c r="U30"/>
  <c r="U59"/>
  <c r="U72"/>
  <c r="U70"/>
  <c r="U107"/>
  <c r="U102"/>
  <c r="U41"/>
  <c r="U67"/>
  <c r="U29"/>
  <c r="U77"/>
  <c r="U78"/>
  <c r="U33"/>
  <c r="U105"/>
  <c r="U9"/>
  <c r="U74"/>
  <c r="U56"/>
  <c r="U108" l="1"/>
  <c r="U110"/>
  <c r="U112"/>
  <c r="U113"/>
  <c r="U109"/>
  <c r="U111"/>
  <c r="U116"/>
  <c r="U115"/>
  <c r="U114"/>
  <c r="V12"/>
  <c r="V30"/>
  <c r="V29"/>
  <c r="V31"/>
  <c r="V102"/>
  <c r="V53"/>
  <c r="V64"/>
  <c r="V76"/>
  <c r="V11"/>
  <c r="V38"/>
  <c r="V105"/>
  <c r="V103"/>
  <c r="V58"/>
  <c r="V75"/>
  <c r="V39"/>
  <c r="V65"/>
  <c r="V63"/>
  <c r="V100"/>
  <c r="V107"/>
  <c r="V78"/>
  <c r="V70"/>
  <c r="V32"/>
  <c r="V60"/>
  <c r="V74"/>
  <c r="V79"/>
  <c r="V81"/>
  <c r="V57"/>
  <c r="V54"/>
  <c r="V67"/>
  <c r="V68"/>
  <c r="V66"/>
  <c r="V52"/>
  <c r="V36"/>
  <c r="V72"/>
  <c r="V55"/>
  <c r="V77"/>
  <c r="V40"/>
  <c r="V41"/>
  <c r="V99"/>
  <c r="V69"/>
  <c r="V33"/>
  <c r="V106"/>
  <c r="V61"/>
  <c r="V9"/>
  <c r="V8"/>
  <c r="V71"/>
  <c r="V62"/>
  <c r="V59"/>
  <c r="V56"/>
  <c r="V37"/>
  <c r="V80"/>
  <c r="V104"/>
  <c r="V101"/>
  <c r="V73"/>
  <c r="V34"/>
  <c r="V35"/>
  <c r="V109" l="1"/>
  <c r="V108"/>
  <c r="V111"/>
  <c r="V112"/>
  <c r="V113"/>
  <c r="V110"/>
  <c r="V115"/>
  <c r="V114"/>
  <c r="V116"/>
  <c r="W12"/>
  <c r="W72"/>
  <c r="W100"/>
  <c r="W68"/>
  <c r="W54"/>
  <c r="W75"/>
  <c r="W77"/>
  <c r="W31"/>
  <c r="W59"/>
  <c r="W67"/>
  <c r="W52"/>
  <c r="W101"/>
  <c r="W57"/>
  <c r="W69"/>
  <c r="W80"/>
  <c r="W41"/>
  <c r="W37"/>
  <c r="W38"/>
  <c r="W78"/>
  <c r="W99"/>
  <c r="W105"/>
  <c r="W63"/>
  <c r="W79"/>
  <c r="W35"/>
  <c r="W34"/>
  <c r="W103"/>
  <c r="W74"/>
  <c r="W53"/>
  <c r="W64"/>
  <c r="W66"/>
  <c r="W39"/>
  <c r="W55"/>
  <c r="W70"/>
  <c r="W62"/>
  <c r="W71"/>
  <c r="W106"/>
  <c r="W73"/>
  <c r="W61"/>
  <c r="W56"/>
  <c r="W81"/>
  <c r="W9"/>
  <c r="W8"/>
  <c r="W107"/>
  <c r="W29"/>
  <c r="W102"/>
  <c r="W104"/>
  <c r="W30"/>
  <c r="W76"/>
  <c r="W32"/>
  <c r="W36"/>
  <c r="W65"/>
  <c r="W33"/>
  <c r="W60"/>
  <c r="W11"/>
  <c r="W58"/>
  <c r="W40"/>
  <c r="W108" l="1"/>
  <c r="W109"/>
  <c r="W112"/>
  <c r="W111"/>
  <c r="W110"/>
  <c r="W113"/>
  <c r="W114"/>
  <c r="W115"/>
  <c r="W116"/>
  <c r="X12"/>
  <c r="X69"/>
  <c r="X38"/>
  <c r="X37"/>
  <c r="X104"/>
  <c r="X74"/>
  <c r="X79"/>
  <c r="X54"/>
  <c r="X67"/>
  <c r="X35"/>
  <c r="X55"/>
  <c r="X99"/>
  <c r="X31"/>
  <c r="X61"/>
  <c r="X11"/>
  <c r="X77"/>
  <c r="X68"/>
  <c r="X101"/>
  <c r="X36"/>
  <c r="X62"/>
  <c r="X66"/>
  <c r="X9"/>
  <c r="X30"/>
  <c r="X39"/>
  <c r="X34"/>
  <c r="X76"/>
  <c r="X105"/>
  <c r="X72"/>
  <c r="X102"/>
  <c r="X103"/>
  <c r="X8"/>
  <c r="X73"/>
  <c r="X29"/>
  <c r="X59"/>
  <c r="X100"/>
  <c r="X81"/>
  <c r="X52"/>
  <c r="X63"/>
  <c r="X40"/>
  <c r="X71"/>
  <c r="X64"/>
  <c r="X53"/>
  <c r="X41"/>
  <c r="X60"/>
  <c r="X80"/>
  <c r="X57"/>
  <c r="X56"/>
  <c r="X32"/>
  <c r="X106"/>
  <c r="X65"/>
  <c r="X58"/>
  <c r="X75"/>
  <c r="X33"/>
  <c r="X70"/>
  <c r="X107"/>
  <c r="X78"/>
  <c r="X108" l="1"/>
  <c r="X113"/>
  <c r="X109"/>
  <c r="X112"/>
  <c r="X111"/>
  <c r="X110"/>
  <c r="X114"/>
  <c r="X115"/>
  <c r="X116"/>
  <c r="Y12"/>
  <c r="Y101"/>
  <c r="Y100"/>
  <c r="Y40"/>
  <c r="Y73"/>
  <c r="Y81"/>
  <c r="Y34"/>
  <c r="Y36"/>
  <c r="Y30"/>
  <c r="Y71"/>
  <c r="Y65"/>
  <c r="Y105"/>
  <c r="Y72"/>
  <c r="Y77"/>
  <c r="Y32"/>
  <c r="Y104"/>
  <c r="Y80"/>
  <c r="Y59"/>
  <c r="Y60"/>
  <c r="Y107"/>
  <c r="Y8"/>
  <c r="Y52"/>
  <c r="Y54"/>
  <c r="Y67"/>
  <c r="Y61"/>
  <c r="Y74"/>
  <c r="Y29"/>
  <c r="Y68"/>
  <c r="Y53"/>
  <c r="Y70"/>
  <c r="Y79"/>
  <c r="Y103"/>
  <c r="Y33"/>
  <c r="Y76"/>
  <c r="Y11"/>
  <c r="Y106"/>
  <c r="Y63"/>
  <c r="Y39"/>
  <c r="Y31"/>
  <c r="Y66"/>
  <c r="Y56"/>
  <c r="Y75"/>
  <c r="Y55"/>
  <c r="Y62"/>
  <c r="Y99"/>
  <c r="Y41"/>
  <c r="Y58"/>
  <c r="Y9"/>
  <c r="Y102"/>
  <c r="Y78"/>
  <c r="Y35"/>
  <c r="Y38"/>
  <c r="Y64"/>
  <c r="Y37"/>
  <c r="Y69"/>
  <c r="Y57"/>
  <c r="Y112" l="1"/>
  <c r="Y110"/>
  <c r="Y111"/>
  <c r="Y109"/>
  <c r="Y113"/>
  <c r="Y108"/>
  <c r="Y115"/>
  <c r="Y116"/>
  <c r="Y114"/>
  <c r="AA12"/>
  <c r="AA67"/>
  <c r="AA52"/>
  <c r="AA38"/>
  <c r="AA80"/>
  <c r="AA11"/>
  <c r="AA76"/>
  <c r="AA79"/>
  <c r="AA66"/>
  <c r="AA71"/>
  <c r="AA53"/>
  <c r="AA30"/>
  <c r="AA65"/>
  <c r="AA37"/>
  <c r="AA77"/>
  <c r="AA106"/>
  <c r="AA70"/>
  <c r="AA58"/>
  <c r="AA78"/>
  <c r="AA75"/>
  <c r="AA57"/>
  <c r="AA54"/>
  <c r="AA69"/>
  <c r="AA102"/>
  <c r="AA31"/>
  <c r="AA100"/>
  <c r="AA39"/>
  <c r="AA68"/>
  <c r="AA73"/>
  <c r="AA104"/>
  <c r="AA56"/>
  <c r="AA105"/>
  <c r="AA103"/>
  <c r="AA64"/>
  <c r="AA36"/>
  <c r="AA29"/>
  <c r="AA9"/>
  <c r="AA101"/>
  <c r="AA40"/>
  <c r="AA33"/>
  <c r="AA41"/>
  <c r="AA8"/>
  <c r="AA107"/>
  <c r="AA63"/>
  <c r="AA34"/>
  <c r="AA59"/>
  <c r="AA81"/>
  <c r="AA60"/>
  <c r="AA55"/>
  <c r="AA62"/>
  <c r="AA35"/>
  <c r="AA72"/>
  <c r="AA61"/>
  <c r="AA99"/>
  <c r="AA32"/>
  <c r="AA74"/>
  <c r="AA108" l="1"/>
  <c r="AA113"/>
  <c r="AA109"/>
  <c r="AA112"/>
  <c r="AA110"/>
  <c r="AA111"/>
  <c r="AA115"/>
  <c r="AA116"/>
  <c r="AA114"/>
  <c r="AC12"/>
  <c r="AC77"/>
  <c r="AC81"/>
  <c r="AC103"/>
  <c r="AC102"/>
  <c r="AC35"/>
  <c r="AC101"/>
  <c r="AC71"/>
  <c r="AC61"/>
  <c r="AC66"/>
  <c r="AC104"/>
  <c r="AC36"/>
  <c r="AC57"/>
  <c r="AC69"/>
  <c r="AC99"/>
  <c r="AC31"/>
  <c r="AC72"/>
  <c r="AC80"/>
  <c r="AC79"/>
  <c r="AC9"/>
  <c r="AC70"/>
  <c r="AC100"/>
  <c r="AC54"/>
  <c r="AC73"/>
  <c r="AC64"/>
  <c r="AC59"/>
  <c r="AC60"/>
  <c r="AC33"/>
  <c r="AC62"/>
  <c r="AC38"/>
  <c r="AC67"/>
  <c r="AC58"/>
  <c r="AC37"/>
  <c r="AC11"/>
  <c r="AC8"/>
  <c r="AC75"/>
  <c r="AC76"/>
  <c r="AC41"/>
  <c r="AC56"/>
  <c r="AC74"/>
  <c r="AC106"/>
  <c r="AC63"/>
  <c r="AC34"/>
  <c r="AC52"/>
  <c r="AC53"/>
  <c r="AC40"/>
  <c r="AC65"/>
  <c r="AC29"/>
  <c r="AC30"/>
  <c r="AC39"/>
  <c r="AC107"/>
  <c r="AC32"/>
  <c r="AC55"/>
  <c r="AC105"/>
  <c r="AC78"/>
  <c r="AC68"/>
  <c r="AC113" l="1"/>
  <c r="AC109"/>
  <c r="AC112"/>
  <c r="AC110"/>
  <c r="AC108"/>
  <c r="AC111"/>
  <c r="AC116"/>
  <c r="AC115"/>
  <c r="AC114"/>
  <c r="AE12"/>
  <c r="AE8"/>
  <c r="AE34"/>
  <c r="AE31"/>
  <c r="AE38"/>
  <c r="AE59"/>
  <c r="AE58"/>
  <c r="AE74"/>
  <c r="AE11"/>
  <c r="AE66"/>
  <c r="AE35"/>
  <c r="AE54"/>
  <c r="AE78"/>
  <c r="AE77"/>
  <c r="AE40"/>
  <c r="AE64"/>
  <c r="AE100"/>
  <c r="AE105"/>
  <c r="AE76"/>
  <c r="AE60"/>
  <c r="AE32"/>
  <c r="AE106"/>
  <c r="AE37"/>
  <c r="AE53"/>
  <c r="AE57"/>
  <c r="AE72"/>
  <c r="AE81"/>
  <c r="AE70"/>
  <c r="AE30"/>
  <c r="AE103"/>
  <c r="AE68"/>
  <c r="AE65"/>
  <c r="AE36"/>
  <c r="AE63"/>
  <c r="AE71"/>
  <c r="AE41"/>
  <c r="AE33"/>
  <c r="AE102"/>
  <c r="AE104"/>
  <c r="AE61"/>
  <c r="AE67"/>
  <c r="AE80"/>
  <c r="AE101"/>
  <c r="AE62"/>
  <c r="AE107"/>
  <c r="AE9"/>
  <c r="AE99"/>
  <c r="AE69"/>
  <c r="AE75"/>
  <c r="AE29"/>
  <c r="AE39"/>
  <c r="AE56"/>
  <c r="AE73"/>
  <c r="AE52"/>
  <c r="AE79"/>
  <c r="AE55"/>
  <c r="AE111" l="1"/>
  <c r="AE113"/>
  <c r="AE112"/>
  <c r="AE108"/>
  <c r="AE110"/>
  <c r="AE109"/>
  <c r="AE115"/>
  <c r="AE116"/>
  <c r="AE114"/>
  <c r="AF12"/>
  <c r="AF100"/>
  <c r="AF54"/>
  <c r="AF30"/>
  <c r="AF81"/>
  <c r="AF74"/>
  <c r="AF68"/>
  <c r="AF80"/>
  <c r="AF71"/>
  <c r="AF72"/>
  <c r="AF32"/>
  <c r="AF106"/>
  <c r="AF77"/>
  <c r="AF59"/>
  <c r="AF64"/>
  <c r="AF55"/>
  <c r="AF31"/>
  <c r="AF9"/>
  <c r="AF35"/>
  <c r="AF73"/>
  <c r="AF76"/>
  <c r="AF75"/>
  <c r="AF36"/>
  <c r="AF40"/>
  <c r="AF38"/>
  <c r="AF60"/>
  <c r="AF78"/>
  <c r="AF70"/>
  <c r="AF101"/>
  <c r="AF11"/>
  <c r="AF104"/>
  <c r="AF79"/>
  <c r="AF103"/>
  <c r="AF62"/>
  <c r="AF8"/>
  <c r="AF67"/>
  <c r="AF66"/>
  <c r="AF34"/>
  <c r="AF39"/>
  <c r="AF29"/>
  <c r="AF41"/>
  <c r="AF33"/>
  <c r="AF99"/>
  <c r="AF52"/>
  <c r="AF102"/>
  <c r="AF53"/>
  <c r="AF107"/>
  <c r="AF61"/>
  <c r="AF58"/>
  <c r="AF63"/>
  <c r="AF69"/>
  <c r="AF56"/>
  <c r="AF105"/>
  <c r="AF37"/>
  <c r="AF57"/>
  <c r="AF65"/>
  <c r="AF108" l="1"/>
  <c r="AF111"/>
  <c r="AF112"/>
  <c r="AF113"/>
  <c r="AF109"/>
  <c r="AF110"/>
  <c r="AF116"/>
  <c r="AF115"/>
  <c r="AF114"/>
  <c r="AH12"/>
  <c r="AH55"/>
  <c r="AH35"/>
  <c r="AH31"/>
  <c r="AH53"/>
  <c r="AH36"/>
  <c r="AH32"/>
  <c r="AH57"/>
  <c r="AH81"/>
  <c r="AH79"/>
  <c r="AH102"/>
  <c r="AH75"/>
  <c r="AH60"/>
  <c r="AH39"/>
  <c r="AH33"/>
  <c r="AH103"/>
  <c r="AH105"/>
  <c r="AH78"/>
  <c r="AH40"/>
  <c r="AH8"/>
  <c r="AH56"/>
  <c r="AH11"/>
  <c r="AH71"/>
  <c r="AH100"/>
  <c r="AH66"/>
  <c r="AH80"/>
  <c r="AH61"/>
  <c r="AH67"/>
  <c r="AH104"/>
  <c r="AH52"/>
  <c r="AH101"/>
  <c r="AH73"/>
  <c r="AH70"/>
  <c r="AH62"/>
  <c r="AH58"/>
  <c r="AH68"/>
  <c r="AH34"/>
  <c r="AH9"/>
  <c r="AH64"/>
  <c r="AH63"/>
  <c r="AH38"/>
  <c r="AH54"/>
  <c r="AH74"/>
  <c r="AH30"/>
  <c r="AH69"/>
  <c r="AH41"/>
  <c r="AH72"/>
  <c r="AH77"/>
  <c r="AH107"/>
  <c r="AH37"/>
  <c r="AH59"/>
  <c r="AH76"/>
  <c r="AH99"/>
  <c r="AH106"/>
  <c r="AH29"/>
  <c r="AH65"/>
  <c r="AH108" l="1"/>
  <c r="AH112"/>
  <c r="AH110"/>
  <c r="AH109"/>
  <c r="AH111"/>
  <c r="AH113"/>
  <c r="AH115"/>
  <c r="AH116"/>
  <c r="AH114"/>
  <c r="AI12"/>
  <c r="AI80"/>
  <c r="AI8"/>
  <c r="AI79"/>
  <c r="AI104"/>
  <c r="AI60"/>
  <c r="AI41"/>
  <c r="AI75"/>
  <c r="AI67"/>
  <c r="AI65"/>
  <c r="AI31"/>
  <c r="AI54"/>
  <c r="AI72"/>
  <c r="AI101"/>
  <c r="AI63"/>
  <c r="AI69"/>
  <c r="AI55"/>
  <c r="AI39"/>
  <c r="AI70"/>
  <c r="AI78"/>
  <c r="AI64"/>
  <c r="AI71"/>
  <c r="AI66"/>
  <c r="AI103"/>
  <c r="AI11"/>
  <c r="AI36"/>
  <c r="AI59"/>
  <c r="AI105"/>
  <c r="AI74"/>
  <c r="AI30"/>
  <c r="AI56"/>
  <c r="AI29"/>
  <c r="AI38"/>
  <c r="AI9"/>
  <c r="AI61"/>
  <c r="AI62"/>
  <c r="AI106"/>
  <c r="AI77"/>
  <c r="AI107"/>
  <c r="AI100"/>
  <c r="AI73"/>
  <c r="AI58"/>
  <c r="AI68"/>
  <c r="AI102"/>
  <c r="AI53"/>
  <c r="AI37"/>
  <c r="AI52"/>
  <c r="AI81"/>
  <c r="AI34"/>
  <c r="AI32"/>
  <c r="AI33"/>
  <c r="AI40"/>
  <c r="AI99"/>
  <c r="AI57"/>
  <c r="AI35"/>
  <c r="AI76"/>
  <c r="AI108" l="1"/>
  <c r="AI109"/>
  <c r="AI112"/>
  <c r="AI111"/>
  <c r="AI113"/>
  <c r="AI110"/>
  <c r="AI114"/>
  <c r="AI115"/>
  <c r="AI116"/>
  <c r="AJ12"/>
  <c r="AJ72"/>
  <c r="AJ54"/>
  <c r="AJ107"/>
  <c r="AJ79"/>
  <c r="AJ29"/>
  <c r="AJ38"/>
  <c r="AJ31"/>
  <c r="AJ57"/>
  <c r="AJ100"/>
  <c r="AJ73"/>
  <c r="AJ65"/>
  <c r="AJ53"/>
  <c r="AJ30"/>
  <c r="AJ78"/>
  <c r="AJ39"/>
  <c r="AJ58"/>
  <c r="AJ60"/>
  <c r="AJ35"/>
  <c r="AJ80"/>
  <c r="AJ104"/>
  <c r="AJ36"/>
  <c r="AJ75"/>
  <c r="AJ37"/>
  <c r="AJ56"/>
  <c r="AJ8"/>
  <c r="AJ32"/>
  <c r="AJ69"/>
  <c r="AJ33"/>
  <c r="AJ99"/>
  <c r="AJ101"/>
  <c r="AJ61"/>
  <c r="AJ63"/>
  <c r="AJ52"/>
  <c r="AJ34"/>
  <c r="AJ66"/>
  <c r="AJ59"/>
  <c r="AJ74"/>
  <c r="AJ105"/>
  <c r="AJ55"/>
  <c r="AJ67"/>
  <c r="AJ62"/>
  <c r="AJ9"/>
  <c r="AJ64"/>
  <c r="AJ40"/>
  <c r="AJ70"/>
  <c r="AJ102"/>
  <c r="AJ68"/>
  <c r="AJ77"/>
  <c r="AJ41"/>
  <c r="AJ103"/>
  <c r="AJ76"/>
  <c r="AJ81"/>
  <c r="AJ71"/>
  <c r="AJ11"/>
  <c r="AJ106"/>
  <c r="AJ112" l="1"/>
  <c r="AJ108"/>
  <c r="AJ111"/>
  <c r="AJ113"/>
  <c r="AJ109"/>
  <c r="AJ110"/>
  <c r="AJ116"/>
  <c r="AJ115"/>
  <c r="AJ114"/>
  <c r="AK12"/>
  <c r="AK52"/>
  <c r="AK102"/>
  <c r="AK37"/>
  <c r="AK71"/>
  <c r="AK74"/>
  <c r="AK77"/>
  <c r="AK107"/>
  <c r="AK57"/>
  <c r="AK68"/>
  <c r="AK29"/>
  <c r="AK75"/>
  <c r="AK63"/>
  <c r="AK101"/>
  <c r="AK61"/>
  <c r="AK80"/>
  <c r="AK70"/>
  <c r="AK104"/>
  <c r="AK30"/>
  <c r="AK78"/>
  <c r="AK31"/>
  <c r="AK9"/>
  <c r="AK69"/>
  <c r="AK62"/>
  <c r="AK35"/>
  <c r="AK103"/>
  <c r="AK81"/>
  <c r="AK56"/>
  <c r="AK33"/>
  <c r="AK106"/>
  <c r="AK72"/>
  <c r="AK34"/>
  <c r="AK11"/>
  <c r="AK73"/>
  <c r="AK55"/>
  <c r="AK100"/>
  <c r="AK40"/>
  <c r="AK58"/>
  <c r="AK36"/>
  <c r="AK99"/>
  <c r="AK53"/>
  <c r="AK41"/>
  <c r="AK66"/>
  <c r="AK76"/>
  <c r="AK65"/>
  <c r="AK32"/>
  <c r="AK60"/>
  <c r="AK38"/>
  <c r="AK79"/>
  <c r="AK105"/>
  <c r="AK59"/>
  <c r="AK67"/>
  <c r="AK39"/>
  <c r="AK64"/>
  <c r="AK8"/>
  <c r="AK54"/>
  <c r="AK108" l="1"/>
  <c r="AK110"/>
  <c r="AK113"/>
  <c r="AK112"/>
  <c r="AK109"/>
  <c r="AK111"/>
  <c r="AK115"/>
  <c r="AK116"/>
  <c r="AK114"/>
  <c r="AL12"/>
  <c r="AL35"/>
  <c r="AL69"/>
  <c r="AL67"/>
  <c r="AL65"/>
  <c r="AL57"/>
  <c r="AL106"/>
  <c r="AL72"/>
  <c r="AL34"/>
  <c r="AL36"/>
  <c r="AL75"/>
  <c r="AL81"/>
  <c r="AL80"/>
  <c r="AL64"/>
  <c r="AL8"/>
  <c r="AL63"/>
  <c r="AL99"/>
  <c r="AL33"/>
  <c r="AL100"/>
  <c r="AL101"/>
  <c r="AL74"/>
  <c r="AL31"/>
  <c r="AL30"/>
  <c r="AL76"/>
  <c r="AL102"/>
  <c r="AL40"/>
  <c r="AL9"/>
  <c r="AL58"/>
  <c r="AL61"/>
  <c r="AL29"/>
  <c r="AL68"/>
  <c r="AL60"/>
  <c r="AL53"/>
  <c r="AL73"/>
  <c r="AL70"/>
  <c r="AL104"/>
  <c r="AL32"/>
  <c r="AL55"/>
  <c r="AL103"/>
  <c r="AL79"/>
  <c r="AL77"/>
  <c r="AL56"/>
  <c r="AL107"/>
  <c r="AL62"/>
  <c r="AL37"/>
  <c r="AL11"/>
  <c r="AL78"/>
  <c r="AL52"/>
  <c r="AL59"/>
  <c r="AL66"/>
  <c r="AL105"/>
  <c r="AL71"/>
  <c r="AL54"/>
  <c r="AL38"/>
  <c r="AL39"/>
  <c r="AL41"/>
  <c r="AL111" l="1"/>
  <c r="AL109"/>
  <c r="AL113"/>
  <c r="AL108"/>
  <c r="AL110"/>
  <c r="AL112"/>
  <c r="AL115"/>
  <c r="AL114"/>
  <c r="AL116"/>
  <c r="AM12"/>
  <c r="AM81"/>
  <c r="AM67"/>
  <c r="AM30"/>
  <c r="AM62"/>
  <c r="AM74"/>
  <c r="AM33"/>
  <c r="AM102"/>
  <c r="AM9"/>
  <c r="AM52"/>
  <c r="AM36"/>
  <c r="AM73"/>
  <c r="AM56"/>
  <c r="AM105"/>
  <c r="AM57"/>
  <c r="AM38"/>
  <c r="AM40"/>
  <c r="AM79"/>
  <c r="AM64"/>
  <c r="AM80"/>
  <c r="AM76"/>
  <c r="AM103"/>
  <c r="AM61"/>
  <c r="AM29"/>
  <c r="AM11"/>
  <c r="AM41"/>
  <c r="AM37"/>
  <c r="AM107"/>
  <c r="AM66"/>
  <c r="AM101"/>
  <c r="AM34"/>
  <c r="AM65"/>
  <c r="AM59"/>
  <c r="AM54"/>
  <c r="AM63"/>
  <c r="AM99"/>
  <c r="AM31"/>
  <c r="AM71"/>
  <c r="AM39"/>
  <c r="AM104"/>
  <c r="AM8"/>
  <c r="AM100"/>
  <c r="AM106"/>
  <c r="AM58"/>
  <c r="AM77"/>
  <c r="AM32"/>
  <c r="AM78"/>
  <c r="AM70"/>
  <c r="AM55"/>
  <c r="AM69"/>
  <c r="AM35"/>
  <c r="AM75"/>
  <c r="AM72"/>
  <c r="AM53"/>
  <c r="AM60"/>
  <c r="AM68"/>
  <c r="AM109" l="1"/>
  <c r="AM110"/>
  <c r="AM113"/>
  <c r="AM111"/>
  <c r="AM108"/>
  <c r="AM112"/>
  <c r="AM114"/>
  <c r="AM116"/>
  <c r="AM115"/>
  <c r="AN12"/>
  <c r="AN65"/>
  <c r="AN59"/>
  <c r="AN104"/>
  <c r="AN71"/>
  <c r="AN56"/>
  <c r="AN67"/>
  <c r="AN103"/>
  <c r="AN79"/>
  <c r="AN81"/>
  <c r="AN63"/>
  <c r="AN73"/>
  <c r="AN106"/>
  <c r="AN62"/>
  <c r="AN31"/>
  <c r="AN58"/>
  <c r="AN75"/>
  <c r="AN105"/>
  <c r="AN61"/>
  <c r="AN78"/>
  <c r="AN54"/>
  <c r="AN29"/>
  <c r="AN57"/>
  <c r="AN8"/>
  <c r="AN53"/>
  <c r="AN60"/>
  <c r="AN77"/>
  <c r="AN100"/>
  <c r="AN33"/>
  <c r="AN37"/>
  <c r="AN39"/>
  <c r="AN9"/>
  <c r="AN38"/>
  <c r="AN102"/>
  <c r="AN30"/>
  <c r="AN64"/>
  <c r="AN68"/>
  <c r="AN99"/>
  <c r="AN76"/>
  <c r="AN55"/>
  <c r="AN52"/>
  <c r="AN107"/>
  <c r="AN35"/>
  <c r="AN101"/>
  <c r="AN74"/>
  <c r="AN66"/>
  <c r="AN32"/>
  <c r="AN11"/>
  <c r="AN80"/>
  <c r="AN70"/>
  <c r="AN41"/>
  <c r="AN69"/>
  <c r="AN72"/>
  <c r="AN36"/>
  <c r="AN40"/>
  <c r="AN34"/>
  <c r="AN110" l="1"/>
  <c r="AN113"/>
  <c r="AN112"/>
  <c r="AN109"/>
  <c r="AN111"/>
  <c r="AN108"/>
  <c r="AN115"/>
  <c r="AN116"/>
  <c r="AN114"/>
  <c r="AO12"/>
  <c r="AO106"/>
  <c r="AO59"/>
  <c r="AO104"/>
  <c r="AO66"/>
  <c r="AO57"/>
  <c r="AO102"/>
  <c r="AO34"/>
  <c r="AO64"/>
  <c r="AO78"/>
  <c r="AO101"/>
  <c r="AO52"/>
  <c r="AO60"/>
  <c r="AO74"/>
  <c r="AO100"/>
  <c r="AO61"/>
  <c r="AO71"/>
  <c r="AO72"/>
  <c r="AO75"/>
  <c r="AO69"/>
  <c r="AO41"/>
  <c r="AO67"/>
  <c r="AO11"/>
  <c r="AO79"/>
  <c r="AO99"/>
  <c r="AO36"/>
  <c r="AO70"/>
  <c r="AO31"/>
  <c r="AO62"/>
  <c r="AO38"/>
  <c r="AO40"/>
  <c r="AO58"/>
  <c r="AO37"/>
  <c r="AO30"/>
  <c r="AO8"/>
  <c r="AO107"/>
  <c r="AO54"/>
  <c r="AO73"/>
  <c r="AO63"/>
  <c r="AO105"/>
  <c r="AO35"/>
  <c r="AO76"/>
  <c r="AO9"/>
  <c r="AO56"/>
  <c r="AO80"/>
  <c r="AO55"/>
  <c r="AO65"/>
  <c r="AO53"/>
  <c r="AO68"/>
  <c r="AO39"/>
  <c r="AO29"/>
  <c r="AO77"/>
  <c r="AO103"/>
  <c r="AO33"/>
  <c r="AO81"/>
  <c r="AO32"/>
  <c r="AO111" l="1"/>
  <c r="AO113"/>
  <c r="AO109"/>
  <c r="AO108"/>
  <c r="AO110"/>
  <c r="AO112"/>
  <c r="AO116"/>
  <c r="AO114"/>
  <c r="AO115"/>
  <c r="AP12"/>
  <c r="AP73"/>
  <c r="AP36"/>
  <c r="AP29"/>
  <c r="AP9"/>
  <c r="AP34"/>
  <c r="AP100"/>
  <c r="AP76"/>
  <c r="AP102"/>
  <c r="AP8"/>
  <c r="AP38"/>
  <c r="AP101"/>
  <c r="AP41"/>
  <c r="AP60"/>
  <c r="AP57"/>
  <c r="AP56"/>
  <c r="AP99"/>
  <c r="AP63"/>
  <c r="AP75"/>
  <c r="AP55"/>
  <c r="AP106"/>
  <c r="AP74"/>
  <c r="AP64"/>
  <c r="AP52"/>
  <c r="AP105"/>
  <c r="AP39"/>
  <c r="AP68"/>
  <c r="AP33"/>
  <c r="AP30"/>
  <c r="AP54"/>
  <c r="AP107"/>
  <c r="AP77"/>
  <c r="AP70"/>
  <c r="AP67"/>
  <c r="AP35"/>
  <c r="AP40"/>
  <c r="AP31"/>
  <c r="AP37"/>
  <c r="AP66"/>
  <c r="AP72"/>
  <c r="AP80"/>
  <c r="AP59"/>
  <c r="AP61"/>
  <c r="AP103"/>
  <c r="AP81"/>
  <c r="AP78"/>
  <c r="AP69"/>
  <c r="AP62"/>
  <c r="AP58"/>
  <c r="AP65"/>
  <c r="AP79"/>
  <c r="AP53"/>
  <c r="AP104"/>
  <c r="AP71"/>
  <c r="AP32"/>
  <c r="AP11"/>
  <c r="AP110" l="1"/>
  <c r="AP112"/>
  <c r="AP111"/>
  <c r="AP113"/>
  <c r="AP108"/>
  <c r="AP109"/>
  <c r="AP116"/>
  <c r="AP114"/>
  <c r="AP115"/>
  <c r="AQ12"/>
  <c r="AQ72"/>
  <c r="AQ39"/>
  <c r="AQ9"/>
  <c r="AQ80"/>
  <c r="AQ103"/>
  <c r="AQ104"/>
  <c r="AQ77"/>
  <c r="AQ29"/>
  <c r="AQ57"/>
  <c r="AQ78"/>
  <c r="AQ102"/>
  <c r="AQ30"/>
  <c r="AQ99"/>
  <c r="AQ81"/>
  <c r="AQ65"/>
  <c r="AQ73"/>
  <c r="AQ101"/>
  <c r="AQ61"/>
  <c r="AQ54"/>
  <c r="AQ107"/>
  <c r="AQ8"/>
  <c r="AQ34"/>
  <c r="AQ70"/>
  <c r="AQ74"/>
  <c r="AQ71"/>
  <c r="AQ106"/>
  <c r="AQ32"/>
  <c r="AQ75"/>
  <c r="AQ68"/>
  <c r="AQ105"/>
  <c r="AQ11"/>
  <c r="AQ64"/>
  <c r="AQ59"/>
  <c r="AQ56"/>
  <c r="AQ52"/>
  <c r="AQ76"/>
  <c r="AQ67"/>
  <c r="AQ55"/>
  <c r="AQ66"/>
  <c r="AQ60"/>
  <c r="AQ69"/>
  <c r="AQ36"/>
  <c r="AQ58"/>
  <c r="AQ100"/>
  <c r="AQ79"/>
  <c r="AQ41"/>
  <c r="AQ35"/>
  <c r="AQ38"/>
  <c r="AQ63"/>
  <c r="AQ62"/>
  <c r="AQ40"/>
  <c r="AQ31"/>
  <c r="AQ53"/>
  <c r="AQ33"/>
  <c r="AQ37"/>
  <c r="AQ112" l="1"/>
  <c r="AQ108"/>
  <c r="AQ110"/>
  <c r="AQ111"/>
  <c r="AQ113"/>
  <c r="AQ109"/>
  <c r="AQ114"/>
  <c r="AQ115"/>
  <c r="AQ116"/>
  <c r="AR12"/>
  <c r="AR30"/>
  <c r="AR64"/>
  <c r="AR78"/>
  <c r="AR34"/>
  <c r="AR54"/>
  <c r="AR8"/>
  <c r="AR36"/>
  <c r="AR104"/>
  <c r="AR59"/>
  <c r="AR74"/>
  <c r="AR41"/>
  <c r="AR101"/>
  <c r="AR11"/>
  <c r="AR102"/>
  <c r="AR39"/>
  <c r="AR70"/>
  <c r="AR69"/>
  <c r="AR32"/>
  <c r="AR80"/>
  <c r="AR9"/>
  <c r="AR62"/>
  <c r="AR72"/>
  <c r="AR105"/>
  <c r="AR55"/>
  <c r="AR81"/>
  <c r="AR40"/>
  <c r="AR37"/>
  <c r="AR31"/>
  <c r="AR60"/>
  <c r="AR79"/>
  <c r="AR35"/>
  <c r="AR106"/>
  <c r="AR58"/>
  <c r="AR52"/>
  <c r="AR29"/>
  <c r="AR107"/>
  <c r="AR57"/>
  <c r="AR66"/>
  <c r="AR71"/>
  <c r="AR61"/>
  <c r="AR100"/>
  <c r="AR63"/>
  <c r="AR99"/>
  <c r="AR103"/>
  <c r="AR33"/>
  <c r="AR77"/>
  <c r="AR56"/>
  <c r="AR53"/>
  <c r="AR76"/>
  <c r="AR38"/>
  <c r="AR67"/>
  <c r="AR75"/>
  <c r="AR73"/>
  <c r="AR65"/>
  <c r="AR68"/>
  <c r="AR109" l="1"/>
  <c r="AR108"/>
  <c r="AR111"/>
  <c r="AR110"/>
  <c r="AR113"/>
  <c r="AR112"/>
  <c r="AR114"/>
  <c r="AR115"/>
  <c r="AR116"/>
  <c r="AS12"/>
  <c r="AS55"/>
  <c r="AS39"/>
  <c r="AS74"/>
  <c r="AS66"/>
  <c r="AS102"/>
  <c r="AS30"/>
  <c r="AS33"/>
  <c r="AS41"/>
  <c r="AS9"/>
  <c r="AS72"/>
  <c r="AS76"/>
  <c r="AS61"/>
  <c r="AS8"/>
  <c r="AS104"/>
  <c r="AS70"/>
  <c r="AS29"/>
  <c r="AS38"/>
  <c r="AS36"/>
  <c r="AS60"/>
  <c r="AS32"/>
  <c r="AS100"/>
  <c r="AS54"/>
  <c r="AS71"/>
  <c r="AS59"/>
  <c r="AS40"/>
  <c r="AS67"/>
  <c r="AS103"/>
  <c r="AS64"/>
  <c r="AS31"/>
  <c r="AS53"/>
  <c r="AS37"/>
  <c r="AS79"/>
  <c r="AS81"/>
  <c r="AS34"/>
  <c r="AS35"/>
  <c r="AS62"/>
  <c r="AS107"/>
  <c r="AS63"/>
  <c r="AS101"/>
  <c r="AS99"/>
  <c r="AS52"/>
  <c r="AS75"/>
  <c r="AS80"/>
  <c r="AS106"/>
  <c r="AS11"/>
  <c r="AS78"/>
  <c r="AS58"/>
  <c r="AS56"/>
  <c r="AS73"/>
  <c r="AS57"/>
  <c r="AS65"/>
  <c r="AS105"/>
  <c r="AS68"/>
  <c r="AS69"/>
  <c r="AS77"/>
  <c r="AS110" l="1"/>
  <c r="AS111"/>
  <c r="AS108"/>
  <c r="AS112"/>
  <c r="AS109"/>
  <c r="AS113"/>
  <c r="AS115"/>
  <c r="AS116"/>
  <c r="AS114"/>
  <c r="AT12"/>
  <c r="AT62"/>
  <c r="AT105"/>
  <c r="AT100"/>
  <c r="AT38"/>
  <c r="AT53"/>
  <c r="AT77"/>
  <c r="AT11"/>
  <c r="AT70"/>
  <c r="AT59"/>
  <c r="AT64"/>
  <c r="AT101"/>
  <c r="AT8"/>
  <c r="AT72"/>
  <c r="AT56"/>
  <c r="AT39"/>
  <c r="AT68"/>
  <c r="AT29"/>
  <c r="AT30"/>
  <c r="AT63"/>
  <c r="AT71"/>
  <c r="AT80"/>
  <c r="AT36"/>
  <c r="AT66"/>
  <c r="AT37"/>
  <c r="AT73"/>
  <c r="AT65"/>
  <c r="AT52"/>
  <c r="AT54"/>
  <c r="AT9"/>
  <c r="AT58"/>
  <c r="AT104"/>
  <c r="AT78"/>
  <c r="AT40"/>
  <c r="AT103"/>
  <c r="AT55"/>
  <c r="AT31"/>
  <c r="AT41"/>
  <c r="AT67"/>
  <c r="AT32"/>
  <c r="AT79"/>
  <c r="AT99"/>
  <c r="AT69"/>
  <c r="AT61"/>
  <c r="AT106"/>
  <c r="AT75"/>
  <c r="AT74"/>
  <c r="AT33"/>
  <c r="AT102"/>
  <c r="AT34"/>
  <c r="AT76"/>
  <c r="AT60"/>
  <c r="AT107"/>
  <c r="AT81"/>
  <c r="AT35"/>
  <c r="AT57"/>
  <c r="AT110" l="1"/>
  <c r="AT111"/>
  <c r="AT108"/>
  <c r="AT109"/>
  <c r="AT112"/>
  <c r="AT113"/>
  <c r="AT115"/>
  <c r="AT114"/>
  <c r="AT116"/>
  <c r="AU12"/>
  <c r="AU99"/>
  <c r="AU69"/>
  <c r="AU80"/>
  <c r="AU106"/>
  <c r="AU29"/>
  <c r="AU60"/>
  <c r="AU52"/>
  <c r="AU102"/>
  <c r="AU58"/>
  <c r="AU67"/>
  <c r="AU56"/>
  <c r="AU101"/>
  <c r="AU65"/>
  <c r="AU41"/>
  <c r="AU78"/>
  <c r="AU11"/>
  <c r="AU31"/>
  <c r="AU64"/>
  <c r="AU107"/>
  <c r="AU79"/>
  <c r="AU75"/>
  <c r="AU40"/>
  <c r="AU100"/>
  <c r="AU77"/>
  <c r="AU8"/>
  <c r="AU30"/>
  <c r="AU62"/>
  <c r="AU72"/>
  <c r="AU33"/>
  <c r="AU104"/>
  <c r="AU53"/>
  <c r="AU39"/>
  <c r="AU34"/>
  <c r="AU9"/>
  <c r="AU32"/>
  <c r="AU66"/>
  <c r="AU81"/>
  <c r="AU74"/>
  <c r="AU76"/>
  <c r="AU105"/>
  <c r="AU73"/>
  <c r="AU70"/>
  <c r="AU61"/>
  <c r="AU37"/>
  <c r="AU36"/>
  <c r="AU35"/>
  <c r="AU55"/>
  <c r="AU71"/>
  <c r="AU38"/>
  <c r="AU59"/>
  <c r="AU57"/>
  <c r="AU103"/>
  <c r="AU54"/>
  <c r="AU63"/>
  <c r="AU68"/>
  <c r="AU113" l="1"/>
  <c r="AU110"/>
  <c r="AU112"/>
  <c r="AU109"/>
  <c r="AU111"/>
  <c r="AU108"/>
  <c r="AU115"/>
  <c r="AU116"/>
  <c r="AU114"/>
  <c r="AV102"/>
  <c r="AV64"/>
  <c r="AV105"/>
  <c r="AV29"/>
  <c r="AV57"/>
  <c r="AV104"/>
  <c r="AV68"/>
  <c r="AV63"/>
  <c r="AV75"/>
  <c r="AV41"/>
  <c r="AV80"/>
  <c r="AV81"/>
  <c r="AV107"/>
  <c r="AV8"/>
  <c r="AV76"/>
  <c r="AV40"/>
  <c r="AV99"/>
  <c r="AV66"/>
  <c r="AV74"/>
  <c r="AV56"/>
  <c r="AV12"/>
  <c r="AV78"/>
  <c r="AV77"/>
  <c r="AV59"/>
  <c r="AV34"/>
  <c r="AV54"/>
  <c r="AV31"/>
  <c r="AV53"/>
  <c r="AV61"/>
  <c r="AV36"/>
  <c r="AV79"/>
  <c r="AV70"/>
  <c r="AV11"/>
  <c r="AV55"/>
  <c r="AV67"/>
  <c r="AV9"/>
  <c r="AV33"/>
  <c r="AV32"/>
  <c r="AV69"/>
  <c r="AV62"/>
  <c r="AV106"/>
  <c r="AV101"/>
  <c r="AV72"/>
  <c r="AV60"/>
  <c r="AV71"/>
  <c r="AV100"/>
  <c r="AV30"/>
  <c r="AV37"/>
  <c r="AV73"/>
  <c r="AV103"/>
  <c r="AV39"/>
  <c r="AV58"/>
  <c r="AV35"/>
  <c r="AV52"/>
  <c r="AV38"/>
  <c r="AV65"/>
  <c r="AV113" l="1"/>
  <c r="AV109"/>
  <c r="AV111"/>
  <c r="AV112"/>
  <c r="AV108"/>
  <c r="AV110"/>
  <c r="AV114"/>
  <c r="AV116"/>
  <c r="AV115"/>
  <c r="AW55"/>
  <c r="AW30"/>
  <c r="AW41"/>
  <c r="AW11"/>
  <c r="AW29"/>
  <c r="AW75"/>
  <c r="AW61"/>
  <c r="AW101"/>
  <c r="AW99"/>
  <c r="AW63"/>
  <c r="AW58"/>
  <c r="AW78"/>
  <c r="AW52"/>
  <c r="AW12"/>
  <c r="AW107"/>
  <c r="AW65"/>
  <c r="AW81"/>
  <c r="AW40"/>
  <c r="AW57"/>
  <c r="AW69"/>
  <c r="AW9"/>
  <c r="AW76"/>
  <c r="AW100"/>
  <c r="AW71"/>
  <c r="AW38"/>
  <c r="AW64"/>
  <c r="AW106"/>
  <c r="AW33"/>
  <c r="AW73"/>
  <c r="AW32"/>
  <c r="AW105"/>
  <c r="AW8"/>
  <c r="AW34"/>
  <c r="AW59"/>
  <c r="AW53"/>
  <c r="AW68"/>
  <c r="AW104"/>
  <c r="AW66"/>
  <c r="AW37"/>
  <c r="AW39"/>
  <c r="AW36"/>
  <c r="AW54"/>
  <c r="AW72"/>
  <c r="AW31"/>
  <c r="AW79"/>
  <c r="AW62"/>
  <c r="AW35"/>
  <c r="AW67"/>
  <c r="AW56"/>
  <c r="AW102"/>
  <c r="AW74"/>
  <c r="AW60"/>
  <c r="AW80"/>
  <c r="AW103"/>
  <c r="AW70"/>
  <c r="AW77"/>
  <c r="AW110" l="1"/>
  <c r="AW112"/>
  <c r="AW111"/>
  <c r="AW108"/>
  <c r="AW109"/>
  <c r="AW113"/>
  <c r="AW114"/>
  <c r="AW115"/>
  <c r="AW116"/>
  <c r="K11"/>
  <c r="K12"/>
  <c r="K29"/>
  <c r="K32"/>
  <c r="K36"/>
  <c r="K71"/>
  <c r="K67"/>
  <c r="K76"/>
  <c r="K34"/>
  <c r="K79"/>
  <c r="K72"/>
  <c r="K103"/>
  <c r="K61"/>
  <c r="K102"/>
  <c r="K35"/>
  <c r="K73"/>
  <c r="K59"/>
  <c r="K57"/>
  <c r="K99"/>
  <c r="K78"/>
  <c r="K104"/>
  <c r="K100"/>
  <c r="K8"/>
  <c r="K58"/>
  <c r="K53"/>
  <c r="K60"/>
  <c r="K9"/>
  <c r="K41"/>
  <c r="K101"/>
  <c r="K106"/>
  <c r="K80"/>
  <c r="K62"/>
  <c r="K63"/>
  <c r="K54"/>
  <c r="K30"/>
  <c r="K66"/>
  <c r="K31"/>
  <c r="K40"/>
  <c r="K52"/>
  <c r="K55"/>
  <c r="K68"/>
  <c r="K81"/>
  <c r="K107"/>
  <c r="K70"/>
  <c r="K105"/>
  <c r="K37"/>
  <c r="K64"/>
  <c r="K69"/>
  <c r="K77"/>
  <c r="K75"/>
  <c r="K39"/>
  <c r="K56"/>
  <c r="K33"/>
  <c r="K65"/>
  <c r="K74"/>
  <c r="K38"/>
  <c r="E38" l="1"/>
  <c r="F38"/>
  <c r="G38"/>
  <c r="E74"/>
  <c r="D74"/>
  <c r="G74"/>
  <c r="F74"/>
  <c r="F65"/>
  <c r="E65"/>
  <c r="D65"/>
  <c r="G65"/>
  <c r="G33"/>
  <c r="D33"/>
  <c r="F33"/>
  <c r="F56"/>
  <c r="E56"/>
  <c r="D56"/>
  <c r="G56"/>
  <c r="F39"/>
  <c r="G39"/>
  <c r="D39"/>
  <c r="E75"/>
  <c r="F75"/>
  <c r="D75"/>
  <c r="G75"/>
  <c r="F77"/>
  <c r="E77"/>
  <c r="D77"/>
  <c r="G77"/>
  <c r="F69"/>
  <c r="E69"/>
  <c r="D69"/>
  <c r="G69"/>
  <c r="D64"/>
  <c r="E64"/>
  <c r="F64"/>
  <c r="G64"/>
  <c r="F37"/>
  <c r="E37"/>
  <c r="D37"/>
  <c r="G37"/>
  <c r="E105"/>
  <c r="F105"/>
  <c r="D105"/>
  <c r="G105"/>
  <c r="F70"/>
  <c r="E70"/>
  <c r="D70"/>
  <c r="G70"/>
  <c r="F107"/>
  <c r="D107"/>
  <c r="E107"/>
  <c r="G107"/>
  <c r="E81"/>
  <c r="F81"/>
  <c r="D81"/>
  <c r="G81"/>
  <c r="D68"/>
  <c r="E68"/>
  <c r="F68"/>
  <c r="G68"/>
  <c r="D55"/>
  <c r="E55"/>
  <c r="F55"/>
  <c r="G55"/>
  <c r="E52"/>
  <c r="D52"/>
  <c r="F52"/>
  <c r="G52"/>
  <c r="D40"/>
  <c r="E40"/>
  <c r="F40"/>
  <c r="G40"/>
  <c r="F31"/>
  <c r="E31"/>
  <c r="D31"/>
  <c r="G31"/>
  <c r="E66"/>
  <c r="F66"/>
  <c r="D66"/>
  <c r="G66"/>
  <c r="F30"/>
  <c r="D30"/>
  <c r="E30"/>
  <c r="G30"/>
  <c r="F54"/>
  <c r="E54"/>
  <c r="D54"/>
  <c r="G54"/>
  <c r="F63"/>
  <c r="E63"/>
  <c r="D63"/>
  <c r="G63"/>
  <c r="F62"/>
  <c r="D62"/>
  <c r="E62"/>
  <c r="G62"/>
  <c r="E80"/>
  <c r="F80"/>
  <c r="D80"/>
  <c r="G80"/>
  <c r="F106"/>
  <c r="E106"/>
  <c r="D106"/>
  <c r="G106"/>
  <c r="D101"/>
  <c r="E101"/>
  <c r="F101"/>
  <c r="G101"/>
  <c r="E41"/>
  <c r="F41"/>
  <c r="D41"/>
  <c r="G41"/>
  <c r="E9"/>
  <c r="F9"/>
  <c r="D9"/>
  <c r="G9"/>
  <c r="E60"/>
  <c r="F60"/>
  <c r="D60"/>
  <c r="G60"/>
  <c r="F53"/>
  <c r="E53"/>
  <c r="D53"/>
  <c r="G53"/>
  <c r="D58"/>
  <c r="F58"/>
  <c r="E58"/>
  <c r="G58"/>
  <c r="D8"/>
  <c r="F8"/>
  <c r="E8"/>
  <c r="G8"/>
  <c r="F100"/>
  <c r="E100"/>
  <c r="D100"/>
  <c r="G100"/>
  <c r="D104"/>
  <c r="F104"/>
  <c r="E104"/>
  <c r="G104"/>
  <c r="F78"/>
  <c r="E78"/>
  <c r="D78"/>
  <c r="G78"/>
  <c r="F99"/>
  <c r="D99"/>
  <c r="E99"/>
  <c r="G99"/>
  <c r="F57"/>
  <c r="E57"/>
  <c r="D57"/>
  <c r="G57"/>
  <c r="D59"/>
  <c r="E59"/>
  <c r="F59"/>
  <c r="G59"/>
  <c r="D73"/>
  <c r="F73"/>
  <c r="E73"/>
  <c r="G73"/>
  <c r="F35"/>
  <c r="D35"/>
  <c r="E35"/>
  <c r="G35"/>
  <c r="E102"/>
  <c r="D102"/>
  <c r="F102"/>
  <c r="G102"/>
  <c r="F61"/>
  <c r="D61"/>
  <c r="E61"/>
  <c r="G61"/>
  <c r="D103"/>
  <c r="E103"/>
  <c r="F103"/>
  <c r="G103"/>
  <c r="F72"/>
  <c r="E72"/>
  <c r="D72"/>
  <c r="G72"/>
  <c r="E79"/>
  <c r="F79"/>
  <c r="D79"/>
  <c r="G79"/>
  <c r="E34"/>
  <c r="F34"/>
  <c r="D34"/>
  <c r="G34"/>
  <c r="D76"/>
  <c r="E76"/>
  <c r="F76"/>
  <c r="G76"/>
  <c r="E67"/>
  <c r="F67"/>
  <c r="D67"/>
  <c r="G67"/>
  <c r="F71"/>
  <c r="D71"/>
  <c r="E71"/>
  <c r="G71"/>
  <c r="D36"/>
  <c r="E36"/>
  <c r="F36"/>
  <c r="G36"/>
  <c r="D32"/>
  <c r="F32"/>
  <c r="E32"/>
  <c r="G32"/>
  <c r="F29"/>
  <c r="E29"/>
  <c r="D29"/>
  <c r="G29"/>
  <c r="E12"/>
  <c r="G12"/>
  <c r="D12"/>
  <c r="F12"/>
  <c r="M19" s="1"/>
  <c r="E11"/>
  <c r="D11"/>
  <c r="G11"/>
  <c r="F11"/>
  <c r="F19" s="1"/>
  <c r="K113"/>
  <c r="K112"/>
  <c r="K109"/>
  <c r="K110"/>
  <c r="K111"/>
  <c r="K108"/>
  <c r="D38"/>
  <c r="C86"/>
  <c r="C46"/>
  <c r="C84"/>
  <c r="C44"/>
  <c r="C45"/>
  <c r="C95"/>
  <c r="C93"/>
  <c r="C50"/>
  <c r="C85"/>
  <c r="C48"/>
  <c r="C92"/>
  <c r="C88"/>
  <c r="C91"/>
  <c r="C90"/>
  <c r="C96"/>
  <c r="C89"/>
  <c r="C94"/>
  <c r="C49"/>
  <c r="K116"/>
  <c r="K114"/>
  <c r="K115"/>
  <c r="U19" l="1"/>
  <c r="H12"/>
  <c r="H30"/>
  <c r="H52"/>
  <c r="H107"/>
  <c r="H38"/>
  <c r="H11"/>
  <c r="F115"/>
  <c r="E115"/>
  <c r="D115"/>
  <c r="G115"/>
  <c r="E114"/>
  <c r="D114"/>
  <c r="F114"/>
  <c r="G114"/>
  <c r="F116"/>
  <c r="D116"/>
  <c r="E116"/>
  <c r="G116"/>
  <c r="F108"/>
  <c r="E108"/>
  <c r="D108"/>
  <c r="G108"/>
  <c r="F112"/>
  <c r="E112"/>
  <c r="D112"/>
  <c r="G112"/>
  <c r="E110"/>
  <c r="D110"/>
  <c r="F110"/>
  <c r="G110"/>
  <c r="H29"/>
  <c r="H32"/>
  <c r="H36"/>
  <c r="H71"/>
  <c r="H67"/>
  <c r="H76"/>
  <c r="H34"/>
  <c r="H79"/>
  <c r="H72"/>
  <c r="H103"/>
  <c r="H61"/>
  <c r="H102"/>
  <c r="H35"/>
  <c r="H73"/>
  <c r="H59"/>
  <c r="H57"/>
  <c r="H99"/>
  <c r="H78"/>
  <c r="H104"/>
  <c r="H100"/>
  <c r="H8"/>
  <c r="H58"/>
  <c r="H53"/>
  <c r="H60"/>
  <c r="H9"/>
  <c r="H41"/>
  <c r="H101"/>
  <c r="H106"/>
  <c r="H80"/>
  <c r="H62"/>
  <c r="H63"/>
  <c r="H54"/>
  <c r="H66"/>
  <c r="H31"/>
  <c r="H40"/>
  <c r="H55"/>
  <c r="H68"/>
  <c r="H81"/>
  <c r="H70"/>
  <c r="H105"/>
  <c r="H37"/>
  <c r="H64"/>
  <c r="H69"/>
  <c r="H77"/>
  <c r="H75"/>
  <c r="E111"/>
  <c r="F111"/>
  <c r="D111"/>
  <c r="G111"/>
  <c r="D113"/>
  <c r="E113"/>
  <c r="F113"/>
  <c r="G113"/>
  <c r="G17"/>
  <c r="F18"/>
  <c r="F17" s="1"/>
  <c r="F20" s="1"/>
  <c r="F21" s="1"/>
  <c r="F22" s="1"/>
  <c r="F23" s="1"/>
  <c r="F24" s="1"/>
  <c r="V17"/>
  <c r="U18"/>
  <c r="D109"/>
  <c r="E109"/>
  <c r="F109"/>
  <c r="G109"/>
  <c r="M18"/>
  <c r="M17" s="1"/>
  <c r="M20" s="1"/>
  <c r="M21" s="1"/>
  <c r="M22" s="1"/>
  <c r="M23" s="1"/>
  <c r="M24" s="1"/>
  <c r="N17"/>
  <c r="N23"/>
  <c r="N22"/>
  <c r="N19"/>
  <c r="N21"/>
  <c r="N24"/>
  <c r="N20"/>
  <c r="G24"/>
  <c r="G22"/>
  <c r="G21"/>
  <c r="G20"/>
  <c r="G19"/>
  <c r="G23"/>
  <c r="U17" l="1"/>
  <c r="U20" s="1"/>
  <c r="U21" s="1"/>
  <c r="U22" s="1"/>
  <c r="U23" s="1"/>
  <c r="U24" s="1"/>
  <c r="H116"/>
  <c r="H114"/>
  <c r="H115"/>
  <c r="H110"/>
  <c r="H112"/>
  <c r="H108"/>
  <c r="H109"/>
  <c r="H113"/>
  <c r="H111"/>
  <c r="V19"/>
  <c r="V21"/>
  <c r="V24"/>
  <c r="V22"/>
  <c r="V23"/>
  <c r="V20"/>
</calcChain>
</file>

<file path=xl/sharedStrings.xml><?xml version="1.0" encoding="utf-8"?>
<sst xmlns="http://schemas.openxmlformats.org/spreadsheetml/2006/main" count="2199" uniqueCount="117">
  <si>
    <t>A</t>
  </si>
  <si>
    <t>CWF</t>
  </si>
  <si>
    <t>D65</t>
  </si>
  <si>
    <t>X</t>
  </si>
  <si>
    <t>Y</t>
  </si>
  <si>
    <t>Z</t>
  </si>
  <si>
    <t>R</t>
  </si>
  <si>
    <t>G</t>
  </si>
  <si>
    <t>B</t>
  </si>
  <si>
    <t>LINEST</t>
  </si>
  <si>
    <t>Range</t>
  </si>
  <si>
    <t>Range Sorted</t>
  </si>
  <si>
    <t>Test Data</t>
  </si>
  <si>
    <t>Scaled</t>
  </si>
  <si>
    <t>All</t>
  </si>
  <si>
    <t>CCM (Normalized)</t>
  </si>
  <si>
    <t>Comp=</t>
  </si>
  <si>
    <t>Meter</t>
  </si>
  <si>
    <t>Device</t>
  </si>
  <si>
    <t>Calibration Constants</t>
  </si>
  <si>
    <t>Lux</t>
  </si>
  <si>
    <t>CCT</t>
  </si>
  <si>
    <t>Error (%/value)</t>
  </si>
  <si>
    <t>b0</t>
  </si>
  <si>
    <t>SUM</t>
  </si>
  <si>
    <t>RGB → XYZ</t>
  </si>
  <si>
    <t>Compensation</t>
  </si>
  <si>
    <t>Results</t>
  </si>
  <si>
    <t>Average</t>
  </si>
  <si>
    <t>Accuracy</t>
  </si>
  <si>
    <t>Per Range</t>
  </si>
  <si>
    <t>25% Comp A</t>
  </si>
  <si>
    <t>C6</t>
  </si>
  <si>
    <t>Cell</t>
  </si>
  <si>
    <t>Mean</t>
  </si>
  <si>
    <t>stDev</t>
  </si>
  <si>
    <t>Comp Value</t>
  </si>
  <si>
    <t>B12</t>
  </si>
  <si>
    <t>Lux Accuracy</t>
  </si>
  <si>
    <t>CCT Accuracy</t>
  </si>
  <si>
    <t>F69</t>
  </si>
  <si>
    <t>I69</t>
  </si>
  <si>
    <t>Min</t>
  </si>
  <si>
    <t>Max</t>
  </si>
  <si>
    <t>D54</t>
  </si>
  <si>
    <t>E54</t>
  </si>
  <si>
    <t>F54</t>
  </si>
  <si>
    <t>D55</t>
  </si>
  <si>
    <t>E55</t>
  </si>
  <si>
    <t>F55</t>
  </si>
  <si>
    <t>D56</t>
  </si>
  <si>
    <t>E56</t>
  </si>
  <si>
    <t>F56</t>
  </si>
  <si>
    <t>Enable</t>
  </si>
  <si>
    <t>Spread</t>
  </si>
  <si>
    <t>Single CCM</t>
  </si>
  <si>
    <t>DUT</t>
  </si>
  <si>
    <t>Lo Range</t>
  </si>
  <si>
    <t>D48</t>
  </si>
  <si>
    <t>E48</t>
  </si>
  <si>
    <t>F48</t>
  </si>
  <si>
    <t>D49</t>
  </si>
  <si>
    <t>E49</t>
  </si>
  <si>
    <t>F49</t>
  </si>
  <si>
    <t>D50</t>
  </si>
  <si>
    <t>E50</t>
  </si>
  <si>
    <t>F50</t>
  </si>
  <si>
    <t>Hi Range</t>
  </si>
  <si>
    <t>D45</t>
  </si>
  <si>
    <t>E45</t>
  </si>
  <si>
    <t>F45</t>
  </si>
  <si>
    <t>D46</t>
  </si>
  <si>
    <t>E46</t>
  </si>
  <si>
    <t>F46</t>
  </si>
  <si>
    <t>D47</t>
  </si>
  <si>
    <t>E47</t>
  </si>
  <si>
    <t>F47</t>
  </si>
  <si>
    <t>Hi Sensitivity Range</t>
  </si>
  <si>
    <t>D42</t>
  </si>
  <si>
    <t>E42</t>
  </si>
  <si>
    <t>F42</t>
  </si>
  <si>
    <t>D43</t>
  </si>
  <si>
    <t>E43</t>
  </si>
  <si>
    <t>F43</t>
  </si>
  <si>
    <t>D44</t>
  </si>
  <si>
    <t>E44</t>
  </si>
  <si>
    <t>F44</t>
  </si>
  <si>
    <t>Card Gain</t>
  </si>
  <si>
    <t>Lo Range (0)</t>
  </si>
  <si>
    <t>Hi Range (1)</t>
  </si>
  <si>
    <t>Hi Sensitivity (2)</t>
  </si>
  <si>
    <t>J54</t>
  </si>
  <si>
    <t>J31</t>
  </si>
  <si>
    <t>J34</t>
  </si>
  <si>
    <t>J37</t>
  </si>
  <si>
    <t>Card Gain (0)</t>
  </si>
  <si>
    <t>Card Gain (1)</t>
  </si>
  <si>
    <t>Card Gain (2)</t>
  </si>
  <si>
    <t>J42</t>
  </si>
  <si>
    <t>J45</t>
  </si>
  <si>
    <t>J48</t>
  </si>
  <si>
    <t>Calibration</t>
  </si>
  <si>
    <t>D22</t>
  </si>
  <si>
    <t>E22</t>
  </si>
  <si>
    <t>F22</t>
  </si>
  <si>
    <t>D23</t>
  </si>
  <si>
    <t>E23</t>
  </si>
  <si>
    <t>F23</t>
  </si>
  <si>
    <t>D24</t>
  </si>
  <si>
    <t>E24</t>
  </si>
  <si>
    <t>F24</t>
  </si>
  <si>
    <t>x</t>
  </si>
  <si>
    <t>y</t>
  </si>
  <si>
    <t>Eeprom Version</t>
  </si>
  <si>
    <t>K37</t>
  </si>
  <si>
    <t>Version
(0=both)</t>
  </si>
  <si>
    <t>Use
Enables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</si>
</sst>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00"/>
    <numFmt numFmtId="166" formatCode="#,##0.0"/>
    <numFmt numFmtId="167" formatCode="0.0%"/>
    <numFmt numFmtId="168" formatCode="0.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 textRotation="90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4" borderId="10" xfId="0" applyFill="1" applyBorder="1" applyAlignment="1">
      <alignment vertical="top"/>
    </xf>
    <xf numFmtId="0" fontId="0" fillId="4" borderId="11" xfId="0" applyFill="1" applyBorder="1" applyAlignment="1">
      <alignment vertical="top"/>
    </xf>
    <xf numFmtId="0" fontId="0" fillId="4" borderId="11" xfId="0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7" fontId="0" fillId="0" borderId="5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7" fontId="1" fillId="0" borderId="7" xfId="0" applyNumberFormat="1" applyFont="1" applyBorder="1" applyAlignment="1">
      <alignment horizontal="center" vertical="center"/>
    </xf>
    <xf numFmtId="167" fontId="1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7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top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167" fontId="0" fillId="0" borderId="27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167" fontId="0" fillId="0" borderId="0" xfId="0" applyNumberFormat="1" applyFill="1" applyBorder="1" applyAlignment="1">
      <alignment vertical="top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/>
    </xf>
    <xf numFmtId="0" fontId="5" fillId="0" borderId="21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/>
    </xf>
    <xf numFmtId="0" fontId="0" fillId="0" borderId="6" xfId="0" applyBorder="1" applyAlignment="1">
      <alignment horizontal="center" vertical="center" textRotation="90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318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Summary!$V$17</c:f>
              <c:strCache>
                <c:ptCount val="1"/>
                <c:pt idx="0">
                  <c:v>Card Gain=16.1</c:v>
                </c:pt>
              </c:strCache>
            </c:strRef>
          </c:tx>
          <c:cat>
            <c:numRef>
              <c:f>Summary!$U$19:$U$24</c:f>
              <c:numCache>
                <c:formatCode>0.00</c:formatCode>
                <c:ptCount val="6"/>
                <c:pt idx="0">
                  <c:v>13.516829779075534</c:v>
                </c:pt>
                <c:pt idx="1">
                  <c:v>14.570361767732052</c:v>
                </c:pt>
                <c:pt idx="2">
                  <c:v>15.62389375638857</c:v>
                </c:pt>
                <c:pt idx="3">
                  <c:v>16.677425745045088</c:v>
                </c:pt>
                <c:pt idx="4">
                  <c:v>17.730957733701608</c:v>
                </c:pt>
                <c:pt idx="5">
                  <c:v>18.784489722358124</c:v>
                </c:pt>
              </c:numCache>
            </c:numRef>
          </c:cat>
          <c:val>
            <c:numRef>
              <c:f>Summary!$V$19:$V$24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7</c:v>
                </c:pt>
                <c:pt idx="4">
                  <c:v>4</c:v>
                </c:pt>
                <c:pt idx="5">
                  <c:v>10</c:v>
                </c:pt>
              </c:numCache>
            </c:numRef>
          </c:val>
        </c:ser>
        <c:axId val="196458752"/>
        <c:axId val="196682496"/>
      </c:barChart>
      <c:catAx>
        <c:axId val="196458752"/>
        <c:scaling>
          <c:orientation val="minMax"/>
        </c:scaling>
        <c:axPos val="b"/>
        <c:numFmt formatCode="0.00" sourceLinked="1"/>
        <c:tickLblPos val="nextTo"/>
        <c:crossAx val="196682496"/>
        <c:crosses val="autoZero"/>
        <c:auto val="1"/>
        <c:lblAlgn val="ctr"/>
        <c:lblOffset val="100"/>
      </c:catAx>
      <c:valAx>
        <c:axId val="196682496"/>
        <c:scaling>
          <c:orientation val="minMax"/>
        </c:scaling>
        <c:axPos val="l"/>
        <c:majorGridlines/>
        <c:numFmt formatCode="General" sourceLinked="1"/>
        <c:tickLblPos val="nextTo"/>
        <c:crossAx val="196458752"/>
        <c:crosses val="autoZero"/>
        <c:crossBetween val="between"/>
      </c:valAx>
    </c:plotArea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Summary!$N$17</c:f>
              <c:strCache>
                <c:ptCount val="1"/>
                <c:pt idx="0">
                  <c:v>CCT Accuracy=15%</c:v>
                </c:pt>
              </c:strCache>
            </c:strRef>
          </c:tx>
          <c:cat>
            <c:numRef>
              <c:f>Summary!$M$19:$M$24</c:f>
              <c:numCache>
                <c:formatCode>0.0%</c:formatCode>
                <c:ptCount val="6"/>
                <c:pt idx="0">
                  <c:v>3.2450674974039417E-2</c:v>
                </c:pt>
                <c:pt idx="1">
                  <c:v>5.6014586867610246E-2</c:v>
                </c:pt>
                <c:pt idx="2">
                  <c:v>7.9578498761181074E-2</c:v>
                </c:pt>
                <c:pt idx="3">
                  <c:v>0.10314241065475191</c:v>
                </c:pt>
                <c:pt idx="4">
                  <c:v>0.12670632254832273</c:v>
                </c:pt>
                <c:pt idx="5">
                  <c:v>0.15027023444189355</c:v>
                </c:pt>
              </c:numCache>
            </c:numRef>
          </c:cat>
          <c:val>
            <c:numRef>
              <c:f>Summary!$N$19:$N$24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  <c:pt idx="4">
                  <c:v>8</c:v>
                </c:pt>
                <c:pt idx="5">
                  <c:v>6</c:v>
                </c:pt>
              </c:numCache>
            </c:numRef>
          </c:val>
        </c:ser>
        <c:axId val="202883072"/>
        <c:axId val="202884608"/>
      </c:barChart>
      <c:catAx>
        <c:axId val="202883072"/>
        <c:scaling>
          <c:orientation val="minMax"/>
        </c:scaling>
        <c:axPos val="b"/>
        <c:numFmt formatCode="0.0%" sourceLinked="1"/>
        <c:tickLblPos val="nextTo"/>
        <c:crossAx val="202884608"/>
        <c:crosses val="autoZero"/>
        <c:auto val="1"/>
        <c:lblAlgn val="ctr"/>
        <c:lblOffset val="100"/>
      </c:catAx>
      <c:valAx>
        <c:axId val="202884608"/>
        <c:scaling>
          <c:orientation val="minMax"/>
        </c:scaling>
        <c:axPos val="l"/>
        <c:majorGridlines/>
        <c:numFmt formatCode="General" sourceLinked="1"/>
        <c:tickLblPos val="nextTo"/>
        <c:crossAx val="202883072"/>
        <c:crosses val="autoZero"/>
        <c:crossBetween val="between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Summary!$G$17</c:f>
              <c:strCache>
                <c:ptCount val="1"/>
                <c:pt idx="0">
                  <c:v>Lux Accuracy = 8.4%</c:v>
                </c:pt>
              </c:strCache>
            </c:strRef>
          </c:tx>
          <c:cat>
            <c:numRef>
              <c:f>Summary!$F$19:$F$24</c:f>
              <c:numCache>
                <c:formatCode>0.0%</c:formatCode>
                <c:ptCount val="6"/>
                <c:pt idx="0">
                  <c:v>1.2989353055190778E-2</c:v>
                </c:pt>
                <c:pt idx="1">
                  <c:v>2.7356743695647532E-2</c:v>
                </c:pt>
                <c:pt idx="2">
                  <c:v>4.1724134336104286E-2</c:v>
                </c:pt>
                <c:pt idx="3">
                  <c:v>5.6091524976561044E-2</c:v>
                </c:pt>
                <c:pt idx="4">
                  <c:v>7.0458915617017795E-2</c:v>
                </c:pt>
                <c:pt idx="5">
                  <c:v>8.4826306257474546E-2</c:v>
                </c:pt>
              </c:numCache>
            </c:numRef>
          </c:cat>
          <c:val>
            <c:numRef>
              <c:f>Summary!$G$19:$G$24</c:f>
              <c:numCache>
                <c:formatCode>General</c:formatCode>
                <c:ptCount val="6"/>
                <c:pt idx="0">
                  <c:v>1</c:v>
                </c:pt>
                <c:pt idx="1">
                  <c:v>8</c:v>
                </c:pt>
                <c:pt idx="2">
                  <c:v>8</c:v>
                </c:pt>
                <c:pt idx="3">
                  <c:v>5</c:v>
                </c:pt>
                <c:pt idx="4">
                  <c:v>5</c:v>
                </c:pt>
                <c:pt idx="5">
                  <c:v>8</c:v>
                </c:pt>
              </c:numCache>
            </c:numRef>
          </c:val>
        </c:ser>
        <c:axId val="196756992"/>
        <c:axId val="196809472"/>
      </c:barChart>
      <c:catAx>
        <c:axId val="196756992"/>
        <c:scaling>
          <c:orientation val="minMax"/>
        </c:scaling>
        <c:axPos val="b"/>
        <c:numFmt formatCode="0.0%" sourceLinked="1"/>
        <c:tickLblPos val="nextTo"/>
        <c:crossAx val="196809472"/>
        <c:crosses val="autoZero"/>
        <c:auto val="1"/>
        <c:lblAlgn val="ctr"/>
        <c:lblOffset val="100"/>
      </c:catAx>
      <c:valAx>
        <c:axId val="196809472"/>
        <c:scaling>
          <c:orientation val="minMax"/>
        </c:scaling>
        <c:axPos val="l"/>
        <c:majorGridlines/>
        <c:numFmt formatCode="General" sourceLinked="1"/>
        <c:tickLblPos val="nextTo"/>
        <c:crossAx val="196756992"/>
        <c:crosses val="autoZero"/>
        <c:crossBetween val="between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1'!$K$12</c:f>
          <c:strCache>
            <c:ptCount val="1"/>
            <c:pt idx="0">
              <c:v>Compensation=45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1'!$O$33:$O$53</c:f>
              <c:numCache>
                <c:formatCode>0.0</c:formatCode>
                <c:ptCount val="21"/>
                <c:pt idx="0">
                  <c:v>70.791760617106036</c:v>
                </c:pt>
                <c:pt idx="1">
                  <c:v>68.615470034754594</c:v>
                </c:pt>
                <c:pt idx="2">
                  <c:v>66.439179452403152</c:v>
                </c:pt>
                <c:pt idx="3">
                  <c:v>64.262888870051711</c:v>
                </c:pt>
                <c:pt idx="4">
                  <c:v>62.086598287700269</c:v>
                </c:pt>
                <c:pt idx="5">
                  <c:v>59.910307705348814</c:v>
                </c:pt>
                <c:pt idx="6">
                  <c:v>57.734017122997372</c:v>
                </c:pt>
                <c:pt idx="7">
                  <c:v>55.55772654064593</c:v>
                </c:pt>
                <c:pt idx="8">
                  <c:v>53.381435958294475</c:v>
                </c:pt>
                <c:pt idx="9">
                  <c:v>51.205145375943033</c:v>
                </c:pt>
                <c:pt idx="10">
                  <c:v>49.028854793591591</c:v>
                </c:pt>
                <c:pt idx="11">
                  <c:v>46.85256421124015</c:v>
                </c:pt>
                <c:pt idx="12">
                  <c:v>44.676273628888708</c:v>
                </c:pt>
                <c:pt idx="13">
                  <c:v>42.499983046537253</c:v>
                </c:pt>
                <c:pt idx="14">
                  <c:v>40.323692464185811</c:v>
                </c:pt>
                <c:pt idx="15">
                  <c:v>38.147401881834369</c:v>
                </c:pt>
                <c:pt idx="16">
                  <c:v>35.971111299482914</c:v>
                </c:pt>
                <c:pt idx="17">
                  <c:v>33.794820717131472</c:v>
                </c:pt>
                <c:pt idx="18">
                  <c:v>31.61853013478003</c:v>
                </c:pt>
                <c:pt idx="19">
                  <c:v>29.442239552428589</c:v>
                </c:pt>
                <c:pt idx="20">
                  <c:v>27.265948970077147</c:v>
                </c:pt>
              </c:numCache>
            </c:numRef>
          </c:yVal>
        </c:ser>
        <c:ser>
          <c:idx val="1"/>
          <c:order val="1"/>
          <c:tx>
            <c:strRef>
              <c:f>'Dut 1'!$P$2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1'!$P$33:$P$53</c:f>
              <c:numCache>
                <c:formatCode>0.0</c:formatCode>
                <c:ptCount val="21"/>
                <c:pt idx="0">
                  <c:v>39.356831753978184</c:v>
                </c:pt>
                <c:pt idx="1">
                  <c:v>39.270552476309668</c:v>
                </c:pt>
                <c:pt idx="2">
                  <c:v>39.184273198641158</c:v>
                </c:pt>
                <c:pt idx="3">
                  <c:v>39.097993920972641</c:v>
                </c:pt>
                <c:pt idx="4">
                  <c:v>39.011714643304124</c:v>
                </c:pt>
                <c:pt idx="5">
                  <c:v>38.925435365635614</c:v>
                </c:pt>
                <c:pt idx="6">
                  <c:v>38.839156087967098</c:v>
                </c:pt>
                <c:pt idx="7">
                  <c:v>38.752876810298581</c:v>
                </c:pt>
                <c:pt idx="8">
                  <c:v>38.666597532630071</c:v>
                </c:pt>
                <c:pt idx="9">
                  <c:v>38.580318254961554</c:v>
                </c:pt>
                <c:pt idx="10">
                  <c:v>38.494038977293037</c:v>
                </c:pt>
                <c:pt idx="11">
                  <c:v>38.407759699624528</c:v>
                </c:pt>
                <c:pt idx="12">
                  <c:v>38.321480421956011</c:v>
                </c:pt>
                <c:pt idx="13">
                  <c:v>38.235201144287501</c:v>
                </c:pt>
                <c:pt idx="14">
                  <c:v>38.148921866618984</c:v>
                </c:pt>
                <c:pt idx="15">
                  <c:v>38.062642588950467</c:v>
                </c:pt>
                <c:pt idx="16">
                  <c:v>37.976363311281958</c:v>
                </c:pt>
                <c:pt idx="17">
                  <c:v>37.890084033613441</c:v>
                </c:pt>
                <c:pt idx="18">
                  <c:v>37.803804755944924</c:v>
                </c:pt>
                <c:pt idx="19">
                  <c:v>37.717525478276414</c:v>
                </c:pt>
                <c:pt idx="20">
                  <c:v>37.631246200607897</c:v>
                </c:pt>
              </c:numCache>
            </c:numRef>
          </c:yVal>
        </c:ser>
        <c:ser>
          <c:idx val="2"/>
          <c:order val="2"/>
          <c:tx>
            <c:strRef>
              <c:f>'Dut 1'!$Q$2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1'!$Q$33:$Q$53</c:f>
              <c:numCache>
                <c:formatCode>0.0</c:formatCode>
                <c:ptCount val="21"/>
                <c:pt idx="0">
                  <c:v>46.30668906308324</c:v>
                </c:pt>
                <c:pt idx="1">
                  <c:v>46.002724897349758</c:v>
                </c:pt>
                <c:pt idx="2">
                  <c:v>45.698760731616275</c:v>
                </c:pt>
                <c:pt idx="3">
                  <c:v>45.394796565882793</c:v>
                </c:pt>
                <c:pt idx="4">
                  <c:v>45.09083240014931</c:v>
                </c:pt>
                <c:pt idx="5">
                  <c:v>44.786868234415827</c:v>
                </c:pt>
                <c:pt idx="6">
                  <c:v>44.482904068682345</c:v>
                </c:pt>
                <c:pt idx="7">
                  <c:v>44.178939902948862</c:v>
                </c:pt>
                <c:pt idx="8">
                  <c:v>43.874975737215379</c:v>
                </c:pt>
                <c:pt idx="9">
                  <c:v>43.571011571481897</c:v>
                </c:pt>
                <c:pt idx="10">
                  <c:v>43.267047405748414</c:v>
                </c:pt>
                <c:pt idx="11">
                  <c:v>42.963083240014932</c:v>
                </c:pt>
                <c:pt idx="12">
                  <c:v>42.659119074281449</c:v>
                </c:pt>
                <c:pt idx="13">
                  <c:v>42.355154908547966</c:v>
                </c:pt>
                <c:pt idx="14">
                  <c:v>42.051190742814484</c:v>
                </c:pt>
                <c:pt idx="15">
                  <c:v>41.747226577081001</c:v>
                </c:pt>
                <c:pt idx="16">
                  <c:v>41.443262411347519</c:v>
                </c:pt>
                <c:pt idx="17">
                  <c:v>41.139298245614036</c:v>
                </c:pt>
                <c:pt idx="18">
                  <c:v>40.835334079880553</c:v>
                </c:pt>
                <c:pt idx="19">
                  <c:v>40.531369914147071</c:v>
                </c:pt>
                <c:pt idx="20">
                  <c:v>40.227405748413588</c:v>
                </c:pt>
              </c:numCache>
            </c:numRef>
          </c:yVal>
        </c:ser>
        <c:axId val="58133504"/>
        <c:axId val="58139392"/>
      </c:scatterChart>
      <c:valAx>
        <c:axId val="5813350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58139392"/>
        <c:crosses val="autoZero"/>
        <c:crossBetween val="midCat"/>
      </c:valAx>
      <c:valAx>
        <c:axId val="5813939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581335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2'!$K$12</c:f>
          <c:strCache>
            <c:ptCount val="1"/>
            <c:pt idx="0">
              <c:v>Compensation=39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2'!$O$33:$O$53</c:f>
              <c:numCache>
                <c:formatCode>0.0</c:formatCode>
                <c:ptCount val="21"/>
                <c:pt idx="0">
                  <c:v>68.089262187088266</c:v>
                </c:pt>
                <c:pt idx="1">
                  <c:v>65.837856829161169</c:v>
                </c:pt>
                <c:pt idx="2">
                  <c:v>63.586451471234071</c:v>
                </c:pt>
                <c:pt idx="3">
                  <c:v>61.335046113306973</c:v>
                </c:pt>
                <c:pt idx="4">
                  <c:v>59.083640755379875</c:v>
                </c:pt>
                <c:pt idx="5">
                  <c:v>56.832235397452777</c:v>
                </c:pt>
                <c:pt idx="6">
                  <c:v>54.580830039525679</c:v>
                </c:pt>
                <c:pt idx="7">
                  <c:v>52.329424681598582</c:v>
                </c:pt>
                <c:pt idx="8">
                  <c:v>50.078019323671484</c:v>
                </c:pt>
                <c:pt idx="9">
                  <c:v>47.826613965744386</c:v>
                </c:pt>
                <c:pt idx="10">
                  <c:v>45.575208607817288</c:v>
                </c:pt>
                <c:pt idx="11">
                  <c:v>43.32380324989019</c:v>
                </c:pt>
                <c:pt idx="12">
                  <c:v>41.072397891963092</c:v>
                </c:pt>
                <c:pt idx="13">
                  <c:v>38.820992534035994</c:v>
                </c:pt>
                <c:pt idx="14">
                  <c:v>36.569587176108897</c:v>
                </c:pt>
                <c:pt idx="15">
                  <c:v>34.318181818181799</c:v>
                </c:pt>
                <c:pt idx="16">
                  <c:v>32.066776460254701</c:v>
                </c:pt>
                <c:pt idx="17">
                  <c:v>29.815371102327603</c:v>
                </c:pt>
                <c:pt idx="18">
                  <c:v>27.563965744400519</c:v>
                </c:pt>
                <c:pt idx="19">
                  <c:v>25.312560386473422</c:v>
                </c:pt>
                <c:pt idx="20">
                  <c:v>23.061155028546324</c:v>
                </c:pt>
              </c:numCache>
            </c:numRef>
          </c:yVal>
        </c:ser>
        <c:ser>
          <c:idx val="1"/>
          <c:order val="1"/>
          <c:tx>
            <c:strRef>
              <c:f>'Dut 2'!$P$2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2'!$P$33:$P$53</c:f>
              <c:numCache>
                <c:formatCode>0.0</c:formatCode>
                <c:ptCount val="21"/>
                <c:pt idx="0">
                  <c:v>47.972640982691239</c:v>
                </c:pt>
                <c:pt idx="1">
                  <c:v>47.885520193560396</c:v>
                </c:pt>
                <c:pt idx="2">
                  <c:v>47.79839940442956</c:v>
                </c:pt>
                <c:pt idx="3">
                  <c:v>47.711278615298717</c:v>
                </c:pt>
                <c:pt idx="4">
                  <c:v>47.624157826167881</c:v>
                </c:pt>
                <c:pt idx="5">
                  <c:v>47.537037037037038</c:v>
                </c:pt>
                <c:pt idx="6">
                  <c:v>47.449916247906202</c:v>
                </c:pt>
                <c:pt idx="7">
                  <c:v>47.362795458775359</c:v>
                </c:pt>
                <c:pt idx="8">
                  <c:v>47.275674669644523</c:v>
                </c:pt>
                <c:pt idx="9">
                  <c:v>47.18855388051368</c:v>
                </c:pt>
                <c:pt idx="10">
                  <c:v>47.101433091382845</c:v>
                </c:pt>
                <c:pt idx="11">
                  <c:v>47.014312302252002</c:v>
                </c:pt>
                <c:pt idx="12">
                  <c:v>46.927191513121159</c:v>
                </c:pt>
                <c:pt idx="13">
                  <c:v>46.840070723990323</c:v>
                </c:pt>
                <c:pt idx="14">
                  <c:v>46.752949934859487</c:v>
                </c:pt>
                <c:pt idx="15">
                  <c:v>46.665829145728644</c:v>
                </c:pt>
                <c:pt idx="16">
                  <c:v>46.578708356597801</c:v>
                </c:pt>
                <c:pt idx="17">
                  <c:v>46.491587567466965</c:v>
                </c:pt>
                <c:pt idx="18">
                  <c:v>46.404466778336129</c:v>
                </c:pt>
                <c:pt idx="19">
                  <c:v>46.317345989205286</c:v>
                </c:pt>
                <c:pt idx="20">
                  <c:v>46.230225200074443</c:v>
                </c:pt>
              </c:numCache>
            </c:numRef>
          </c:yVal>
        </c:ser>
        <c:ser>
          <c:idx val="2"/>
          <c:order val="2"/>
          <c:tx>
            <c:strRef>
              <c:f>'Dut 2'!$Q$2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2'!$Q$33:$Q$53</c:f>
              <c:numCache>
                <c:formatCode>0.0</c:formatCode>
                <c:ptCount val="21"/>
                <c:pt idx="0">
                  <c:v>51.75870206489676</c:v>
                </c:pt>
                <c:pt idx="1">
                  <c:v>51.435024582104234</c:v>
                </c:pt>
                <c:pt idx="2">
                  <c:v>51.111347099311708</c:v>
                </c:pt>
                <c:pt idx="3">
                  <c:v>50.787669616519182</c:v>
                </c:pt>
                <c:pt idx="4">
                  <c:v>50.463992133726656</c:v>
                </c:pt>
                <c:pt idx="5">
                  <c:v>50.14031465093413</c:v>
                </c:pt>
                <c:pt idx="6">
                  <c:v>49.816637168141597</c:v>
                </c:pt>
                <c:pt idx="7">
                  <c:v>49.492959685349071</c:v>
                </c:pt>
                <c:pt idx="8">
                  <c:v>49.169282202556545</c:v>
                </c:pt>
                <c:pt idx="9">
                  <c:v>48.845604719764019</c:v>
                </c:pt>
                <c:pt idx="10">
                  <c:v>48.521927236971493</c:v>
                </c:pt>
                <c:pt idx="11">
                  <c:v>48.19824975417896</c:v>
                </c:pt>
                <c:pt idx="12">
                  <c:v>47.874572271386441</c:v>
                </c:pt>
                <c:pt idx="13">
                  <c:v>47.550894788593908</c:v>
                </c:pt>
                <c:pt idx="14">
                  <c:v>47.227217305801382</c:v>
                </c:pt>
                <c:pt idx="15">
                  <c:v>46.903539823008856</c:v>
                </c:pt>
                <c:pt idx="16">
                  <c:v>46.57986234021633</c:v>
                </c:pt>
                <c:pt idx="17">
                  <c:v>46.256184857423804</c:v>
                </c:pt>
                <c:pt idx="18">
                  <c:v>45.932507374631271</c:v>
                </c:pt>
                <c:pt idx="19">
                  <c:v>45.608829891838745</c:v>
                </c:pt>
                <c:pt idx="20">
                  <c:v>45.285152409046219</c:v>
                </c:pt>
              </c:numCache>
            </c:numRef>
          </c:yVal>
        </c:ser>
        <c:axId val="58292480"/>
        <c:axId val="58294272"/>
      </c:scatterChart>
      <c:valAx>
        <c:axId val="5829248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58294272"/>
        <c:crosses val="autoZero"/>
        <c:crossBetween val="midCat"/>
      </c:valAx>
      <c:valAx>
        <c:axId val="5829427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58292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3'!$K$12</c:f>
          <c:strCache>
            <c:ptCount val="1"/>
            <c:pt idx="0">
              <c:v>Compensation=40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3'!$O$33:$O$53</c:f>
              <c:numCache>
                <c:formatCode>0.0</c:formatCode>
                <c:ptCount val="21"/>
                <c:pt idx="0">
                  <c:v>65.793436641389164</c:v>
                </c:pt>
                <c:pt idx="1">
                  <c:v>63.636818698025422</c:v>
                </c:pt>
                <c:pt idx="2">
                  <c:v>61.480200754661681</c:v>
                </c:pt>
                <c:pt idx="3">
                  <c:v>59.323582811297939</c:v>
                </c:pt>
                <c:pt idx="4">
                  <c:v>57.166964867934198</c:v>
                </c:pt>
                <c:pt idx="5">
                  <c:v>55.010346924570456</c:v>
                </c:pt>
                <c:pt idx="6">
                  <c:v>52.853728981206729</c:v>
                </c:pt>
                <c:pt idx="7">
                  <c:v>50.697111037842987</c:v>
                </c:pt>
                <c:pt idx="8">
                  <c:v>48.540493094479245</c:v>
                </c:pt>
                <c:pt idx="9">
                  <c:v>46.383875151115504</c:v>
                </c:pt>
                <c:pt idx="10">
                  <c:v>44.227257207751762</c:v>
                </c:pt>
                <c:pt idx="11">
                  <c:v>42.070639264388021</c:v>
                </c:pt>
                <c:pt idx="12">
                  <c:v>39.914021321024293</c:v>
                </c:pt>
                <c:pt idx="13">
                  <c:v>37.757403377660552</c:v>
                </c:pt>
                <c:pt idx="14">
                  <c:v>35.60078543429681</c:v>
                </c:pt>
                <c:pt idx="15">
                  <c:v>33.444167490933069</c:v>
                </c:pt>
                <c:pt idx="16">
                  <c:v>31.287549547569327</c:v>
                </c:pt>
                <c:pt idx="17">
                  <c:v>29.130931604205585</c:v>
                </c:pt>
                <c:pt idx="18">
                  <c:v>26.974313660841858</c:v>
                </c:pt>
                <c:pt idx="19">
                  <c:v>24.817695717478117</c:v>
                </c:pt>
                <c:pt idx="20">
                  <c:v>22.661077774114375</c:v>
                </c:pt>
              </c:numCache>
            </c:numRef>
          </c:yVal>
        </c:ser>
        <c:ser>
          <c:idx val="1"/>
          <c:order val="1"/>
          <c:tx>
            <c:strRef>
              <c:f>'Dut 3'!$P$2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3'!$P$33:$P$53</c:f>
              <c:numCache>
                <c:formatCode>0.0</c:formatCode>
                <c:ptCount val="21"/>
                <c:pt idx="0">
                  <c:v>45.140361974064739</c:v>
                </c:pt>
                <c:pt idx="1">
                  <c:v>45.041786858226821</c:v>
                </c:pt>
                <c:pt idx="2">
                  <c:v>44.943211742388897</c:v>
                </c:pt>
                <c:pt idx="3">
                  <c:v>44.844636626550979</c:v>
                </c:pt>
                <c:pt idx="4">
                  <c:v>44.746061510713055</c:v>
                </c:pt>
                <c:pt idx="5">
                  <c:v>44.647486394875138</c:v>
                </c:pt>
                <c:pt idx="6">
                  <c:v>44.54891127903722</c:v>
                </c:pt>
                <c:pt idx="7">
                  <c:v>44.450336163199296</c:v>
                </c:pt>
                <c:pt idx="8">
                  <c:v>44.351761047361379</c:v>
                </c:pt>
                <c:pt idx="9">
                  <c:v>44.253185931523454</c:v>
                </c:pt>
                <c:pt idx="10">
                  <c:v>44.154610815685537</c:v>
                </c:pt>
                <c:pt idx="11">
                  <c:v>44.056035699847619</c:v>
                </c:pt>
                <c:pt idx="12">
                  <c:v>43.957460584009695</c:v>
                </c:pt>
                <c:pt idx="13">
                  <c:v>43.858885468171778</c:v>
                </c:pt>
                <c:pt idx="14">
                  <c:v>43.760310352333853</c:v>
                </c:pt>
                <c:pt idx="15">
                  <c:v>43.661735236495936</c:v>
                </c:pt>
                <c:pt idx="16">
                  <c:v>43.563160120658019</c:v>
                </c:pt>
                <c:pt idx="17">
                  <c:v>43.464585004820094</c:v>
                </c:pt>
                <c:pt idx="18">
                  <c:v>43.366009888982177</c:v>
                </c:pt>
                <c:pt idx="19">
                  <c:v>43.267434773144252</c:v>
                </c:pt>
                <c:pt idx="20">
                  <c:v>43.168859657306335</c:v>
                </c:pt>
              </c:numCache>
            </c:numRef>
          </c:yVal>
        </c:ser>
        <c:ser>
          <c:idx val="2"/>
          <c:order val="2"/>
          <c:tx>
            <c:strRef>
              <c:f>'Dut 3'!$Q$2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3'!$Q$33:$Q$53</c:f>
              <c:numCache>
                <c:formatCode>0.0</c:formatCode>
                <c:ptCount val="21"/>
                <c:pt idx="0">
                  <c:v>49.766046229424759</c:v>
                </c:pt>
                <c:pt idx="1">
                  <c:v>49.452885000554531</c:v>
                </c:pt>
                <c:pt idx="2">
                  <c:v>49.139723771684302</c:v>
                </c:pt>
                <c:pt idx="3">
                  <c:v>48.826562542814074</c:v>
                </c:pt>
                <c:pt idx="4">
                  <c:v>48.513401313943845</c:v>
                </c:pt>
                <c:pt idx="5">
                  <c:v>48.200240085073609</c:v>
                </c:pt>
                <c:pt idx="6">
                  <c:v>47.887078856203381</c:v>
                </c:pt>
                <c:pt idx="7">
                  <c:v>47.573917627333152</c:v>
                </c:pt>
                <c:pt idx="8">
                  <c:v>47.260756398462924</c:v>
                </c:pt>
                <c:pt idx="9">
                  <c:v>46.947595169592688</c:v>
                </c:pt>
                <c:pt idx="10">
                  <c:v>46.63443394072246</c:v>
                </c:pt>
                <c:pt idx="11">
                  <c:v>46.321272711852231</c:v>
                </c:pt>
                <c:pt idx="12">
                  <c:v>46.008111482982002</c:v>
                </c:pt>
                <c:pt idx="13">
                  <c:v>45.694950254111774</c:v>
                </c:pt>
                <c:pt idx="14">
                  <c:v>45.381789025241545</c:v>
                </c:pt>
                <c:pt idx="15">
                  <c:v>45.06862779637131</c:v>
                </c:pt>
                <c:pt idx="16">
                  <c:v>44.755466567501081</c:v>
                </c:pt>
                <c:pt idx="17">
                  <c:v>44.442305338630852</c:v>
                </c:pt>
                <c:pt idx="18">
                  <c:v>44.129144109760617</c:v>
                </c:pt>
                <c:pt idx="19">
                  <c:v>43.815982880890388</c:v>
                </c:pt>
                <c:pt idx="20">
                  <c:v>43.50282165202016</c:v>
                </c:pt>
              </c:numCache>
            </c:numRef>
          </c:yVal>
        </c:ser>
        <c:axId val="69977600"/>
        <c:axId val="69979136"/>
      </c:scatterChart>
      <c:valAx>
        <c:axId val="6997760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69979136"/>
        <c:crosses val="autoZero"/>
        <c:crossBetween val="midCat"/>
      </c:valAx>
      <c:valAx>
        <c:axId val="6997913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69977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4'!$K$12</c:f>
          <c:strCache>
            <c:ptCount val="1"/>
            <c:pt idx="0">
              <c:v>Compensation=36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4'!$O$2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4'!$O$33:$O$53</c:f>
              <c:numCache>
                <c:formatCode>0.0</c:formatCode>
                <c:ptCount val="21"/>
                <c:pt idx="0">
                  <c:v>63.882780748663109</c:v>
                </c:pt>
                <c:pt idx="1">
                  <c:v>61.687147950089127</c:v>
                </c:pt>
                <c:pt idx="2">
                  <c:v>59.491515151515159</c:v>
                </c:pt>
                <c:pt idx="3">
                  <c:v>57.295882352941192</c:v>
                </c:pt>
                <c:pt idx="4">
                  <c:v>55.10024955436721</c:v>
                </c:pt>
                <c:pt idx="5">
                  <c:v>52.904616755793228</c:v>
                </c:pt>
                <c:pt idx="6">
                  <c:v>50.70898395721926</c:v>
                </c:pt>
                <c:pt idx="7">
                  <c:v>48.513351158645293</c:v>
                </c:pt>
                <c:pt idx="8">
                  <c:v>46.317718360071311</c:v>
                </c:pt>
                <c:pt idx="9">
                  <c:v>44.122085561497329</c:v>
                </c:pt>
                <c:pt idx="10">
                  <c:v>41.926452762923361</c:v>
                </c:pt>
                <c:pt idx="11">
                  <c:v>39.730819964349394</c:v>
                </c:pt>
                <c:pt idx="12">
                  <c:v>37.535187165775412</c:v>
                </c:pt>
                <c:pt idx="13">
                  <c:v>35.33955436720143</c:v>
                </c:pt>
                <c:pt idx="14">
                  <c:v>33.143921568627462</c:v>
                </c:pt>
                <c:pt idx="15">
                  <c:v>30.948288770053495</c:v>
                </c:pt>
                <c:pt idx="16">
                  <c:v>28.752655971479513</c:v>
                </c:pt>
                <c:pt idx="17">
                  <c:v>26.557023172905531</c:v>
                </c:pt>
                <c:pt idx="18">
                  <c:v>24.361390374331563</c:v>
                </c:pt>
                <c:pt idx="19">
                  <c:v>22.165757575757596</c:v>
                </c:pt>
                <c:pt idx="20">
                  <c:v>19.970124777183614</c:v>
                </c:pt>
              </c:numCache>
            </c:numRef>
          </c:yVal>
        </c:ser>
        <c:ser>
          <c:idx val="1"/>
          <c:order val="1"/>
          <c:tx>
            <c:strRef>
              <c:f>'Dut 4'!$P$2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4'!$P$33:$P$53</c:f>
              <c:numCache>
                <c:formatCode>0.0</c:formatCode>
                <c:ptCount val="21"/>
                <c:pt idx="0">
                  <c:v>50.79378470901483</c:v>
                </c:pt>
                <c:pt idx="1">
                  <c:v>50.70872955496386</c:v>
                </c:pt>
                <c:pt idx="2">
                  <c:v>50.62367440091289</c:v>
                </c:pt>
                <c:pt idx="3">
                  <c:v>50.53861924686192</c:v>
                </c:pt>
                <c:pt idx="4">
                  <c:v>50.45356409281095</c:v>
                </c:pt>
                <c:pt idx="5">
                  <c:v>50.36850893875998</c:v>
                </c:pt>
                <c:pt idx="6">
                  <c:v>50.28345378470901</c:v>
                </c:pt>
                <c:pt idx="7">
                  <c:v>50.198398630658041</c:v>
                </c:pt>
                <c:pt idx="8">
                  <c:v>50.113343476607071</c:v>
                </c:pt>
                <c:pt idx="9">
                  <c:v>50.028288322556101</c:v>
                </c:pt>
                <c:pt idx="10">
                  <c:v>49.943233168505131</c:v>
                </c:pt>
                <c:pt idx="11">
                  <c:v>49.858178014454161</c:v>
                </c:pt>
                <c:pt idx="12">
                  <c:v>49.773122860403191</c:v>
                </c:pt>
                <c:pt idx="13">
                  <c:v>49.688067706352221</c:v>
                </c:pt>
                <c:pt idx="14">
                  <c:v>49.603012552301252</c:v>
                </c:pt>
                <c:pt idx="15">
                  <c:v>49.517957398250282</c:v>
                </c:pt>
                <c:pt idx="16">
                  <c:v>49.432902244199312</c:v>
                </c:pt>
                <c:pt idx="17">
                  <c:v>49.347847090148342</c:v>
                </c:pt>
                <c:pt idx="18">
                  <c:v>49.262791936097372</c:v>
                </c:pt>
                <c:pt idx="19">
                  <c:v>49.177736782046402</c:v>
                </c:pt>
                <c:pt idx="20">
                  <c:v>49.092681627995432</c:v>
                </c:pt>
              </c:numCache>
            </c:numRef>
          </c:yVal>
        </c:ser>
        <c:ser>
          <c:idx val="2"/>
          <c:order val="2"/>
          <c:tx>
            <c:strRef>
              <c:f>'Dut 4'!$Q$2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4'!$Q$33:$Q$53</c:f>
              <c:numCache>
                <c:formatCode>0.0</c:formatCode>
                <c:ptCount val="21"/>
                <c:pt idx="0">
                  <c:v>53.419683655536033</c:v>
                </c:pt>
                <c:pt idx="1">
                  <c:v>53.086643233743416</c:v>
                </c:pt>
                <c:pt idx="2">
                  <c:v>52.753602811950792</c:v>
                </c:pt>
                <c:pt idx="3">
                  <c:v>52.420562390158175</c:v>
                </c:pt>
                <c:pt idx="4">
                  <c:v>52.087521968365557</c:v>
                </c:pt>
                <c:pt idx="5">
                  <c:v>51.75448154657294</c:v>
                </c:pt>
                <c:pt idx="6">
                  <c:v>51.421441124780316</c:v>
                </c:pt>
                <c:pt idx="7">
                  <c:v>51.088400702987698</c:v>
                </c:pt>
                <c:pt idx="8">
                  <c:v>50.755360281195081</c:v>
                </c:pt>
                <c:pt idx="9">
                  <c:v>50.422319859402464</c:v>
                </c:pt>
                <c:pt idx="10">
                  <c:v>50.089279437609846</c:v>
                </c:pt>
                <c:pt idx="11">
                  <c:v>49.756239015817229</c:v>
                </c:pt>
                <c:pt idx="12">
                  <c:v>49.423198594024612</c:v>
                </c:pt>
                <c:pt idx="13">
                  <c:v>49.090158172231988</c:v>
                </c:pt>
                <c:pt idx="14">
                  <c:v>48.75711775043937</c:v>
                </c:pt>
                <c:pt idx="15">
                  <c:v>48.424077328646753</c:v>
                </c:pt>
                <c:pt idx="16">
                  <c:v>48.091036906854136</c:v>
                </c:pt>
                <c:pt idx="17">
                  <c:v>47.757996485061511</c:v>
                </c:pt>
                <c:pt idx="18">
                  <c:v>47.424956063268894</c:v>
                </c:pt>
                <c:pt idx="19">
                  <c:v>47.091915641476277</c:v>
                </c:pt>
                <c:pt idx="20">
                  <c:v>46.758875219683659</c:v>
                </c:pt>
              </c:numCache>
            </c:numRef>
          </c:yVal>
        </c:ser>
        <c:axId val="158987008"/>
        <c:axId val="158988544"/>
      </c:scatterChart>
      <c:valAx>
        <c:axId val="15898700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58988544"/>
        <c:crosses val="autoZero"/>
        <c:crossBetween val="midCat"/>
      </c:valAx>
      <c:valAx>
        <c:axId val="15898854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589870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5'!$K$12</c:f>
          <c:strCache>
            <c:ptCount val="1"/>
            <c:pt idx="0">
              <c:v>Compensation=35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5'!$O$2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5'!$O$33:$O$53</c:f>
              <c:numCache>
                <c:formatCode>0.0</c:formatCode>
                <c:ptCount val="21"/>
                <c:pt idx="0">
                  <c:v>56.82219938705606</c:v>
                </c:pt>
                <c:pt idx="1">
                  <c:v>54.797240400216324</c:v>
                </c:pt>
                <c:pt idx="2">
                  <c:v>52.772281413376589</c:v>
                </c:pt>
                <c:pt idx="3">
                  <c:v>50.747322426536854</c:v>
                </c:pt>
                <c:pt idx="4">
                  <c:v>48.722363439697119</c:v>
                </c:pt>
                <c:pt idx="5">
                  <c:v>46.697404452857384</c:v>
                </c:pt>
                <c:pt idx="6">
                  <c:v>44.672445466017649</c:v>
                </c:pt>
                <c:pt idx="7">
                  <c:v>42.647486479177928</c:v>
                </c:pt>
                <c:pt idx="8">
                  <c:v>40.622527492338193</c:v>
                </c:pt>
                <c:pt idx="9">
                  <c:v>38.597568505498458</c:v>
                </c:pt>
                <c:pt idx="10">
                  <c:v>36.572609518658723</c:v>
                </c:pt>
                <c:pt idx="11">
                  <c:v>34.547650531818988</c:v>
                </c:pt>
                <c:pt idx="12">
                  <c:v>32.522691544979253</c:v>
                </c:pt>
                <c:pt idx="13">
                  <c:v>30.497732558139518</c:v>
                </c:pt>
                <c:pt idx="14">
                  <c:v>28.472773571299797</c:v>
                </c:pt>
                <c:pt idx="15">
                  <c:v>26.447814584460062</c:v>
                </c:pt>
                <c:pt idx="16">
                  <c:v>24.422855597620327</c:v>
                </c:pt>
                <c:pt idx="17">
                  <c:v>22.397896610780592</c:v>
                </c:pt>
                <c:pt idx="18">
                  <c:v>20.372937623940857</c:v>
                </c:pt>
                <c:pt idx="19">
                  <c:v>18.347978637101122</c:v>
                </c:pt>
                <c:pt idx="20">
                  <c:v>16.323019650261386</c:v>
                </c:pt>
              </c:numCache>
            </c:numRef>
          </c:yVal>
        </c:ser>
        <c:ser>
          <c:idx val="1"/>
          <c:order val="1"/>
          <c:tx>
            <c:strRef>
              <c:f>'Dut 5'!$P$2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5'!$P$33:$P$53</c:f>
              <c:numCache>
                <c:formatCode>0.0</c:formatCode>
                <c:ptCount val="21"/>
                <c:pt idx="0">
                  <c:v>46.314985157242489</c:v>
                </c:pt>
                <c:pt idx="1">
                  <c:v>46.233681522387286</c:v>
                </c:pt>
                <c:pt idx="2">
                  <c:v>46.152377887532083</c:v>
                </c:pt>
                <c:pt idx="3">
                  <c:v>46.07107425267688</c:v>
                </c:pt>
                <c:pt idx="4">
                  <c:v>45.989770617821677</c:v>
                </c:pt>
                <c:pt idx="5">
                  <c:v>45.90846698296648</c:v>
                </c:pt>
                <c:pt idx="6">
                  <c:v>45.827163348111277</c:v>
                </c:pt>
                <c:pt idx="7">
                  <c:v>45.745859713256074</c:v>
                </c:pt>
                <c:pt idx="8">
                  <c:v>45.664556078400871</c:v>
                </c:pt>
                <c:pt idx="9">
                  <c:v>45.583252443545668</c:v>
                </c:pt>
                <c:pt idx="10">
                  <c:v>45.501948808690472</c:v>
                </c:pt>
                <c:pt idx="11">
                  <c:v>45.420645173835268</c:v>
                </c:pt>
                <c:pt idx="12">
                  <c:v>45.339341538980065</c:v>
                </c:pt>
                <c:pt idx="13">
                  <c:v>45.258037904124862</c:v>
                </c:pt>
                <c:pt idx="14">
                  <c:v>45.176734269269659</c:v>
                </c:pt>
                <c:pt idx="15">
                  <c:v>45.095430634414456</c:v>
                </c:pt>
                <c:pt idx="16">
                  <c:v>45.014126999559252</c:v>
                </c:pt>
                <c:pt idx="17">
                  <c:v>44.932823364704056</c:v>
                </c:pt>
                <c:pt idx="18">
                  <c:v>44.851519729848853</c:v>
                </c:pt>
                <c:pt idx="19">
                  <c:v>44.77021609499365</c:v>
                </c:pt>
                <c:pt idx="20">
                  <c:v>44.688912460138447</c:v>
                </c:pt>
              </c:numCache>
            </c:numRef>
          </c:yVal>
        </c:ser>
        <c:ser>
          <c:idx val="2"/>
          <c:order val="2"/>
          <c:tx>
            <c:strRef>
              <c:f>'Dut 5'!$Q$2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5'!$Q$33:$Q$53</c:f>
              <c:numCache>
                <c:formatCode>0.0</c:formatCode>
                <c:ptCount val="21"/>
                <c:pt idx="0">
                  <c:v>48.354546953953175</c:v>
                </c:pt>
                <c:pt idx="1">
                  <c:v>48.059209294146982</c:v>
                </c:pt>
                <c:pt idx="2">
                  <c:v>47.763871634340788</c:v>
                </c:pt>
                <c:pt idx="3">
                  <c:v>47.468533974534594</c:v>
                </c:pt>
                <c:pt idx="4">
                  <c:v>47.173196314728401</c:v>
                </c:pt>
                <c:pt idx="5">
                  <c:v>46.8778586549222</c:v>
                </c:pt>
                <c:pt idx="6">
                  <c:v>46.582520995116006</c:v>
                </c:pt>
                <c:pt idx="7">
                  <c:v>46.287183335309813</c:v>
                </c:pt>
                <c:pt idx="8">
                  <c:v>45.991845675503619</c:v>
                </c:pt>
                <c:pt idx="9">
                  <c:v>45.696508015697418</c:v>
                </c:pt>
                <c:pt idx="10">
                  <c:v>45.401170355891225</c:v>
                </c:pt>
                <c:pt idx="11">
                  <c:v>45.105832696085031</c:v>
                </c:pt>
                <c:pt idx="12">
                  <c:v>44.810495036278837</c:v>
                </c:pt>
                <c:pt idx="13">
                  <c:v>44.515157376472644</c:v>
                </c:pt>
                <c:pt idx="14">
                  <c:v>44.21981971666645</c:v>
                </c:pt>
                <c:pt idx="15">
                  <c:v>43.924482056860256</c:v>
                </c:pt>
                <c:pt idx="16">
                  <c:v>43.629144397054063</c:v>
                </c:pt>
                <c:pt idx="17">
                  <c:v>43.333806737247862</c:v>
                </c:pt>
                <c:pt idx="18">
                  <c:v>43.038469077441668</c:v>
                </c:pt>
                <c:pt idx="19">
                  <c:v>42.743131417635475</c:v>
                </c:pt>
                <c:pt idx="20">
                  <c:v>42.447793757829281</c:v>
                </c:pt>
              </c:numCache>
            </c:numRef>
          </c:yVal>
        </c:ser>
        <c:axId val="162934784"/>
        <c:axId val="162936320"/>
      </c:scatterChart>
      <c:valAx>
        <c:axId val="16293478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62936320"/>
        <c:crosses val="autoZero"/>
        <c:crossBetween val="midCat"/>
      </c:valAx>
      <c:valAx>
        <c:axId val="16293632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629347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6'!$K$12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6'!$O$2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6'!$O$33:$O$53</c:f>
              <c:numCache>
                <c:formatCode>0.0</c:formatCode>
                <c:ptCount val="21"/>
                <c:pt idx="0">
                  <c:v>63.832113767665632</c:v>
                </c:pt>
                <c:pt idx="1">
                  <c:v>61.520279777375592</c:v>
                </c:pt>
                <c:pt idx="2">
                  <c:v>59.208445787085552</c:v>
                </c:pt>
                <c:pt idx="3">
                  <c:v>56.896611796795511</c:v>
                </c:pt>
                <c:pt idx="4">
                  <c:v>54.584777806505471</c:v>
                </c:pt>
                <c:pt idx="5">
                  <c:v>52.272943816215417</c:v>
                </c:pt>
                <c:pt idx="6">
                  <c:v>49.961109825925377</c:v>
                </c:pt>
                <c:pt idx="7">
                  <c:v>47.649275835635336</c:v>
                </c:pt>
                <c:pt idx="8">
                  <c:v>45.337441845345296</c:v>
                </c:pt>
                <c:pt idx="9">
                  <c:v>43.025607855055242</c:v>
                </c:pt>
                <c:pt idx="10">
                  <c:v>40.713773864765201</c:v>
                </c:pt>
                <c:pt idx="11">
                  <c:v>38.401939874475161</c:v>
                </c:pt>
                <c:pt idx="12">
                  <c:v>36.090105884185121</c:v>
                </c:pt>
                <c:pt idx="13">
                  <c:v>33.778271893895081</c:v>
                </c:pt>
                <c:pt idx="14">
                  <c:v>31.466437903605026</c:v>
                </c:pt>
                <c:pt idx="15">
                  <c:v>29.154603913314986</c:v>
                </c:pt>
                <c:pt idx="16">
                  <c:v>26.842769923024946</c:v>
                </c:pt>
                <c:pt idx="17">
                  <c:v>24.530935932734906</c:v>
                </c:pt>
                <c:pt idx="18">
                  <c:v>22.219101942444865</c:v>
                </c:pt>
                <c:pt idx="19">
                  <c:v>19.907267952154811</c:v>
                </c:pt>
                <c:pt idx="20">
                  <c:v>17.595433961864771</c:v>
                </c:pt>
              </c:numCache>
            </c:numRef>
          </c:yVal>
        </c:ser>
        <c:ser>
          <c:idx val="1"/>
          <c:order val="1"/>
          <c:tx>
            <c:strRef>
              <c:f>'Dut 6'!$P$2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6'!$P$33:$P$53</c:f>
              <c:numCache>
                <c:formatCode>0.0</c:formatCode>
                <c:ptCount val="21"/>
                <c:pt idx="0">
                  <c:v>46.733702392989549</c:v>
                </c:pt>
                <c:pt idx="1">
                  <c:v>46.631792732882211</c:v>
                </c:pt>
                <c:pt idx="2">
                  <c:v>46.529883072774879</c:v>
                </c:pt>
                <c:pt idx="3">
                  <c:v>46.427973412667541</c:v>
                </c:pt>
                <c:pt idx="4">
                  <c:v>46.326063752560209</c:v>
                </c:pt>
                <c:pt idx="5">
                  <c:v>46.224154092452878</c:v>
                </c:pt>
                <c:pt idx="6">
                  <c:v>46.122244432345539</c:v>
                </c:pt>
                <c:pt idx="7">
                  <c:v>46.020334772238208</c:v>
                </c:pt>
                <c:pt idx="8">
                  <c:v>45.918425112130869</c:v>
                </c:pt>
                <c:pt idx="9">
                  <c:v>45.816515452023538</c:v>
                </c:pt>
                <c:pt idx="10">
                  <c:v>45.714605791916199</c:v>
                </c:pt>
                <c:pt idx="11">
                  <c:v>45.612696131808868</c:v>
                </c:pt>
                <c:pt idx="12">
                  <c:v>45.510786471701536</c:v>
                </c:pt>
                <c:pt idx="13">
                  <c:v>45.408876811594197</c:v>
                </c:pt>
                <c:pt idx="14">
                  <c:v>45.306967151486866</c:v>
                </c:pt>
                <c:pt idx="15">
                  <c:v>45.205057491379527</c:v>
                </c:pt>
                <c:pt idx="16">
                  <c:v>45.103147831272196</c:v>
                </c:pt>
                <c:pt idx="17">
                  <c:v>45.001238171164857</c:v>
                </c:pt>
                <c:pt idx="18">
                  <c:v>44.899328511057526</c:v>
                </c:pt>
                <c:pt idx="19">
                  <c:v>44.797418850950187</c:v>
                </c:pt>
                <c:pt idx="20">
                  <c:v>44.695509190842856</c:v>
                </c:pt>
              </c:numCache>
            </c:numRef>
          </c:yVal>
        </c:ser>
        <c:ser>
          <c:idx val="2"/>
          <c:order val="2"/>
          <c:tx>
            <c:strRef>
              <c:f>'Dut 6'!$Q$2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6'!$Q$33:$Q$53</c:f>
              <c:numCache>
                <c:formatCode>0.0</c:formatCode>
                <c:ptCount val="21"/>
                <c:pt idx="0">
                  <c:v>51.257579219366242</c:v>
                </c:pt>
                <c:pt idx="1">
                  <c:v>50.922886440908471</c:v>
                </c:pt>
                <c:pt idx="2">
                  <c:v>50.588193662450699</c:v>
                </c:pt>
                <c:pt idx="3">
                  <c:v>50.253500883992928</c:v>
                </c:pt>
                <c:pt idx="4">
                  <c:v>49.918808105535156</c:v>
                </c:pt>
                <c:pt idx="5">
                  <c:v>49.584115327077384</c:v>
                </c:pt>
                <c:pt idx="6">
                  <c:v>49.249422548619606</c:v>
                </c:pt>
                <c:pt idx="7">
                  <c:v>48.914729770161841</c:v>
                </c:pt>
                <c:pt idx="8">
                  <c:v>48.580036991704063</c:v>
                </c:pt>
                <c:pt idx="9">
                  <c:v>48.245344213246291</c:v>
                </c:pt>
                <c:pt idx="10">
                  <c:v>47.91065143478852</c:v>
                </c:pt>
                <c:pt idx="11">
                  <c:v>47.575958656330748</c:v>
                </c:pt>
                <c:pt idx="12">
                  <c:v>47.241265877872976</c:v>
                </c:pt>
                <c:pt idx="13">
                  <c:v>46.906573099415205</c:v>
                </c:pt>
                <c:pt idx="14">
                  <c:v>46.571880320957433</c:v>
                </c:pt>
                <c:pt idx="15">
                  <c:v>46.237187542499662</c:v>
                </c:pt>
                <c:pt idx="16">
                  <c:v>45.90249476404189</c:v>
                </c:pt>
                <c:pt idx="17">
                  <c:v>45.567801985584111</c:v>
                </c:pt>
                <c:pt idx="18">
                  <c:v>45.233109207126347</c:v>
                </c:pt>
                <c:pt idx="19">
                  <c:v>44.898416428668568</c:v>
                </c:pt>
                <c:pt idx="20">
                  <c:v>44.563723650210804</c:v>
                </c:pt>
              </c:numCache>
            </c:numRef>
          </c:yVal>
        </c:ser>
        <c:axId val="184847360"/>
        <c:axId val="184849152"/>
      </c:scatterChart>
      <c:valAx>
        <c:axId val="18484736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4849152"/>
        <c:crosses val="autoZero"/>
        <c:crossBetween val="midCat"/>
      </c:valAx>
      <c:valAx>
        <c:axId val="18484915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48473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7'!$K$12</c:f>
          <c:strCache>
            <c:ptCount val="1"/>
            <c:pt idx="0">
              <c:v>Compensation=29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7'!$O$2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7'!$O$33:$O$53</c:f>
              <c:numCache>
                <c:formatCode>0.0</c:formatCode>
                <c:ptCount val="21"/>
                <c:pt idx="0">
                  <c:v>47.242646691635457</c:v>
                </c:pt>
                <c:pt idx="1">
                  <c:v>44.794094881398252</c:v>
                </c:pt>
                <c:pt idx="2">
                  <c:v>42.345543071161046</c:v>
                </c:pt>
                <c:pt idx="3">
                  <c:v>39.896991260923841</c:v>
                </c:pt>
                <c:pt idx="4">
                  <c:v>37.448439450686635</c:v>
                </c:pt>
                <c:pt idx="5">
                  <c:v>34.99988764044943</c:v>
                </c:pt>
                <c:pt idx="6">
                  <c:v>32.551335830212238</c:v>
                </c:pt>
                <c:pt idx="7">
                  <c:v>30.102784019975033</c:v>
                </c:pt>
                <c:pt idx="8">
                  <c:v>27.654232209737827</c:v>
                </c:pt>
                <c:pt idx="9">
                  <c:v>25.205680399500622</c:v>
                </c:pt>
                <c:pt idx="10">
                  <c:v>22.757128589263417</c:v>
                </c:pt>
                <c:pt idx="11">
                  <c:v>20.308576779026211</c:v>
                </c:pt>
                <c:pt idx="12">
                  <c:v>17.86002496878902</c:v>
                </c:pt>
                <c:pt idx="13">
                  <c:v>15.411473158551814</c:v>
                </c:pt>
                <c:pt idx="14">
                  <c:v>12.962921348314609</c:v>
                </c:pt>
                <c:pt idx="15">
                  <c:v>10.514369538077403</c:v>
                </c:pt>
                <c:pt idx="16">
                  <c:v>8.0658177278401979</c:v>
                </c:pt>
                <c:pt idx="17">
                  <c:v>5.6172659176029924</c:v>
                </c:pt>
                <c:pt idx="18">
                  <c:v>3.1687141073658012</c:v>
                </c:pt>
                <c:pt idx="19">
                  <c:v>0.7201622971285957</c:v>
                </c:pt>
                <c:pt idx="20">
                  <c:v>-1.7283895131086098</c:v>
                </c:pt>
              </c:numCache>
            </c:numRef>
          </c:yVal>
        </c:ser>
        <c:ser>
          <c:idx val="1"/>
          <c:order val="1"/>
          <c:tx>
            <c:strRef>
              <c:f>'Dut 7'!$P$2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7'!$P$33:$P$53</c:f>
              <c:numCache>
                <c:formatCode>0.0</c:formatCode>
                <c:ptCount val="21"/>
                <c:pt idx="0">
                  <c:v>48.906035710981591</c:v>
                </c:pt>
                <c:pt idx="1">
                  <c:v>48.792184907638699</c:v>
                </c:pt>
                <c:pt idx="2">
                  <c:v>48.678334104295807</c:v>
                </c:pt>
                <c:pt idx="3">
                  <c:v>48.564483300952915</c:v>
                </c:pt>
                <c:pt idx="4">
                  <c:v>48.450632497610016</c:v>
                </c:pt>
                <c:pt idx="5">
                  <c:v>48.336781694267124</c:v>
                </c:pt>
                <c:pt idx="6">
                  <c:v>48.222930890924232</c:v>
                </c:pt>
                <c:pt idx="7">
                  <c:v>48.10908008758134</c:v>
                </c:pt>
                <c:pt idx="8">
                  <c:v>47.995229284238448</c:v>
                </c:pt>
                <c:pt idx="9">
                  <c:v>47.881378480895549</c:v>
                </c:pt>
                <c:pt idx="10">
                  <c:v>47.767527677552657</c:v>
                </c:pt>
                <c:pt idx="11">
                  <c:v>47.653676874209765</c:v>
                </c:pt>
                <c:pt idx="12">
                  <c:v>47.539826070866873</c:v>
                </c:pt>
                <c:pt idx="13">
                  <c:v>47.425975267523981</c:v>
                </c:pt>
                <c:pt idx="14">
                  <c:v>47.312124464181082</c:v>
                </c:pt>
                <c:pt idx="15">
                  <c:v>47.19827366083819</c:v>
                </c:pt>
                <c:pt idx="16">
                  <c:v>47.084422857495298</c:v>
                </c:pt>
                <c:pt idx="17">
                  <c:v>46.970572054152406</c:v>
                </c:pt>
                <c:pt idx="18">
                  <c:v>46.856721250809514</c:v>
                </c:pt>
                <c:pt idx="19">
                  <c:v>46.742870447466615</c:v>
                </c:pt>
                <c:pt idx="20">
                  <c:v>46.629019644123723</c:v>
                </c:pt>
              </c:numCache>
            </c:numRef>
          </c:yVal>
        </c:ser>
        <c:ser>
          <c:idx val="2"/>
          <c:order val="2"/>
          <c:tx>
            <c:strRef>
              <c:f>'Dut 7'!$Q$2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7'!$Q$33:$Q$53</c:f>
              <c:numCache>
                <c:formatCode>0.0</c:formatCode>
                <c:ptCount val="21"/>
                <c:pt idx="0">
                  <c:v>51.082958692445068</c:v>
                </c:pt>
                <c:pt idx="1">
                  <c:v>50.720906449776123</c:v>
                </c:pt>
                <c:pt idx="2">
                  <c:v>50.358854207107179</c:v>
                </c:pt>
                <c:pt idx="3">
                  <c:v>49.996801964438234</c:v>
                </c:pt>
                <c:pt idx="4">
                  <c:v>49.634749721769289</c:v>
                </c:pt>
                <c:pt idx="5">
                  <c:v>49.272697479100344</c:v>
                </c:pt>
                <c:pt idx="6">
                  <c:v>48.910645236431399</c:v>
                </c:pt>
                <c:pt idx="7">
                  <c:v>48.548592993762455</c:v>
                </c:pt>
                <c:pt idx="8">
                  <c:v>48.18654075109351</c:v>
                </c:pt>
                <c:pt idx="9">
                  <c:v>47.824488508424565</c:v>
                </c:pt>
                <c:pt idx="10">
                  <c:v>47.46243626575562</c:v>
                </c:pt>
                <c:pt idx="11">
                  <c:v>47.100384023086676</c:v>
                </c:pt>
                <c:pt idx="12">
                  <c:v>46.738331780417731</c:v>
                </c:pt>
                <c:pt idx="13">
                  <c:v>46.376279537748786</c:v>
                </c:pt>
                <c:pt idx="14">
                  <c:v>46.014227295079849</c:v>
                </c:pt>
                <c:pt idx="15">
                  <c:v>45.652175052410897</c:v>
                </c:pt>
                <c:pt idx="16">
                  <c:v>45.290122809741959</c:v>
                </c:pt>
                <c:pt idx="17">
                  <c:v>44.928070567073007</c:v>
                </c:pt>
                <c:pt idx="18">
                  <c:v>44.56601832440407</c:v>
                </c:pt>
                <c:pt idx="19">
                  <c:v>44.203966081735118</c:v>
                </c:pt>
                <c:pt idx="20">
                  <c:v>43.84191383906618</c:v>
                </c:pt>
              </c:numCache>
            </c:numRef>
          </c:yVal>
        </c:ser>
        <c:axId val="185727232"/>
        <c:axId val="186003456"/>
      </c:scatterChart>
      <c:valAx>
        <c:axId val="18572723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6003456"/>
        <c:crosses val="autoZero"/>
        <c:crossBetween val="midCat"/>
      </c:valAx>
      <c:valAx>
        <c:axId val="18600345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57272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8'!$K$12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8'!$O$2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8'!$O$33:$O$53</c:f>
              <c:numCache>
                <c:formatCode>0.0</c:formatCode>
                <c:ptCount val="21"/>
                <c:pt idx="0">
                  <c:v>58.547223101042555</c:v>
                </c:pt>
                <c:pt idx="1">
                  <c:v>56.471492058682429</c:v>
                </c:pt>
                <c:pt idx="2">
                  <c:v>54.395761016322297</c:v>
                </c:pt>
                <c:pt idx="3">
                  <c:v>52.320029973962164</c:v>
                </c:pt>
                <c:pt idx="4">
                  <c:v>50.244298931602032</c:v>
                </c:pt>
                <c:pt idx="5">
                  <c:v>48.168567889241913</c:v>
                </c:pt>
                <c:pt idx="6">
                  <c:v>46.092836846881781</c:v>
                </c:pt>
                <c:pt idx="7">
                  <c:v>44.017105804521648</c:v>
                </c:pt>
                <c:pt idx="8">
                  <c:v>41.941374762161516</c:v>
                </c:pt>
                <c:pt idx="9">
                  <c:v>39.865643719801383</c:v>
                </c:pt>
                <c:pt idx="10">
                  <c:v>37.789912677441265</c:v>
                </c:pt>
                <c:pt idx="11">
                  <c:v>35.714181635081133</c:v>
                </c:pt>
                <c:pt idx="12">
                  <c:v>33.638450592721</c:v>
                </c:pt>
                <c:pt idx="13">
                  <c:v>31.562719550360868</c:v>
                </c:pt>
                <c:pt idx="14">
                  <c:v>29.486988508000735</c:v>
                </c:pt>
                <c:pt idx="15">
                  <c:v>27.411257465640603</c:v>
                </c:pt>
                <c:pt idx="16">
                  <c:v>25.335526423280484</c:v>
                </c:pt>
                <c:pt idx="17">
                  <c:v>23.259795380920352</c:v>
                </c:pt>
                <c:pt idx="18">
                  <c:v>21.184064338560219</c:v>
                </c:pt>
                <c:pt idx="19">
                  <c:v>19.108333296200087</c:v>
                </c:pt>
                <c:pt idx="20">
                  <c:v>17.032602253839954</c:v>
                </c:pt>
              </c:numCache>
            </c:numRef>
          </c:yVal>
        </c:ser>
        <c:ser>
          <c:idx val="1"/>
          <c:order val="1"/>
          <c:tx>
            <c:strRef>
              <c:f>'Dut 8'!$P$2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8'!$P$33:$P$53</c:f>
              <c:numCache>
                <c:formatCode>0.0</c:formatCode>
                <c:ptCount val="21"/>
                <c:pt idx="0">
                  <c:v>45.192494714587738</c:v>
                </c:pt>
                <c:pt idx="1">
                  <c:v>45.107789436933885</c:v>
                </c:pt>
                <c:pt idx="2">
                  <c:v>45.023084159280025</c:v>
                </c:pt>
                <c:pt idx="3">
                  <c:v>44.938378881626164</c:v>
                </c:pt>
                <c:pt idx="4">
                  <c:v>44.853673603972304</c:v>
                </c:pt>
                <c:pt idx="5">
                  <c:v>44.768968326318443</c:v>
                </c:pt>
                <c:pt idx="6">
                  <c:v>44.68426304866459</c:v>
                </c:pt>
                <c:pt idx="7">
                  <c:v>44.59955777101073</c:v>
                </c:pt>
                <c:pt idx="8">
                  <c:v>44.514852493356869</c:v>
                </c:pt>
                <c:pt idx="9">
                  <c:v>44.430147215703009</c:v>
                </c:pt>
                <c:pt idx="10">
                  <c:v>44.345441938049149</c:v>
                </c:pt>
                <c:pt idx="11">
                  <c:v>44.260736660395295</c:v>
                </c:pt>
                <c:pt idx="12">
                  <c:v>44.176031382741435</c:v>
                </c:pt>
                <c:pt idx="13">
                  <c:v>44.091326105087575</c:v>
                </c:pt>
                <c:pt idx="14">
                  <c:v>44.006620827433714</c:v>
                </c:pt>
                <c:pt idx="15">
                  <c:v>43.921915549779854</c:v>
                </c:pt>
                <c:pt idx="16">
                  <c:v>43.837210272126001</c:v>
                </c:pt>
                <c:pt idx="17">
                  <c:v>43.75250499447214</c:v>
                </c:pt>
                <c:pt idx="18">
                  <c:v>43.66779971681828</c:v>
                </c:pt>
                <c:pt idx="19">
                  <c:v>43.583094439164419</c:v>
                </c:pt>
                <c:pt idx="20">
                  <c:v>43.498389161510559</c:v>
                </c:pt>
              </c:numCache>
            </c:numRef>
          </c:yVal>
        </c:ser>
        <c:ser>
          <c:idx val="2"/>
          <c:order val="2"/>
          <c:tx>
            <c:strRef>
              <c:f>'Dut 8'!$Q$2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8'!$Q$33:$Q$53</c:f>
              <c:numCache>
                <c:formatCode>0.0</c:formatCode>
                <c:ptCount val="21"/>
                <c:pt idx="0">
                  <c:v>47.518324958663484</c:v>
                </c:pt>
                <c:pt idx="1">
                  <c:v>47.209844531770052</c:v>
                </c:pt>
                <c:pt idx="2">
                  <c:v>46.901364104876627</c:v>
                </c:pt>
                <c:pt idx="3">
                  <c:v>46.592883677983203</c:v>
                </c:pt>
                <c:pt idx="4">
                  <c:v>46.28440325108977</c:v>
                </c:pt>
                <c:pt idx="5">
                  <c:v>45.975922824196346</c:v>
                </c:pt>
                <c:pt idx="6">
                  <c:v>45.667442397302921</c:v>
                </c:pt>
                <c:pt idx="7">
                  <c:v>45.358961970409496</c:v>
                </c:pt>
                <c:pt idx="8">
                  <c:v>45.050481543516064</c:v>
                </c:pt>
                <c:pt idx="9">
                  <c:v>44.742001116622639</c:v>
                </c:pt>
                <c:pt idx="10">
                  <c:v>44.433520689729214</c:v>
                </c:pt>
                <c:pt idx="11">
                  <c:v>44.125040262835782</c:v>
                </c:pt>
                <c:pt idx="12">
                  <c:v>43.816559835942357</c:v>
                </c:pt>
                <c:pt idx="13">
                  <c:v>43.508079409048932</c:v>
                </c:pt>
                <c:pt idx="14">
                  <c:v>43.199598982155507</c:v>
                </c:pt>
                <c:pt idx="15">
                  <c:v>42.891118555262075</c:v>
                </c:pt>
                <c:pt idx="16">
                  <c:v>42.58263812836865</c:v>
                </c:pt>
                <c:pt idx="17">
                  <c:v>42.274157701475225</c:v>
                </c:pt>
                <c:pt idx="18">
                  <c:v>41.965677274581793</c:v>
                </c:pt>
                <c:pt idx="19">
                  <c:v>41.657196847688368</c:v>
                </c:pt>
                <c:pt idx="20">
                  <c:v>41.348716420794943</c:v>
                </c:pt>
              </c:numCache>
            </c:numRef>
          </c:yVal>
        </c:ser>
        <c:axId val="186217984"/>
        <c:axId val="186219520"/>
      </c:scatterChart>
      <c:valAx>
        <c:axId val="18621798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6219520"/>
        <c:crosses val="autoZero"/>
        <c:crossBetween val="midCat"/>
      </c:valAx>
      <c:valAx>
        <c:axId val="18621952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62179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9'!$K$12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9'!$O$2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9'!$O$33:$O$53</c:f>
              <c:numCache>
                <c:formatCode>0.0</c:formatCode>
                <c:ptCount val="21"/>
                <c:pt idx="0">
                  <c:v>64.294819353949052</c:v>
                </c:pt>
                <c:pt idx="1">
                  <c:v>62.072372616954524</c:v>
                </c:pt>
                <c:pt idx="2">
                  <c:v>59.849925879960011</c:v>
                </c:pt>
                <c:pt idx="3">
                  <c:v>57.627479142965498</c:v>
                </c:pt>
                <c:pt idx="4">
                  <c:v>55.405032405970971</c:v>
                </c:pt>
                <c:pt idx="5">
                  <c:v>53.182585668976458</c:v>
                </c:pt>
                <c:pt idx="6">
                  <c:v>50.96013893198193</c:v>
                </c:pt>
                <c:pt idx="7">
                  <c:v>48.737692194987417</c:v>
                </c:pt>
                <c:pt idx="8">
                  <c:v>46.515245457992904</c:v>
                </c:pt>
                <c:pt idx="9">
                  <c:v>44.292798720998377</c:v>
                </c:pt>
                <c:pt idx="10">
                  <c:v>42.070351984003864</c:v>
                </c:pt>
                <c:pt idx="11">
                  <c:v>39.847905247009351</c:v>
                </c:pt>
                <c:pt idx="12">
                  <c:v>37.625458510014823</c:v>
                </c:pt>
                <c:pt idx="13">
                  <c:v>35.40301177302031</c:v>
                </c:pt>
                <c:pt idx="14">
                  <c:v>33.180565036025797</c:v>
                </c:pt>
                <c:pt idx="15">
                  <c:v>30.95811829903127</c:v>
                </c:pt>
                <c:pt idx="16">
                  <c:v>28.735671562036757</c:v>
                </c:pt>
                <c:pt idx="17">
                  <c:v>26.513224825042229</c:v>
                </c:pt>
                <c:pt idx="18">
                  <c:v>24.290778088047716</c:v>
                </c:pt>
                <c:pt idx="19">
                  <c:v>22.068331351053203</c:v>
                </c:pt>
                <c:pt idx="20">
                  <c:v>19.845884614058676</c:v>
                </c:pt>
              </c:numCache>
            </c:numRef>
          </c:yVal>
        </c:ser>
        <c:ser>
          <c:idx val="1"/>
          <c:order val="1"/>
          <c:tx>
            <c:strRef>
              <c:f>'Dut 9'!$P$2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9'!$P$33:$P$53</c:f>
              <c:numCache>
                <c:formatCode>0.0</c:formatCode>
                <c:ptCount val="21"/>
                <c:pt idx="0">
                  <c:v>47.480867289297279</c:v>
                </c:pt>
                <c:pt idx="1">
                  <c:v>47.392321495819836</c:v>
                </c:pt>
                <c:pt idx="2">
                  <c:v>47.303775702342399</c:v>
                </c:pt>
                <c:pt idx="3">
                  <c:v>47.215229908864956</c:v>
                </c:pt>
                <c:pt idx="4">
                  <c:v>47.126684115387512</c:v>
                </c:pt>
                <c:pt idx="5">
                  <c:v>47.038138321910068</c:v>
                </c:pt>
                <c:pt idx="6">
                  <c:v>46.949592528432625</c:v>
                </c:pt>
                <c:pt idx="7">
                  <c:v>46.861046734955188</c:v>
                </c:pt>
                <c:pt idx="8">
                  <c:v>46.772500941477745</c:v>
                </c:pt>
                <c:pt idx="9">
                  <c:v>46.683955148000301</c:v>
                </c:pt>
                <c:pt idx="10">
                  <c:v>46.595409354522857</c:v>
                </c:pt>
                <c:pt idx="11">
                  <c:v>46.506863561045414</c:v>
                </c:pt>
                <c:pt idx="12">
                  <c:v>46.418317767567977</c:v>
                </c:pt>
                <c:pt idx="13">
                  <c:v>46.329771974090534</c:v>
                </c:pt>
                <c:pt idx="14">
                  <c:v>46.24122618061309</c:v>
                </c:pt>
                <c:pt idx="15">
                  <c:v>46.152680387135646</c:v>
                </c:pt>
                <c:pt idx="16">
                  <c:v>46.064134593658203</c:v>
                </c:pt>
                <c:pt idx="17">
                  <c:v>45.975588800180766</c:v>
                </c:pt>
                <c:pt idx="18">
                  <c:v>45.887043006703323</c:v>
                </c:pt>
                <c:pt idx="19">
                  <c:v>45.798497213225879</c:v>
                </c:pt>
                <c:pt idx="20">
                  <c:v>45.709951419748435</c:v>
                </c:pt>
              </c:numCache>
            </c:numRef>
          </c:yVal>
        </c:ser>
        <c:ser>
          <c:idx val="2"/>
          <c:order val="2"/>
          <c:tx>
            <c:strRef>
              <c:f>'Dut 9'!$Q$2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9'!$Q$33:$Q$53</c:f>
              <c:numCache>
                <c:formatCode>0.0</c:formatCode>
                <c:ptCount val="21"/>
                <c:pt idx="0">
                  <c:v>51.243466744218949</c:v>
                </c:pt>
                <c:pt idx="1">
                  <c:v>50.925353701287477</c:v>
                </c:pt>
                <c:pt idx="2">
                  <c:v>50.607240658355998</c:v>
                </c:pt>
                <c:pt idx="3">
                  <c:v>50.289127615424519</c:v>
                </c:pt>
                <c:pt idx="4">
                  <c:v>49.971014572493047</c:v>
                </c:pt>
                <c:pt idx="5">
                  <c:v>49.652901529561568</c:v>
                </c:pt>
                <c:pt idx="6">
                  <c:v>49.334788486630089</c:v>
                </c:pt>
                <c:pt idx="7">
                  <c:v>49.016675443698617</c:v>
                </c:pt>
                <c:pt idx="8">
                  <c:v>48.698562400767145</c:v>
                </c:pt>
                <c:pt idx="9">
                  <c:v>48.380449357835666</c:v>
                </c:pt>
                <c:pt idx="10">
                  <c:v>48.062336314904186</c:v>
                </c:pt>
                <c:pt idx="11">
                  <c:v>47.744223271972714</c:v>
                </c:pt>
                <c:pt idx="12">
                  <c:v>47.426110229041235</c:v>
                </c:pt>
                <c:pt idx="13">
                  <c:v>47.107997186109756</c:v>
                </c:pt>
                <c:pt idx="14">
                  <c:v>46.789884143178284</c:v>
                </c:pt>
                <c:pt idx="15">
                  <c:v>46.471771100246805</c:v>
                </c:pt>
                <c:pt idx="16">
                  <c:v>46.153658057315333</c:v>
                </c:pt>
                <c:pt idx="17">
                  <c:v>45.835545014383854</c:v>
                </c:pt>
                <c:pt idx="18">
                  <c:v>45.517431971452382</c:v>
                </c:pt>
                <c:pt idx="19">
                  <c:v>45.199318928520903</c:v>
                </c:pt>
                <c:pt idx="20">
                  <c:v>44.881205885589424</c:v>
                </c:pt>
              </c:numCache>
            </c:numRef>
          </c:yVal>
        </c:ser>
        <c:axId val="186495744"/>
        <c:axId val="186497280"/>
      </c:scatterChart>
      <c:valAx>
        <c:axId val="18649574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6497280"/>
        <c:crosses val="autoZero"/>
        <c:crossBetween val="midCat"/>
      </c:valAx>
      <c:valAx>
        <c:axId val="18649728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64957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10'!$K$12</c:f>
          <c:strCache>
            <c:ptCount val="1"/>
            <c:pt idx="0">
              <c:v>Compensation=40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10'!$O$2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10'!$O$33:$O$53</c:f>
              <c:numCache>
                <c:formatCode>0.0</c:formatCode>
                <c:ptCount val="21"/>
                <c:pt idx="0">
                  <c:v>68.552302579348776</c:v>
                </c:pt>
                <c:pt idx="1">
                  <c:v>66.438997935863952</c:v>
                </c:pt>
                <c:pt idx="2">
                  <c:v>64.325693292379114</c:v>
                </c:pt>
                <c:pt idx="3">
                  <c:v>62.212388648894276</c:v>
                </c:pt>
                <c:pt idx="4">
                  <c:v>60.099084005409452</c:v>
                </c:pt>
                <c:pt idx="5">
                  <c:v>57.985779361924614</c:v>
                </c:pt>
                <c:pt idx="6">
                  <c:v>55.87247471843979</c:v>
                </c:pt>
                <c:pt idx="7">
                  <c:v>53.759170074954952</c:v>
                </c:pt>
                <c:pt idx="8">
                  <c:v>51.645865431470128</c:v>
                </c:pt>
                <c:pt idx="9">
                  <c:v>49.53256078798529</c:v>
                </c:pt>
                <c:pt idx="10">
                  <c:v>47.419256144500466</c:v>
                </c:pt>
                <c:pt idx="11">
                  <c:v>45.305951501015628</c:v>
                </c:pt>
                <c:pt idx="12">
                  <c:v>43.192646857530804</c:v>
                </c:pt>
                <c:pt idx="13">
                  <c:v>41.079342214045965</c:v>
                </c:pt>
                <c:pt idx="14">
                  <c:v>38.966037570561141</c:v>
                </c:pt>
                <c:pt idx="15">
                  <c:v>36.852732927076303</c:v>
                </c:pt>
                <c:pt idx="16">
                  <c:v>34.739428283591479</c:v>
                </c:pt>
                <c:pt idx="17">
                  <c:v>32.626123640106641</c:v>
                </c:pt>
                <c:pt idx="18">
                  <c:v>30.512818996621803</c:v>
                </c:pt>
                <c:pt idx="19">
                  <c:v>28.399514353136979</c:v>
                </c:pt>
                <c:pt idx="20">
                  <c:v>26.286209709652141</c:v>
                </c:pt>
              </c:numCache>
            </c:numRef>
          </c:yVal>
        </c:ser>
        <c:ser>
          <c:idx val="1"/>
          <c:order val="1"/>
          <c:tx>
            <c:strRef>
              <c:f>'Dut 10'!$P$2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10'!$P$33:$P$53</c:f>
              <c:numCache>
                <c:formatCode>0.0</c:formatCode>
                <c:ptCount val="21"/>
                <c:pt idx="0">
                  <c:v>47.912629399585917</c:v>
                </c:pt>
                <c:pt idx="1">
                  <c:v>47.829399585921323</c:v>
                </c:pt>
                <c:pt idx="2">
                  <c:v>47.746169772256721</c:v>
                </c:pt>
                <c:pt idx="3">
                  <c:v>47.662939958592126</c:v>
                </c:pt>
                <c:pt idx="4">
                  <c:v>47.579710144927532</c:v>
                </c:pt>
                <c:pt idx="5">
                  <c:v>47.496480331262937</c:v>
                </c:pt>
                <c:pt idx="6">
                  <c:v>47.413250517598335</c:v>
                </c:pt>
                <c:pt idx="7">
                  <c:v>47.330020703933741</c:v>
                </c:pt>
                <c:pt idx="8">
                  <c:v>47.246790890269146</c:v>
                </c:pt>
                <c:pt idx="9">
                  <c:v>47.163561076604552</c:v>
                </c:pt>
                <c:pt idx="10">
                  <c:v>47.08033126293995</c:v>
                </c:pt>
                <c:pt idx="11">
                  <c:v>46.997101449275355</c:v>
                </c:pt>
                <c:pt idx="12">
                  <c:v>46.913871635610761</c:v>
                </c:pt>
                <c:pt idx="13">
                  <c:v>46.830641821946166</c:v>
                </c:pt>
                <c:pt idx="14">
                  <c:v>46.747412008281572</c:v>
                </c:pt>
                <c:pt idx="15">
                  <c:v>46.66418219461697</c:v>
                </c:pt>
                <c:pt idx="16">
                  <c:v>46.580952380952375</c:v>
                </c:pt>
                <c:pt idx="17">
                  <c:v>46.497722567287781</c:v>
                </c:pt>
                <c:pt idx="18">
                  <c:v>46.414492753623186</c:v>
                </c:pt>
                <c:pt idx="19">
                  <c:v>46.331262939958584</c:v>
                </c:pt>
                <c:pt idx="20">
                  <c:v>46.24803312629399</c:v>
                </c:pt>
              </c:numCache>
            </c:numRef>
          </c:yVal>
        </c:ser>
        <c:ser>
          <c:idx val="2"/>
          <c:order val="2"/>
          <c:tx>
            <c:strRef>
              <c:f>'Dut 10'!$Q$2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10'!$Q$33:$Q$53</c:f>
              <c:numCache>
                <c:formatCode>0.0</c:formatCode>
                <c:ptCount val="21"/>
                <c:pt idx="0">
                  <c:v>51.471364144857297</c:v>
                </c:pt>
                <c:pt idx="1">
                  <c:v>51.16318720183002</c:v>
                </c:pt>
                <c:pt idx="2">
                  <c:v>50.85501025880275</c:v>
                </c:pt>
                <c:pt idx="3">
                  <c:v>50.546833315775473</c:v>
                </c:pt>
                <c:pt idx="4">
                  <c:v>50.238656372748196</c:v>
                </c:pt>
                <c:pt idx="5">
                  <c:v>49.930479429720918</c:v>
                </c:pt>
                <c:pt idx="6">
                  <c:v>49.622302486693648</c:v>
                </c:pt>
                <c:pt idx="7">
                  <c:v>49.314125543666371</c:v>
                </c:pt>
                <c:pt idx="8">
                  <c:v>49.005948600639101</c:v>
                </c:pt>
                <c:pt idx="9">
                  <c:v>48.697771657611824</c:v>
                </c:pt>
                <c:pt idx="10">
                  <c:v>48.389594714584547</c:v>
                </c:pt>
                <c:pt idx="11">
                  <c:v>48.08141777155727</c:v>
                </c:pt>
                <c:pt idx="12">
                  <c:v>47.77324082853</c:v>
                </c:pt>
                <c:pt idx="13">
                  <c:v>47.465063885502722</c:v>
                </c:pt>
                <c:pt idx="14">
                  <c:v>47.156886942475452</c:v>
                </c:pt>
                <c:pt idx="15">
                  <c:v>46.848709999448175</c:v>
                </c:pt>
                <c:pt idx="16">
                  <c:v>46.540533056420898</c:v>
                </c:pt>
                <c:pt idx="17">
                  <c:v>46.232356113393621</c:v>
                </c:pt>
                <c:pt idx="18">
                  <c:v>45.924179170366351</c:v>
                </c:pt>
                <c:pt idx="19">
                  <c:v>45.616002227339074</c:v>
                </c:pt>
                <c:pt idx="20">
                  <c:v>45.307825284311804</c:v>
                </c:pt>
              </c:numCache>
            </c:numRef>
          </c:yVal>
        </c:ser>
        <c:axId val="186667008"/>
        <c:axId val="186668544"/>
      </c:scatterChart>
      <c:valAx>
        <c:axId val="18666700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6668544"/>
        <c:crosses val="autoZero"/>
        <c:crossBetween val="midCat"/>
      </c:valAx>
      <c:valAx>
        <c:axId val="18666854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66670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11'!$K$12</c:f>
          <c:strCache>
            <c:ptCount val="1"/>
            <c:pt idx="0">
              <c:v>Compensation=41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11'!$O$2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11'!$O$33:$O$53</c:f>
              <c:numCache>
                <c:formatCode>0.0</c:formatCode>
                <c:ptCount val="21"/>
                <c:pt idx="0">
                  <c:v>75.380481999873879</c:v>
                </c:pt>
                <c:pt idx="1">
                  <c:v>73.177765956328926</c:v>
                </c:pt>
                <c:pt idx="2">
                  <c:v>70.975049912783959</c:v>
                </c:pt>
                <c:pt idx="3">
                  <c:v>68.772333869238992</c:v>
                </c:pt>
                <c:pt idx="4">
                  <c:v>66.569617825694039</c:v>
                </c:pt>
                <c:pt idx="5">
                  <c:v>64.366901782149071</c:v>
                </c:pt>
                <c:pt idx="6">
                  <c:v>62.164185738604104</c:v>
                </c:pt>
                <c:pt idx="7">
                  <c:v>59.961469695059151</c:v>
                </c:pt>
                <c:pt idx="8">
                  <c:v>57.758753651514184</c:v>
                </c:pt>
                <c:pt idx="9">
                  <c:v>55.556037607969216</c:v>
                </c:pt>
                <c:pt idx="10">
                  <c:v>53.353321564424249</c:v>
                </c:pt>
                <c:pt idx="11">
                  <c:v>51.150605520879296</c:v>
                </c:pt>
                <c:pt idx="12">
                  <c:v>48.947889477334328</c:v>
                </c:pt>
                <c:pt idx="13">
                  <c:v>46.745173433789361</c:v>
                </c:pt>
                <c:pt idx="14">
                  <c:v>44.542457390244408</c:v>
                </c:pt>
                <c:pt idx="15">
                  <c:v>42.339741346699441</c:v>
                </c:pt>
                <c:pt idx="16">
                  <c:v>40.137025303154473</c:v>
                </c:pt>
                <c:pt idx="17">
                  <c:v>37.93430925960952</c:v>
                </c:pt>
                <c:pt idx="18">
                  <c:v>35.731593216064553</c:v>
                </c:pt>
                <c:pt idx="19">
                  <c:v>33.528877172519586</c:v>
                </c:pt>
                <c:pt idx="20">
                  <c:v>31.326161128974633</c:v>
                </c:pt>
              </c:numCache>
            </c:numRef>
          </c:yVal>
        </c:ser>
        <c:ser>
          <c:idx val="1"/>
          <c:order val="1"/>
          <c:tx>
            <c:strRef>
              <c:f>'Dut 11'!$P$2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11'!$P$33:$P$53</c:f>
              <c:numCache>
                <c:formatCode>0.0</c:formatCode>
                <c:ptCount val="21"/>
                <c:pt idx="0">
                  <c:v>52.254388181320181</c:v>
                </c:pt>
                <c:pt idx="1">
                  <c:v>52.168238553364368</c:v>
                </c:pt>
                <c:pt idx="2">
                  <c:v>52.082088925408556</c:v>
                </c:pt>
                <c:pt idx="3">
                  <c:v>51.99593929745275</c:v>
                </c:pt>
                <c:pt idx="4">
                  <c:v>51.909789669496938</c:v>
                </c:pt>
                <c:pt idx="5">
                  <c:v>51.823640041541125</c:v>
                </c:pt>
                <c:pt idx="6">
                  <c:v>51.737490413585313</c:v>
                </c:pt>
                <c:pt idx="7">
                  <c:v>51.6513407856295</c:v>
                </c:pt>
                <c:pt idx="8">
                  <c:v>51.565191157673688</c:v>
                </c:pt>
                <c:pt idx="9">
                  <c:v>51.479041529717875</c:v>
                </c:pt>
                <c:pt idx="10">
                  <c:v>51.39289190176207</c:v>
                </c:pt>
                <c:pt idx="11">
                  <c:v>51.306742273806258</c:v>
                </c:pt>
                <c:pt idx="12">
                  <c:v>51.220592645850445</c:v>
                </c:pt>
                <c:pt idx="13">
                  <c:v>51.134443017894633</c:v>
                </c:pt>
                <c:pt idx="14">
                  <c:v>51.04829338993882</c:v>
                </c:pt>
                <c:pt idx="15">
                  <c:v>50.962143761983015</c:v>
                </c:pt>
                <c:pt idx="16">
                  <c:v>50.875994134027202</c:v>
                </c:pt>
                <c:pt idx="17">
                  <c:v>50.78984450607139</c:v>
                </c:pt>
                <c:pt idx="18">
                  <c:v>50.703694878115577</c:v>
                </c:pt>
                <c:pt idx="19">
                  <c:v>50.617545250159765</c:v>
                </c:pt>
                <c:pt idx="20">
                  <c:v>50.531395622203952</c:v>
                </c:pt>
              </c:numCache>
            </c:numRef>
          </c:yVal>
        </c:ser>
        <c:ser>
          <c:idx val="2"/>
          <c:order val="2"/>
          <c:tx>
            <c:strRef>
              <c:f>'Dut 11'!$Q$2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11'!$Q$33:$Q$53</c:f>
              <c:numCache>
                <c:formatCode>0.0</c:formatCode>
                <c:ptCount val="21"/>
                <c:pt idx="0">
                  <c:v>56.541173454650483</c:v>
                </c:pt>
                <c:pt idx="1">
                  <c:v>56.202921601193907</c:v>
                </c:pt>
                <c:pt idx="2">
                  <c:v>55.864669747737331</c:v>
                </c:pt>
                <c:pt idx="3">
                  <c:v>55.526417894280755</c:v>
                </c:pt>
                <c:pt idx="4">
                  <c:v>55.188166040824179</c:v>
                </c:pt>
                <c:pt idx="5">
                  <c:v>54.849914187367602</c:v>
                </c:pt>
                <c:pt idx="6">
                  <c:v>54.511662333911026</c:v>
                </c:pt>
                <c:pt idx="7">
                  <c:v>54.17341048045445</c:v>
                </c:pt>
                <c:pt idx="8">
                  <c:v>53.835158626997874</c:v>
                </c:pt>
                <c:pt idx="9">
                  <c:v>53.496906773541298</c:v>
                </c:pt>
                <c:pt idx="10">
                  <c:v>53.158654920084722</c:v>
                </c:pt>
                <c:pt idx="11">
                  <c:v>52.820403066628145</c:v>
                </c:pt>
                <c:pt idx="12">
                  <c:v>52.482151213171569</c:v>
                </c:pt>
                <c:pt idx="13">
                  <c:v>52.143899359714993</c:v>
                </c:pt>
                <c:pt idx="14">
                  <c:v>51.805647506258417</c:v>
                </c:pt>
                <c:pt idx="15">
                  <c:v>51.467395652801841</c:v>
                </c:pt>
                <c:pt idx="16">
                  <c:v>51.129143799345265</c:v>
                </c:pt>
                <c:pt idx="17">
                  <c:v>50.790891945888688</c:v>
                </c:pt>
                <c:pt idx="18">
                  <c:v>50.452640092432112</c:v>
                </c:pt>
                <c:pt idx="19">
                  <c:v>50.114388238975536</c:v>
                </c:pt>
                <c:pt idx="20">
                  <c:v>49.77613638551896</c:v>
                </c:pt>
              </c:numCache>
            </c:numRef>
          </c:yVal>
        </c:ser>
        <c:axId val="186813440"/>
        <c:axId val="186831616"/>
      </c:scatterChart>
      <c:valAx>
        <c:axId val="18681344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6831616"/>
        <c:crosses val="autoZero"/>
        <c:crossBetween val="midCat"/>
      </c:valAx>
      <c:valAx>
        <c:axId val="18683161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68134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12'!$K$12</c:f>
          <c:strCache>
            <c:ptCount val="1"/>
            <c:pt idx="0">
              <c:v>Compensation=29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12'!$O$2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12'!$O$33:$O$53</c:f>
              <c:numCache>
                <c:formatCode>0.0</c:formatCode>
                <c:ptCount val="21"/>
                <c:pt idx="0">
                  <c:v>46.960613393789643</c:v>
                </c:pt>
                <c:pt idx="1">
                  <c:v>44.526582944867585</c:v>
                </c:pt>
                <c:pt idx="2">
                  <c:v>42.092552495945526</c:v>
                </c:pt>
                <c:pt idx="3">
                  <c:v>39.658522047023467</c:v>
                </c:pt>
                <c:pt idx="4">
                  <c:v>37.224491598101409</c:v>
                </c:pt>
                <c:pt idx="5">
                  <c:v>34.79046114917935</c:v>
                </c:pt>
                <c:pt idx="6">
                  <c:v>32.356430700257278</c:v>
                </c:pt>
                <c:pt idx="7">
                  <c:v>29.922400251335219</c:v>
                </c:pt>
                <c:pt idx="8">
                  <c:v>27.48836980241316</c:v>
                </c:pt>
                <c:pt idx="9">
                  <c:v>25.054339353491102</c:v>
                </c:pt>
                <c:pt idx="10">
                  <c:v>22.620308904569043</c:v>
                </c:pt>
                <c:pt idx="11">
                  <c:v>20.186278455646985</c:v>
                </c:pt>
                <c:pt idx="12">
                  <c:v>17.752248006724912</c:v>
                </c:pt>
                <c:pt idx="13">
                  <c:v>15.318217557802853</c:v>
                </c:pt>
                <c:pt idx="14">
                  <c:v>12.884187108880795</c:v>
                </c:pt>
                <c:pt idx="15">
                  <c:v>10.450156659958736</c:v>
                </c:pt>
                <c:pt idx="16">
                  <c:v>8.0161262110366778</c:v>
                </c:pt>
                <c:pt idx="17">
                  <c:v>5.5820957621146192</c:v>
                </c:pt>
                <c:pt idx="18">
                  <c:v>3.1480653131925465</c:v>
                </c:pt>
                <c:pt idx="19">
                  <c:v>0.7140348642704879</c:v>
                </c:pt>
                <c:pt idx="20">
                  <c:v>-1.7199955846515707</c:v>
                </c:pt>
              </c:numCache>
            </c:numRef>
          </c:yVal>
        </c:ser>
        <c:ser>
          <c:idx val="1"/>
          <c:order val="1"/>
          <c:tx>
            <c:strRef>
              <c:f>'Dut 12'!$P$2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12'!$P$33:$P$53</c:f>
              <c:numCache>
                <c:formatCode>0.0</c:formatCode>
                <c:ptCount val="21"/>
                <c:pt idx="0">
                  <c:v>47.323621236367948</c:v>
                </c:pt>
                <c:pt idx="1">
                  <c:v>47.222079480796587</c:v>
                </c:pt>
                <c:pt idx="2">
                  <c:v>47.120537725225226</c:v>
                </c:pt>
                <c:pt idx="3">
                  <c:v>47.018995969653865</c:v>
                </c:pt>
                <c:pt idx="4">
                  <c:v>46.917454214082504</c:v>
                </c:pt>
                <c:pt idx="5">
                  <c:v>46.815912458511143</c:v>
                </c:pt>
                <c:pt idx="6">
                  <c:v>46.714370702939782</c:v>
                </c:pt>
                <c:pt idx="7">
                  <c:v>46.612828947368421</c:v>
                </c:pt>
                <c:pt idx="8">
                  <c:v>46.511287191797059</c:v>
                </c:pt>
                <c:pt idx="9">
                  <c:v>46.409745436225698</c:v>
                </c:pt>
                <c:pt idx="10">
                  <c:v>46.308203680654337</c:v>
                </c:pt>
                <c:pt idx="11">
                  <c:v>46.206661925082976</c:v>
                </c:pt>
                <c:pt idx="12">
                  <c:v>46.105120169511615</c:v>
                </c:pt>
                <c:pt idx="13">
                  <c:v>46.003578413940254</c:v>
                </c:pt>
                <c:pt idx="14">
                  <c:v>45.902036658368893</c:v>
                </c:pt>
                <c:pt idx="15">
                  <c:v>45.800494902797539</c:v>
                </c:pt>
                <c:pt idx="16">
                  <c:v>45.698953147226177</c:v>
                </c:pt>
                <c:pt idx="17">
                  <c:v>45.597411391654816</c:v>
                </c:pt>
                <c:pt idx="18">
                  <c:v>45.495869636083455</c:v>
                </c:pt>
                <c:pt idx="19">
                  <c:v>45.394327880512094</c:v>
                </c:pt>
                <c:pt idx="20">
                  <c:v>45.292786124940733</c:v>
                </c:pt>
              </c:numCache>
            </c:numRef>
          </c:yVal>
        </c:ser>
        <c:ser>
          <c:idx val="2"/>
          <c:order val="2"/>
          <c:tx>
            <c:strRef>
              <c:f>'Dut 12'!$Q$2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12'!$Q$33:$Q$53</c:f>
              <c:numCache>
                <c:formatCode>0.0</c:formatCode>
                <c:ptCount val="21"/>
                <c:pt idx="0">
                  <c:v>49.232360547885264</c:v>
                </c:pt>
                <c:pt idx="1">
                  <c:v>48.876603923958648</c:v>
                </c:pt>
                <c:pt idx="2">
                  <c:v>48.520847300032031</c:v>
                </c:pt>
                <c:pt idx="3">
                  <c:v>48.165090676105422</c:v>
                </c:pt>
                <c:pt idx="4">
                  <c:v>47.809334052178798</c:v>
                </c:pt>
                <c:pt idx="5">
                  <c:v>47.453577428252188</c:v>
                </c:pt>
                <c:pt idx="6">
                  <c:v>47.097820804325572</c:v>
                </c:pt>
                <c:pt idx="7">
                  <c:v>46.742064180398955</c:v>
                </c:pt>
                <c:pt idx="8">
                  <c:v>46.386307556472339</c:v>
                </c:pt>
                <c:pt idx="9">
                  <c:v>46.030550932545722</c:v>
                </c:pt>
                <c:pt idx="10">
                  <c:v>45.674794308619113</c:v>
                </c:pt>
                <c:pt idx="11">
                  <c:v>45.319037684692496</c:v>
                </c:pt>
                <c:pt idx="12">
                  <c:v>44.96328106076588</c:v>
                </c:pt>
                <c:pt idx="13">
                  <c:v>44.607524436839263</c:v>
                </c:pt>
                <c:pt idx="14">
                  <c:v>44.251767812912647</c:v>
                </c:pt>
                <c:pt idx="15">
                  <c:v>43.896011188986037</c:v>
                </c:pt>
                <c:pt idx="16">
                  <c:v>43.540254565059413</c:v>
                </c:pt>
                <c:pt idx="17">
                  <c:v>43.184497941132804</c:v>
                </c:pt>
                <c:pt idx="18">
                  <c:v>42.828741317206187</c:v>
                </c:pt>
                <c:pt idx="19">
                  <c:v>42.472984693279571</c:v>
                </c:pt>
                <c:pt idx="20">
                  <c:v>42.117228069352954</c:v>
                </c:pt>
              </c:numCache>
            </c:numRef>
          </c:yVal>
        </c:ser>
        <c:axId val="186996992"/>
        <c:axId val="187006976"/>
      </c:scatterChart>
      <c:valAx>
        <c:axId val="18699699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7006976"/>
        <c:crosses val="autoZero"/>
        <c:crossBetween val="midCat"/>
      </c:valAx>
      <c:valAx>
        <c:axId val="18700697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69969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13'!$K$12</c:f>
          <c:strCache>
            <c:ptCount val="1"/>
            <c:pt idx="0">
              <c:v>Compensation=36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13'!$O$2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13'!$O$33:$O$53</c:f>
              <c:numCache>
                <c:formatCode>0.0</c:formatCode>
                <c:ptCount val="21"/>
                <c:pt idx="0">
                  <c:v>63.376653516295036</c:v>
                </c:pt>
                <c:pt idx="1">
                  <c:v>61.148904230989146</c:v>
                </c:pt>
                <c:pt idx="2">
                  <c:v>58.921154945683256</c:v>
                </c:pt>
                <c:pt idx="3">
                  <c:v>56.693405660377366</c:v>
                </c:pt>
                <c:pt idx="4">
                  <c:v>54.465656375071475</c:v>
                </c:pt>
                <c:pt idx="5">
                  <c:v>52.237907089765585</c:v>
                </c:pt>
                <c:pt idx="6">
                  <c:v>50.010157804459695</c:v>
                </c:pt>
                <c:pt idx="7">
                  <c:v>47.782408519153805</c:v>
                </c:pt>
                <c:pt idx="8">
                  <c:v>45.554659233847914</c:v>
                </c:pt>
                <c:pt idx="9">
                  <c:v>43.326909948542024</c:v>
                </c:pt>
                <c:pt idx="10">
                  <c:v>41.099160663236134</c:v>
                </c:pt>
                <c:pt idx="11">
                  <c:v>38.871411377930244</c:v>
                </c:pt>
                <c:pt idx="12">
                  <c:v>36.643662092624353</c:v>
                </c:pt>
                <c:pt idx="13">
                  <c:v>34.415912807318463</c:v>
                </c:pt>
                <c:pt idx="14">
                  <c:v>32.188163522012573</c:v>
                </c:pt>
                <c:pt idx="15">
                  <c:v>29.960414236706683</c:v>
                </c:pt>
                <c:pt idx="16">
                  <c:v>27.732664951400793</c:v>
                </c:pt>
                <c:pt idx="17">
                  <c:v>25.504915666094902</c:v>
                </c:pt>
                <c:pt idx="18">
                  <c:v>23.277166380789026</c:v>
                </c:pt>
                <c:pt idx="19">
                  <c:v>21.049417095483136</c:v>
                </c:pt>
                <c:pt idx="20">
                  <c:v>18.821667810177246</c:v>
                </c:pt>
              </c:numCache>
            </c:numRef>
          </c:yVal>
        </c:ser>
        <c:ser>
          <c:idx val="1"/>
          <c:order val="1"/>
          <c:tx>
            <c:strRef>
              <c:f>'Dut 13'!$P$2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13'!$P$33:$P$53</c:f>
              <c:numCache>
                <c:formatCode>0.0</c:formatCode>
                <c:ptCount val="21"/>
                <c:pt idx="0">
                  <c:v>50.030675432006014</c:v>
                </c:pt>
                <c:pt idx="1">
                  <c:v>49.924831830703731</c:v>
                </c:pt>
                <c:pt idx="2">
                  <c:v>49.818988229401455</c:v>
                </c:pt>
                <c:pt idx="3">
                  <c:v>49.713144628099172</c:v>
                </c:pt>
                <c:pt idx="4">
                  <c:v>49.607301026796897</c:v>
                </c:pt>
                <c:pt idx="5">
                  <c:v>49.501457425494614</c:v>
                </c:pt>
                <c:pt idx="6">
                  <c:v>49.395613824192338</c:v>
                </c:pt>
                <c:pt idx="7">
                  <c:v>49.289770222890056</c:v>
                </c:pt>
                <c:pt idx="8">
                  <c:v>49.18392662158778</c:v>
                </c:pt>
                <c:pt idx="9">
                  <c:v>49.078083020285497</c:v>
                </c:pt>
                <c:pt idx="10">
                  <c:v>48.972239418983222</c:v>
                </c:pt>
                <c:pt idx="11">
                  <c:v>48.866395817680939</c:v>
                </c:pt>
                <c:pt idx="12">
                  <c:v>48.760552216378663</c:v>
                </c:pt>
                <c:pt idx="13">
                  <c:v>48.654708615076387</c:v>
                </c:pt>
                <c:pt idx="14">
                  <c:v>48.548865013774105</c:v>
                </c:pt>
                <c:pt idx="15">
                  <c:v>48.443021412471822</c:v>
                </c:pt>
                <c:pt idx="16">
                  <c:v>48.337177811169546</c:v>
                </c:pt>
                <c:pt idx="17">
                  <c:v>48.231334209867271</c:v>
                </c:pt>
                <c:pt idx="18">
                  <c:v>48.125490608564988</c:v>
                </c:pt>
                <c:pt idx="19">
                  <c:v>48.019647007262712</c:v>
                </c:pt>
                <c:pt idx="20">
                  <c:v>47.913803405960429</c:v>
                </c:pt>
              </c:numCache>
            </c:numRef>
          </c:yVal>
        </c:ser>
        <c:ser>
          <c:idx val="2"/>
          <c:order val="2"/>
          <c:tx>
            <c:strRef>
              <c:f>'Dut 13'!$Q$2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13'!$Q$33:$Q$53</c:f>
              <c:numCache>
                <c:formatCode>0.0</c:formatCode>
                <c:ptCount val="21"/>
                <c:pt idx="0">
                  <c:v>52.424630290399669</c:v>
                </c:pt>
                <c:pt idx="1">
                  <c:v>52.098614049491104</c:v>
                </c:pt>
                <c:pt idx="2">
                  <c:v>51.772597808582539</c:v>
                </c:pt>
                <c:pt idx="3">
                  <c:v>51.446581567673974</c:v>
                </c:pt>
                <c:pt idx="4">
                  <c:v>51.120565326765409</c:v>
                </c:pt>
                <c:pt idx="5">
                  <c:v>50.794549085856843</c:v>
                </c:pt>
                <c:pt idx="6">
                  <c:v>50.468532844948285</c:v>
                </c:pt>
                <c:pt idx="7">
                  <c:v>50.142516604039713</c:v>
                </c:pt>
                <c:pt idx="8">
                  <c:v>49.816500363131155</c:v>
                </c:pt>
                <c:pt idx="9">
                  <c:v>49.49048412222259</c:v>
                </c:pt>
                <c:pt idx="10">
                  <c:v>49.164467881314025</c:v>
                </c:pt>
                <c:pt idx="11">
                  <c:v>48.838451640405459</c:v>
                </c:pt>
                <c:pt idx="12">
                  <c:v>48.512435399496894</c:v>
                </c:pt>
                <c:pt idx="13">
                  <c:v>48.186419158588329</c:v>
                </c:pt>
                <c:pt idx="14">
                  <c:v>47.860402917679764</c:v>
                </c:pt>
                <c:pt idx="15">
                  <c:v>47.534386676771199</c:v>
                </c:pt>
                <c:pt idx="16">
                  <c:v>47.208370435862633</c:v>
                </c:pt>
                <c:pt idx="17">
                  <c:v>46.882354194954075</c:v>
                </c:pt>
                <c:pt idx="18">
                  <c:v>46.556337954045503</c:v>
                </c:pt>
                <c:pt idx="19">
                  <c:v>46.230321713136945</c:v>
                </c:pt>
                <c:pt idx="20">
                  <c:v>45.904305472228373</c:v>
                </c:pt>
              </c:numCache>
            </c:numRef>
          </c:yVal>
        </c:ser>
        <c:axId val="187229696"/>
        <c:axId val="187231232"/>
      </c:scatterChart>
      <c:valAx>
        <c:axId val="187229696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7231232"/>
        <c:crosses val="autoZero"/>
        <c:crossBetween val="midCat"/>
      </c:valAx>
      <c:valAx>
        <c:axId val="18723123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72296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14'!$K$12</c:f>
          <c:strCache>
            <c:ptCount val="1"/>
            <c:pt idx="0">
              <c:v>Compensation=36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14'!$O$2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14'!$O$33:$O$53</c:f>
              <c:numCache>
                <c:formatCode>0.0</c:formatCode>
                <c:ptCount val="21"/>
                <c:pt idx="0">
                  <c:v>65.21566328175372</c:v>
                </c:pt>
                <c:pt idx="1">
                  <c:v>62.928741537717613</c:v>
                </c:pt>
                <c:pt idx="2">
                  <c:v>60.641819793681506</c:v>
                </c:pt>
                <c:pt idx="3">
                  <c:v>58.354898049645399</c:v>
                </c:pt>
                <c:pt idx="4">
                  <c:v>56.067976305609292</c:v>
                </c:pt>
                <c:pt idx="5">
                  <c:v>53.781054561573185</c:v>
                </c:pt>
                <c:pt idx="6">
                  <c:v>51.494132817537078</c:v>
                </c:pt>
                <c:pt idx="7">
                  <c:v>49.207211073500972</c:v>
                </c:pt>
                <c:pt idx="8">
                  <c:v>46.920289329464879</c:v>
                </c:pt>
                <c:pt idx="9">
                  <c:v>44.633367585428772</c:v>
                </c:pt>
                <c:pt idx="10">
                  <c:v>42.346445841392665</c:v>
                </c:pt>
                <c:pt idx="11">
                  <c:v>40.059524097356558</c:v>
                </c:pt>
                <c:pt idx="12">
                  <c:v>37.772602353320451</c:v>
                </c:pt>
                <c:pt idx="13">
                  <c:v>35.485680609284344</c:v>
                </c:pt>
                <c:pt idx="14">
                  <c:v>33.198758865248237</c:v>
                </c:pt>
                <c:pt idx="15">
                  <c:v>30.91183712121213</c:v>
                </c:pt>
                <c:pt idx="16">
                  <c:v>28.624915377176023</c:v>
                </c:pt>
                <c:pt idx="17">
                  <c:v>26.337993633139916</c:v>
                </c:pt>
                <c:pt idx="18">
                  <c:v>24.05107188910381</c:v>
                </c:pt>
                <c:pt idx="19">
                  <c:v>21.764150145067717</c:v>
                </c:pt>
                <c:pt idx="20">
                  <c:v>19.47722840103161</c:v>
                </c:pt>
              </c:numCache>
            </c:numRef>
          </c:yVal>
        </c:ser>
        <c:ser>
          <c:idx val="1"/>
          <c:order val="1"/>
          <c:tx>
            <c:strRef>
              <c:f>'Dut 14'!$P$2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14'!$P$33:$P$53</c:f>
              <c:numCache>
                <c:formatCode>0.0</c:formatCode>
                <c:ptCount val="21"/>
                <c:pt idx="0">
                  <c:v>50.578466861525406</c:v>
                </c:pt>
                <c:pt idx="1">
                  <c:v>50.490088560793438</c:v>
                </c:pt>
                <c:pt idx="2">
                  <c:v>50.401710260061463</c:v>
                </c:pt>
                <c:pt idx="3">
                  <c:v>50.313331959329496</c:v>
                </c:pt>
                <c:pt idx="4">
                  <c:v>50.224953658597528</c:v>
                </c:pt>
                <c:pt idx="5">
                  <c:v>50.13657535786556</c:v>
                </c:pt>
                <c:pt idx="6">
                  <c:v>50.048197057133592</c:v>
                </c:pt>
                <c:pt idx="7">
                  <c:v>49.959818756401617</c:v>
                </c:pt>
                <c:pt idx="8">
                  <c:v>49.871440455669649</c:v>
                </c:pt>
                <c:pt idx="9">
                  <c:v>49.783062154937681</c:v>
                </c:pt>
                <c:pt idx="10">
                  <c:v>49.694683854205714</c:v>
                </c:pt>
                <c:pt idx="11">
                  <c:v>49.606305553473746</c:v>
                </c:pt>
                <c:pt idx="12">
                  <c:v>49.517927252741771</c:v>
                </c:pt>
                <c:pt idx="13">
                  <c:v>49.429548952009803</c:v>
                </c:pt>
                <c:pt idx="14">
                  <c:v>49.341170651277835</c:v>
                </c:pt>
                <c:pt idx="15">
                  <c:v>49.252792350545867</c:v>
                </c:pt>
                <c:pt idx="16">
                  <c:v>49.1644140498139</c:v>
                </c:pt>
                <c:pt idx="17">
                  <c:v>49.076035749081925</c:v>
                </c:pt>
                <c:pt idx="18">
                  <c:v>48.987657448349957</c:v>
                </c:pt>
                <c:pt idx="19">
                  <c:v>48.899279147617989</c:v>
                </c:pt>
                <c:pt idx="20">
                  <c:v>48.810900846886021</c:v>
                </c:pt>
              </c:numCache>
            </c:numRef>
          </c:yVal>
        </c:ser>
        <c:ser>
          <c:idx val="2"/>
          <c:order val="2"/>
          <c:tx>
            <c:strRef>
              <c:f>'Dut 14'!$Q$2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14'!$Q$33:$Q$53</c:f>
              <c:numCache>
                <c:formatCode>0.0</c:formatCode>
                <c:ptCount val="21"/>
                <c:pt idx="0">
                  <c:v>54.745400246434023</c:v>
                </c:pt>
                <c:pt idx="1">
                  <c:v>54.394157634233451</c:v>
                </c:pt>
                <c:pt idx="2">
                  <c:v>54.042915022032879</c:v>
                </c:pt>
                <c:pt idx="3">
                  <c:v>53.691672409832307</c:v>
                </c:pt>
                <c:pt idx="4">
                  <c:v>53.340429797631735</c:v>
                </c:pt>
                <c:pt idx="5">
                  <c:v>52.989187185431163</c:v>
                </c:pt>
                <c:pt idx="6">
                  <c:v>52.637944573230591</c:v>
                </c:pt>
                <c:pt idx="7">
                  <c:v>52.286701961030019</c:v>
                </c:pt>
                <c:pt idx="8">
                  <c:v>51.935459348829447</c:v>
                </c:pt>
                <c:pt idx="9">
                  <c:v>51.584216736628875</c:v>
                </c:pt>
                <c:pt idx="10">
                  <c:v>51.232974124428303</c:v>
                </c:pt>
                <c:pt idx="11">
                  <c:v>50.881731512227731</c:v>
                </c:pt>
                <c:pt idx="12">
                  <c:v>50.530488900027159</c:v>
                </c:pt>
                <c:pt idx="13">
                  <c:v>50.179246287826587</c:v>
                </c:pt>
                <c:pt idx="14">
                  <c:v>49.828003675626015</c:v>
                </c:pt>
                <c:pt idx="15">
                  <c:v>49.476761063425442</c:v>
                </c:pt>
                <c:pt idx="16">
                  <c:v>49.12551845122487</c:v>
                </c:pt>
                <c:pt idx="17">
                  <c:v>48.774275839024298</c:v>
                </c:pt>
                <c:pt idx="18">
                  <c:v>48.423033226823726</c:v>
                </c:pt>
                <c:pt idx="19">
                  <c:v>48.071790614623154</c:v>
                </c:pt>
                <c:pt idx="20">
                  <c:v>47.720548002422582</c:v>
                </c:pt>
              </c:numCache>
            </c:numRef>
          </c:yVal>
        </c:ser>
        <c:axId val="187761408"/>
        <c:axId val="187762944"/>
      </c:scatterChart>
      <c:valAx>
        <c:axId val="18776140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7762944"/>
        <c:crosses val="autoZero"/>
        <c:crossBetween val="midCat"/>
      </c:valAx>
      <c:valAx>
        <c:axId val="18776294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77614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15'!$K$12</c:f>
          <c:strCache>
            <c:ptCount val="1"/>
            <c:pt idx="0">
              <c:v>Compensation=33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15'!$O$2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15'!$O$33:$O$53</c:f>
              <c:numCache>
                <c:formatCode>0.0</c:formatCode>
                <c:ptCount val="21"/>
                <c:pt idx="0">
                  <c:v>52.128988711194722</c:v>
                </c:pt>
                <c:pt idx="1">
                  <c:v>49.963295860771396</c:v>
                </c:pt>
                <c:pt idx="2">
                  <c:v>47.79760301034807</c:v>
                </c:pt>
                <c:pt idx="3">
                  <c:v>45.631910159924743</c:v>
                </c:pt>
                <c:pt idx="4">
                  <c:v>43.466217309501417</c:v>
                </c:pt>
                <c:pt idx="5">
                  <c:v>41.300524459078076</c:v>
                </c:pt>
                <c:pt idx="6">
                  <c:v>39.13483160865475</c:v>
                </c:pt>
                <c:pt idx="7">
                  <c:v>36.969138758231423</c:v>
                </c:pt>
                <c:pt idx="8">
                  <c:v>34.803445907808083</c:v>
                </c:pt>
                <c:pt idx="9">
                  <c:v>32.637753057384757</c:v>
                </c:pt>
                <c:pt idx="10">
                  <c:v>30.47206020696143</c:v>
                </c:pt>
                <c:pt idx="11">
                  <c:v>28.306367356538104</c:v>
                </c:pt>
                <c:pt idx="12">
                  <c:v>26.140674506114777</c:v>
                </c:pt>
                <c:pt idx="13">
                  <c:v>23.974981655691437</c:v>
                </c:pt>
                <c:pt idx="14">
                  <c:v>21.80928880526811</c:v>
                </c:pt>
                <c:pt idx="15">
                  <c:v>19.643595954844784</c:v>
                </c:pt>
                <c:pt idx="16">
                  <c:v>17.477903104421443</c:v>
                </c:pt>
                <c:pt idx="17">
                  <c:v>15.312210253998117</c:v>
                </c:pt>
                <c:pt idx="18">
                  <c:v>13.146517403574791</c:v>
                </c:pt>
                <c:pt idx="19">
                  <c:v>10.980824553151464</c:v>
                </c:pt>
                <c:pt idx="20">
                  <c:v>8.815131702728138</c:v>
                </c:pt>
              </c:numCache>
            </c:numRef>
          </c:yVal>
        </c:ser>
        <c:ser>
          <c:idx val="1"/>
          <c:order val="1"/>
          <c:tx>
            <c:strRef>
              <c:f>'Dut 15'!$P$2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15'!$P$33:$P$53</c:f>
              <c:numCache>
                <c:formatCode>0.0</c:formatCode>
                <c:ptCount val="21"/>
                <c:pt idx="0">
                  <c:v>46.175042080573945</c:v>
                </c:pt>
                <c:pt idx="1">
                  <c:v>46.09044902041942</c:v>
                </c:pt>
                <c:pt idx="2">
                  <c:v>46.005855960264896</c:v>
                </c:pt>
                <c:pt idx="3">
                  <c:v>45.921262900110371</c:v>
                </c:pt>
                <c:pt idx="4">
                  <c:v>45.836669839955846</c:v>
                </c:pt>
                <c:pt idx="5">
                  <c:v>45.752076779801314</c:v>
                </c:pt>
                <c:pt idx="6">
                  <c:v>45.667483719646789</c:v>
                </c:pt>
                <c:pt idx="7">
                  <c:v>45.582890659492264</c:v>
                </c:pt>
                <c:pt idx="8">
                  <c:v>45.498297599337739</c:v>
                </c:pt>
                <c:pt idx="9">
                  <c:v>45.413704539183215</c:v>
                </c:pt>
                <c:pt idx="10">
                  <c:v>45.32911147902869</c:v>
                </c:pt>
                <c:pt idx="11">
                  <c:v>45.244518418874165</c:v>
                </c:pt>
                <c:pt idx="12">
                  <c:v>45.15992535871964</c:v>
                </c:pt>
                <c:pt idx="13">
                  <c:v>45.075332298565115</c:v>
                </c:pt>
                <c:pt idx="14">
                  <c:v>44.99073923841059</c:v>
                </c:pt>
                <c:pt idx="15">
                  <c:v>44.906146178256066</c:v>
                </c:pt>
                <c:pt idx="16">
                  <c:v>44.821553118101541</c:v>
                </c:pt>
                <c:pt idx="17">
                  <c:v>44.736960057947016</c:v>
                </c:pt>
                <c:pt idx="18">
                  <c:v>44.652366997792484</c:v>
                </c:pt>
                <c:pt idx="19">
                  <c:v>44.567773937637959</c:v>
                </c:pt>
                <c:pt idx="20">
                  <c:v>44.483180877483434</c:v>
                </c:pt>
              </c:numCache>
            </c:numRef>
          </c:yVal>
        </c:ser>
        <c:ser>
          <c:idx val="2"/>
          <c:order val="2"/>
          <c:tx>
            <c:strRef>
              <c:f>'Dut 15'!$Q$2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15'!$Q$33:$Q$53</c:f>
              <c:numCache>
                <c:formatCode>0.0</c:formatCode>
                <c:ptCount val="21"/>
                <c:pt idx="0">
                  <c:v>47.480143387902004</c:v>
                </c:pt>
                <c:pt idx="1">
                  <c:v>47.151073087193765</c:v>
                </c:pt>
                <c:pt idx="2">
                  <c:v>46.822002786485541</c:v>
                </c:pt>
                <c:pt idx="3">
                  <c:v>46.492932485777303</c:v>
                </c:pt>
                <c:pt idx="4">
                  <c:v>46.163862185069078</c:v>
                </c:pt>
                <c:pt idx="5">
                  <c:v>45.83479188436084</c:v>
                </c:pt>
                <c:pt idx="6">
                  <c:v>45.505721583652608</c:v>
                </c:pt>
                <c:pt idx="7">
                  <c:v>45.176651282944377</c:v>
                </c:pt>
                <c:pt idx="8">
                  <c:v>44.847580982236146</c:v>
                </c:pt>
                <c:pt idx="9">
                  <c:v>44.518510681527914</c:v>
                </c:pt>
                <c:pt idx="10">
                  <c:v>44.189440380819683</c:v>
                </c:pt>
                <c:pt idx="11">
                  <c:v>43.860370080111451</c:v>
                </c:pt>
                <c:pt idx="12">
                  <c:v>43.53129977940322</c:v>
                </c:pt>
                <c:pt idx="13">
                  <c:v>43.202229478694989</c:v>
                </c:pt>
                <c:pt idx="14">
                  <c:v>42.873159177986757</c:v>
                </c:pt>
                <c:pt idx="15">
                  <c:v>42.544088877278526</c:v>
                </c:pt>
                <c:pt idx="16">
                  <c:v>42.215018576570294</c:v>
                </c:pt>
                <c:pt idx="17">
                  <c:v>41.885948275862063</c:v>
                </c:pt>
                <c:pt idx="18">
                  <c:v>41.556877975153832</c:v>
                </c:pt>
                <c:pt idx="19">
                  <c:v>41.2278076744456</c:v>
                </c:pt>
                <c:pt idx="20">
                  <c:v>40.898737373737362</c:v>
                </c:pt>
              </c:numCache>
            </c:numRef>
          </c:yVal>
        </c:ser>
        <c:axId val="187895808"/>
        <c:axId val="187897344"/>
      </c:scatterChart>
      <c:valAx>
        <c:axId val="18789580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7897344"/>
        <c:crosses val="autoZero"/>
        <c:crossBetween val="midCat"/>
      </c:valAx>
      <c:valAx>
        <c:axId val="18789734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7895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16'!$K$12</c:f>
          <c:strCache>
            <c:ptCount val="1"/>
            <c:pt idx="0">
              <c:v>Compensation=31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16'!$O$2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16'!$O$33:$O$53</c:f>
              <c:numCache>
                <c:formatCode>0.0</c:formatCode>
                <c:ptCount val="21"/>
                <c:pt idx="0">
                  <c:v>56.079639816068124</c:v>
                </c:pt>
                <c:pt idx="1">
                  <c:v>53.548112522279496</c:v>
                </c:pt>
                <c:pt idx="2">
                  <c:v>51.016585228490882</c:v>
                </c:pt>
                <c:pt idx="3">
                  <c:v>48.485057934702269</c:v>
                </c:pt>
                <c:pt idx="4">
                  <c:v>45.953530640913641</c:v>
                </c:pt>
                <c:pt idx="5">
                  <c:v>43.422003347125028</c:v>
                </c:pt>
                <c:pt idx="6">
                  <c:v>40.8904760533364</c:v>
                </c:pt>
                <c:pt idx="7">
                  <c:v>38.358948759547786</c:v>
                </c:pt>
                <c:pt idx="8">
                  <c:v>35.827421465759173</c:v>
                </c:pt>
                <c:pt idx="9">
                  <c:v>33.295894171970545</c:v>
                </c:pt>
                <c:pt idx="10">
                  <c:v>30.764366878181931</c:v>
                </c:pt>
                <c:pt idx="11">
                  <c:v>28.232839584393304</c:v>
                </c:pt>
                <c:pt idx="12">
                  <c:v>25.70131229060469</c:v>
                </c:pt>
                <c:pt idx="13">
                  <c:v>23.169784996816077</c:v>
                </c:pt>
                <c:pt idx="14">
                  <c:v>20.638257703027449</c:v>
                </c:pt>
                <c:pt idx="15">
                  <c:v>18.106730409238835</c:v>
                </c:pt>
                <c:pt idx="16">
                  <c:v>15.575203115450208</c:v>
                </c:pt>
                <c:pt idx="17">
                  <c:v>13.043675821661594</c:v>
                </c:pt>
                <c:pt idx="18">
                  <c:v>10.512148527872966</c:v>
                </c:pt>
                <c:pt idx="19">
                  <c:v>7.980621234084353</c:v>
                </c:pt>
                <c:pt idx="20">
                  <c:v>5.4490939402957395</c:v>
                </c:pt>
              </c:numCache>
            </c:numRef>
          </c:yVal>
        </c:ser>
        <c:ser>
          <c:idx val="1"/>
          <c:order val="1"/>
          <c:tx>
            <c:strRef>
              <c:f>'Dut 16'!$P$2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16'!$P$33:$P$53</c:f>
              <c:numCache>
                <c:formatCode>0.0</c:formatCode>
                <c:ptCount val="21"/>
                <c:pt idx="0">
                  <c:v>51.514620254504649</c:v>
                </c:pt>
                <c:pt idx="1">
                  <c:v>51.403276235646182</c:v>
                </c:pt>
                <c:pt idx="2">
                  <c:v>51.291932216787707</c:v>
                </c:pt>
                <c:pt idx="3">
                  <c:v>51.180588197929239</c:v>
                </c:pt>
                <c:pt idx="4">
                  <c:v>51.069244179070772</c:v>
                </c:pt>
                <c:pt idx="5">
                  <c:v>50.957900160212297</c:v>
                </c:pt>
                <c:pt idx="6">
                  <c:v>50.84655614135383</c:v>
                </c:pt>
                <c:pt idx="7">
                  <c:v>50.735212122495362</c:v>
                </c:pt>
                <c:pt idx="8">
                  <c:v>50.623868103636887</c:v>
                </c:pt>
                <c:pt idx="9">
                  <c:v>50.51252408477842</c:v>
                </c:pt>
                <c:pt idx="10">
                  <c:v>50.401180065919952</c:v>
                </c:pt>
                <c:pt idx="11">
                  <c:v>50.289836047061478</c:v>
                </c:pt>
                <c:pt idx="12">
                  <c:v>50.17849202820301</c:v>
                </c:pt>
                <c:pt idx="13">
                  <c:v>50.067148009344542</c:v>
                </c:pt>
                <c:pt idx="14">
                  <c:v>49.955803990486068</c:v>
                </c:pt>
                <c:pt idx="15">
                  <c:v>49.8444599716276</c:v>
                </c:pt>
                <c:pt idx="16">
                  <c:v>49.733115952769133</c:v>
                </c:pt>
                <c:pt idx="17">
                  <c:v>49.621771933910658</c:v>
                </c:pt>
                <c:pt idx="18">
                  <c:v>49.51042791505219</c:v>
                </c:pt>
                <c:pt idx="19">
                  <c:v>49.399083896193723</c:v>
                </c:pt>
                <c:pt idx="20">
                  <c:v>49.287739877335248</c:v>
                </c:pt>
              </c:numCache>
            </c:numRef>
          </c:yVal>
        </c:ser>
        <c:ser>
          <c:idx val="2"/>
          <c:order val="2"/>
          <c:tx>
            <c:strRef>
              <c:f>'Dut 16'!$Q$2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16'!$Q$33:$Q$53</c:f>
              <c:numCache>
                <c:formatCode>0.0</c:formatCode>
                <c:ptCount val="21"/>
                <c:pt idx="0">
                  <c:v>54.002105526113887</c:v>
                </c:pt>
                <c:pt idx="1">
                  <c:v>53.622635000505575</c:v>
                </c:pt>
                <c:pt idx="2">
                  <c:v>53.243164474897263</c:v>
                </c:pt>
                <c:pt idx="3">
                  <c:v>52.863693949288951</c:v>
                </c:pt>
                <c:pt idx="4">
                  <c:v>52.484223423680632</c:v>
                </c:pt>
                <c:pt idx="5">
                  <c:v>52.10475289807232</c:v>
                </c:pt>
                <c:pt idx="6">
                  <c:v>51.725282372464008</c:v>
                </c:pt>
                <c:pt idx="7">
                  <c:v>51.345811846855696</c:v>
                </c:pt>
                <c:pt idx="8">
                  <c:v>50.966341321247384</c:v>
                </c:pt>
                <c:pt idx="9">
                  <c:v>50.586870795639072</c:v>
                </c:pt>
                <c:pt idx="10">
                  <c:v>50.20740027003076</c:v>
                </c:pt>
                <c:pt idx="11">
                  <c:v>49.827929744422448</c:v>
                </c:pt>
                <c:pt idx="12">
                  <c:v>49.448459218814136</c:v>
                </c:pt>
                <c:pt idx="13">
                  <c:v>49.068988693205824</c:v>
                </c:pt>
                <c:pt idx="14">
                  <c:v>48.689518167597512</c:v>
                </c:pt>
                <c:pt idx="15">
                  <c:v>48.3100476419892</c:v>
                </c:pt>
                <c:pt idx="16">
                  <c:v>47.930577116380888</c:v>
                </c:pt>
                <c:pt idx="17">
                  <c:v>47.551106590772569</c:v>
                </c:pt>
                <c:pt idx="18">
                  <c:v>47.171636065164257</c:v>
                </c:pt>
                <c:pt idx="19">
                  <c:v>46.792165539555945</c:v>
                </c:pt>
                <c:pt idx="20">
                  <c:v>46.412695013947634</c:v>
                </c:pt>
              </c:numCache>
            </c:numRef>
          </c:yVal>
        </c:ser>
        <c:axId val="188034432"/>
        <c:axId val="188040320"/>
      </c:scatterChart>
      <c:valAx>
        <c:axId val="18803443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8040320"/>
        <c:crosses val="autoZero"/>
        <c:crossBetween val="midCat"/>
      </c:valAx>
      <c:valAx>
        <c:axId val="18804032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80344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17'!$K$12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17'!$O$2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17'!$O$33:$O$53</c:f>
              <c:numCache>
                <c:formatCode>0.0</c:formatCode>
                <c:ptCount val="21"/>
                <c:pt idx="0">
                  <c:v>62.734103739798897</c:v>
                </c:pt>
                <c:pt idx="1">
                  <c:v>60.574126524880299</c:v>
                </c:pt>
                <c:pt idx="2">
                  <c:v>58.414149309961715</c:v>
                </c:pt>
                <c:pt idx="3">
                  <c:v>56.254172095043131</c:v>
                </c:pt>
                <c:pt idx="4">
                  <c:v>54.094194880124533</c:v>
                </c:pt>
                <c:pt idx="5">
                  <c:v>51.934217665205949</c:v>
                </c:pt>
                <c:pt idx="6">
                  <c:v>49.774240450287365</c:v>
                </c:pt>
                <c:pt idx="7">
                  <c:v>47.614263235368767</c:v>
                </c:pt>
                <c:pt idx="8">
                  <c:v>45.454286020450184</c:v>
                </c:pt>
                <c:pt idx="9">
                  <c:v>43.2943088055316</c:v>
                </c:pt>
                <c:pt idx="10">
                  <c:v>41.134331590613016</c:v>
                </c:pt>
                <c:pt idx="11">
                  <c:v>38.974354375694418</c:v>
                </c:pt>
                <c:pt idx="12">
                  <c:v>36.814377160775834</c:v>
                </c:pt>
                <c:pt idx="13">
                  <c:v>34.65439994585725</c:v>
                </c:pt>
                <c:pt idx="14">
                  <c:v>32.494422730938652</c:v>
                </c:pt>
                <c:pt idx="15">
                  <c:v>30.334445516020068</c:v>
                </c:pt>
                <c:pt idx="16">
                  <c:v>28.174468301101484</c:v>
                </c:pt>
                <c:pt idx="17">
                  <c:v>26.014491086182886</c:v>
                </c:pt>
                <c:pt idx="18">
                  <c:v>23.854513871264302</c:v>
                </c:pt>
                <c:pt idx="19">
                  <c:v>21.694536656345718</c:v>
                </c:pt>
                <c:pt idx="20">
                  <c:v>19.53455944142712</c:v>
                </c:pt>
              </c:numCache>
            </c:numRef>
          </c:yVal>
        </c:ser>
        <c:ser>
          <c:idx val="1"/>
          <c:order val="1"/>
          <c:tx>
            <c:strRef>
              <c:f>'Dut 17'!$P$2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17'!$P$33:$P$53</c:f>
              <c:numCache>
                <c:formatCode>0.0</c:formatCode>
                <c:ptCount val="21"/>
                <c:pt idx="0">
                  <c:v>48.855483190110057</c:v>
                </c:pt>
                <c:pt idx="1">
                  <c:v>48.760852806673704</c:v>
                </c:pt>
                <c:pt idx="2">
                  <c:v>48.66622242323735</c:v>
                </c:pt>
                <c:pt idx="3">
                  <c:v>48.57159203980099</c:v>
                </c:pt>
                <c:pt idx="4">
                  <c:v>48.476961656364637</c:v>
                </c:pt>
                <c:pt idx="5">
                  <c:v>48.382331272928283</c:v>
                </c:pt>
                <c:pt idx="6">
                  <c:v>48.28770088949193</c:v>
                </c:pt>
                <c:pt idx="7">
                  <c:v>48.193070506055577</c:v>
                </c:pt>
                <c:pt idx="8">
                  <c:v>48.098440122619223</c:v>
                </c:pt>
                <c:pt idx="9">
                  <c:v>48.00380973918287</c:v>
                </c:pt>
                <c:pt idx="10">
                  <c:v>47.909179355746517</c:v>
                </c:pt>
                <c:pt idx="11">
                  <c:v>47.814548972310163</c:v>
                </c:pt>
                <c:pt idx="12">
                  <c:v>47.71991858887381</c:v>
                </c:pt>
                <c:pt idx="13">
                  <c:v>47.625288205437457</c:v>
                </c:pt>
                <c:pt idx="14">
                  <c:v>47.530657822001103</c:v>
                </c:pt>
                <c:pt idx="15">
                  <c:v>47.43602743856475</c:v>
                </c:pt>
                <c:pt idx="16">
                  <c:v>47.341397055128397</c:v>
                </c:pt>
                <c:pt idx="17">
                  <c:v>47.246766671692043</c:v>
                </c:pt>
                <c:pt idx="18">
                  <c:v>47.15213628825569</c:v>
                </c:pt>
                <c:pt idx="19">
                  <c:v>47.057505904819337</c:v>
                </c:pt>
                <c:pt idx="20">
                  <c:v>46.962875521382983</c:v>
                </c:pt>
              </c:numCache>
            </c:numRef>
          </c:yVal>
        </c:ser>
        <c:ser>
          <c:idx val="2"/>
          <c:order val="2"/>
          <c:tx>
            <c:strRef>
              <c:f>'Dut 17'!$Q$2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17'!$Q$33:$Q$53</c:f>
              <c:numCache>
                <c:formatCode>0.0</c:formatCode>
                <c:ptCount val="21"/>
                <c:pt idx="0">
                  <c:v>51.214436547259119</c:v>
                </c:pt>
                <c:pt idx="1">
                  <c:v>50.890371941599525</c:v>
                </c:pt>
                <c:pt idx="2">
                  <c:v>50.566307335939939</c:v>
                </c:pt>
                <c:pt idx="3">
                  <c:v>50.242242730280353</c:v>
                </c:pt>
                <c:pt idx="4">
                  <c:v>49.918178124620759</c:v>
                </c:pt>
                <c:pt idx="5">
                  <c:v>49.594113518961166</c:v>
                </c:pt>
                <c:pt idx="6">
                  <c:v>49.270048913301579</c:v>
                </c:pt>
                <c:pt idx="7">
                  <c:v>48.945984307641986</c:v>
                </c:pt>
                <c:pt idx="8">
                  <c:v>48.621919701982392</c:v>
                </c:pt>
                <c:pt idx="9">
                  <c:v>48.297855096322806</c:v>
                </c:pt>
                <c:pt idx="10">
                  <c:v>47.973790490663212</c:v>
                </c:pt>
                <c:pt idx="11">
                  <c:v>47.649725885003626</c:v>
                </c:pt>
                <c:pt idx="12">
                  <c:v>47.325661279344033</c:v>
                </c:pt>
                <c:pt idx="13">
                  <c:v>47.001596673684446</c:v>
                </c:pt>
                <c:pt idx="14">
                  <c:v>46.677532068024853</c:v>
                </c:pt>
                <c:pt idx="15">
                  <c:v>46.353467462365259</c:v>
                </c:pt>
                <c:pt idx="16">
                  <c:v>46.029402856705673</c:v>
                </c:pt>
                <c:pt idx="17">
                  <c:v>45.705338251046079</c:v>
                </c:pt>
                <c:pt idx="18">
                  <c:v>45.381273645386486</c:v>
                </c:pt>
                <c:pt idx="19">
                  <c:v>45.057209039726899</c:v>
                </c:pt>
                <c:pt idx="20">
                  <c:v>44.733144434067313</c:v>
                </c:pt>
              </c:numCache>
            </c:numRef>
          </c:yVal>
        </c:ser>
        <c:axId val="188189312"/>
        <c:axId val="188203392"/>
      </c:scatterChart>
      <c:valAx>
        <c:axId val="18818931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8203392"/>
        <c:crosses val="autoZero"/>
        <c:crossBetween val="midCat"/>
      </c:valAx>
      <c:valAx>
        <c:axId val="18820339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81893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18'!$K$12</c:f>
          <c:strCache>
            <c:ptCount val="1"/>
            <c:pt idx="0">
              <c:v>Compensation=36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18'!$O$2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18'!$O$33:$O$53</c:f>
              <c:numCache>
                <c:formatCode>0.0</c:formatCode>
                <c:ptCount val="21"/>
                <c:pt idx="0">
                  <c:v>63.221104226786608</c:v>
                </c:pt>
                <c:pt idx="1">
                  <c:v>60.97557290782548</c:v>
                </c:pt>
                <c:pt idx="2">
                  <c:v>58.730041588864353</c:v>
                </c:pt>
                <c:pt idx="3">
                  <c:v>56.484510269903225</c:v>
                </c:pt>
                <c:pt idx="4">
                  <c:v>54.238978950942098</c:v>
                </c:pt>
                <c:pt idx="5">
                  <c:v>51.99344763198097</c:v>
                </c:pt>
                <c:pt idx="6">
                  <c:v>49.747916313019843</c:v>
                </c:pt>
                <c:pt idx="7">
                  <c:v>47.502384994058716</c:v>
                </c:pt>
                <c:pt idx="8">
                  <c:v>45.256853675097588</c:v>
                </c:pt>
                <c:pt idx="9">
                  <c:v>43.011322356136461</c:v>
                </c:pt>
                <c:pt idx="10">
                  <c:v>40.765791037175333</c:v>
                </c:pt>
                <c:pt idx="11">
                  <c:v>38.520259718214206</c:v>
                </c:pt>
                <c:pt idx="12">
                  <c:v>36.274728399253078</c:v>
                </c:pt>
                <c:pt idx="13">
                  <c:v>34.029197080291951</c:v>
                </c:pt>
                <c:pt idx="14">
                  <c:v>31.783665761330823</c:v>
                </c:pt>
                <c:pt idx="15">
                  <c:v>29.538134442369696</c:v>
                </c:pt>
                <c:pt idx="16">
                  <c:v>27.292603123408568</c:v>
                </c:pt>
                <c:pt idx="17">
                  <c:v>25.047071804447441</c:v>
                </c:pt>
                <c:pt idx="18">
                  <c:v>22.801540485486328</c:v>
                </c:pt>
                <c:pt idx="19">
                  <c:v>20.5560091665252</c:v>
                </c:pt>
                <c:pt idx="20">
                  <c:v>18.310477847564073</c:v>
                </c:pt>
              </c:numCache>
            </c:numRef>
          </c:yVal>
        </c:ser>
        <c:ser>
          <c:idx val="1"/>
          <c:order val="1"/>
          <c:tx>
            <c:strRef>
              <c:f>'Dut 18'!$P$2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18'!$P$33:$P$53</c:f>
              <c:numCache>
                <c:formatCode>0.0</c:formatCode>
                <c:ptCount val="21"/>
                <c:pt idx="0">
                  <c:v>49.653557965551244</c:v>
                </c:pt>
                <c:pt idx="1">
                  <c:v>49.545409731485243</c:v>
                </c:pt>
                <c:pt idx="2">
                  <c:v>49.437261497419243</c:v>
                </c:pt>
                <c:pt idx="3">
                  <c:v>49.32911326335325</c:v>
                </c:pt>
                <c:pt idx="4">
                  <c:v>49.22096502928725</c:v>
                </c:pt>
                <c:pt idx="5">
                  <c:v>49.112816795221249</c:v>
                </c:pt>
                <c:pt idx="6">
                  <c:v>49.004668561155256</c:v>
                </c:pt>
                <c:pt idx="7">
                  <c:v>48.896520327089256</c:v>
                </c:pt>
                <c:pt idx="8">
                  <c:v>48.788372093023256</c:v>
                </c:pt>
                <c:pt idx="9">
                  <c:v>48.680223858957262</c:v>
                </c:pt>
                <c:pt idx="10">
                  <c:v>48.572075624891262</c:v>
                </c:pt>
                <c:pt idx="11">
                  <c:v>48.463927390825262</c:v>
                </c:pt>
                <c:pt idx="12">
                  <c:v>48.355779156759269</c:v>
                </c:pt>
                <c:pt idx="13">
                  <c:v>48.247630922693268</c:v>
                </c:pt>
                <c:pt idx="14">
                  <c:v>48.139482688627268</c:v>
                </c:pt>
                <c:pt idx="15">
                  <c:v>48.031334454561275</c:v>
                </c:pt>
                <c:pt idx="16">
                  <c:v>47.923186220495275</c:v>
                </c:pt>
                <c:pt idx="17">
                  <c:v>47.815037986429274</c:v>
                </c:pt>
                <c:pt idx="18">
                  <c:v>47.706889752363281</c:v>
                </c:pt>
                <c:pt idx="19">
                  <c:v>47.598741518297281</c:v>
                </c:pt>
                <c:pt idx="20">
                  <c:v>47.490593284231281</c:v>
                </c:pt>
              </c:numCache>
            </c:numRef>
          </c:yVal>
        </c:ser>
        <c:ser>
          <c:idx val="2"/>
          <c:order val="2"/>
          <c:tx>
            <c:strRef>
              <c:f>'Dut 18'!$Q$2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18'!$Q$33:$Q$53</c:f>
              <c:numCache>
                <c:formatCode>0.0</c:formatCode>
                <c:ptCount val="21"/>
                <c:pt idx="0">
                  <c:v>53.352546110665592</c:v>
                </c:pt>
                <c:pt idx="1">
                  <c:v>53.009843624699272</c:v>
                </c:pt>
                <c:pt idx="2">
                  <c:v>52.667141138732958</c:v>
                </c:pt>
                <c:pt idx="3">
                  <c:v>52.324438652766638</c:v>
                </c:pt>
                <c:pt idx="4">
                  <c:v>51.981736166800317</c:v>
                </c:pt>
                <c:pt idx="5">
                  <c:v>51.639033680834004</c:v>
                </c:pt>
                <c:pt idx="6">
                  <c:v>51.296331194867676</c:v>
                </c:pt>
                <c:pt idx="7">
                  <c:v>50.953628708901363</c:v>
                </c:pt>
                <c:pt idx="8">
                  <c:v>50.610926222935042</c:v>
                </c:pt>
                <c:pt idx="9">
                  <c:v>50.268223736968721</c:v>
                </c:pt>
                <c:pt idx="10">
                  <c:v>49.925521251002408</c:v>
                </c:pt>
                <c:pt idx="11">
                  <c:v>49.582818765036087</c:v>
                </c:pt>
                <c:pt idx="12">
                  <c:v>49.240116279069767</c:v>
                </c:pt>
                <c:pt idx="13">
                  <c:v>48.897413793103446</c:v>
                </c:pt>
                <c:pt idx="14">
                  <c:v>48.554711307137126</c:v>
                </c:pt>
                <c:pt idx="15">
                  <c:v>48.212008821170812</c:v>
                </c:pt>
                <c:pt idx="16">
                  <c:v>47.869306335204492</c:v>
                </c:pt>
                <c:pt idx="17">
                  <c:v>47.526603849238171</c:v>
                </c:pt>
                <c:pt idx="18">
                  <c:v>47.18390136327185</c:v>
                </c:pt>
                <c:pt idx="19">
                  <c:v>46.84119887730553</c:v>
                </c:pt>
                <c:pt idx="20">
                  <c:v>46.498496391339216</c:v>
                </c:pt>
              </c:numCache>
            </c:numRef>
          </c:yVal>
        </c:ser>
        <c:axId val="188352384"/>
        <c:axId val="188353920"/>
      </c:scatterChart>
      <c:valAx>
        <c:axId val="18835238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8353920"/>
        <c:crosses val="autoZero"/>
        <c:crossBetween val="midCat"/>
      </c:valAx>
      <c:valAx>
        <c:axId val="18835392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83523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19'!$K$12</c:f>
          <c:strCache>
            <c:ptCount val="1"/>
            <c:pt idx="0">
              <c:v>Compensation=28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19'!$O$2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19'!$N$33:$N$53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19'!$O$33:$O$53</c:f>
              <c:numCache>
                <c:formatCode>0.0</c:formatCode>
                <c:ptCount val="21"/>
                <c:pt idx="0">
                  <c:v>45.591782760782095</c:v>
                </c:pt>
                <c:pt idx="1">
                  <c:v>43.395243005708664</c:v>
                </c:pt>
                <c:pt idx="2">
                  <c:v>41.198703250635234</c:v>
                </c:pt>
                <c:pt idx="3">
                  <c:v>39.002163495561803</c:v>
                </c:pt>
                <c:pt idx="4">
                  <c:v>36.805623740488372</c:v>
                </c:pt>
                <c:pt idx="5">
                  <c:v>34.609083985414941</c:v>
                </c:pt>
                <c:pt idx="6">
                  <c:v>32.41254423034151</c:v>
                </c:pt>
                <c:pt idx="7">
                  <c:v>30.216004475268079</c:v>
                </c:pt>
                <c:pt idx="8">
                  <c:v>28.019464720194648</c:v>
                </c:pt>
                <c:pt idx="9">
                  <c:v>25.822924965121217</c:v>
                </c:pt>
                <c:pt idx="10">
                  <c:v>23.626385210047786</c:v>
                </c:pt>
                <c:pt idx="11">
                  <c:v>21.42984545497437</c:v>
                </c:pt>
                <c:pt idx="12">
                  <c:v>19.233305699900939</c:v>
                </c:pt>
                <c:pt idx="13">
                  <c:v>17.036765944827508</c:v>
                </c:pt>
                <c:pt idx="14">
                  <c:v>14.840226189754077</c:v>
                </c:pt>
                <c:pt idx="15">
                  <c:v>12.643686434680646</c:v>
                </c:pt>
                <c:pt idx="16">
                  <c:v>10.447146679607215</c:v>
                </c:pt>
                <c:pt idx="17">
                  <c:v>8.2506069245337841</c:v>
                </c:pt>
                <c:pt idx="18">
                  <c:v>6.0540671694603532</c:v>
                </c:pt>
                <c:pt idx="19">
                  <c:v>3.8575274143869223</c:v>
                </c:pt>
                <c:pt idx="20">
                  <c:v>1.6609876593134913</c:v>
                </c:pt>
              </c:numCache>
            </c:numRef>
          </c:yVal>
        </c:ser>
        <c:ser>
          <c:idx val="1"/>
          <c:order val="1"/>
          <c:tx>
            <c:strRef>
              <c:f>'Dut 19'!$P$2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19'!$N$33:$N$53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19'!$P$33:$P$53</c:f>
              <c:numCache>
                <c:formatCode>0.0</c:formatCode>
                <c:ptCount val="21"/>
                <c:pt idx="0">
                  <c:v>49.251701914272005</c:v>
                </c:pt>
                <c:pt idx="1">
                  <c:v>49.169682698876436</c:v>
                </c:pt>
                <c:pt idx="2">
                  <c:v>49.08766348348086</c:v>
                </c:pt>
                <c:pt idx="3">
                  <c:v>49.005644268085291</c:v>
                </c:pt>
                <c:pt idx="4">
                  <c:v>48.923625052689715</c:v>
                </c:pt>
                <c:pt idx="5">
                  <c:v>48.841605837294146</c:v>
                </c:pt>
                <c:pt idx="6">
                  <c:v>48.759586621898571</c:v>
                </c:pt>
                <c:pt idx="7">
                  <c:v>48.677567406503002</c:v>
                </c:pt>
                <c:pt idx="8">
                  <c:v>48.595548191107426</c:v>
                </c:pt>
                <c:pt idx="9">
                  <c:v>48.51352897571185</c:v>
                </c:pt>
                <c:pt idx="10">
                  <c:v>48.431509760316281</c:v>
                </c:pt>
                <c:pt idx="11">
                  <c:v>48.349490544920705</c:v>
                </c:pt>
                <c:pt idx="12">
                  <c:v>48.267471329525137</c:v>
                </c:pt>
                <c:pt idx="13">
                  <c:v>48.185452114129561</c:v>
                </c:pt>
                <c:pt idx="14">
                  <c:v>48.103432898733992</c:v>
                </c:pt>
                <c:pt idx="15">
                  <c:v>48.021413683338416</c:v>
                </c:pt>
                <c:pt idx="16">
                  <c:v>47.939394467942847</c:v>
                </c:pt>
                <c:pt idx="17">
                  <c:v>47.857375252547271</c:v>
                </c:pt>
                <c:pt idx="18">
                  <c:v>47.775356037151703</c:v>
                </c:pt>
                <c:pt idx="19">
                  <c:v>47.693336821756127</c:v>
                </c:pt>
                <c:pt idx="20">
                  <c:v>47.611317606360558</c:v>
                </c:pt>
              </c:numCache>
            </c:numRef>
          </c:yVal>
        </c:ser>
        <c:ser>
          <c:idx val="2"/>
          <c:order val="2"/>
          <c:tx>
            <c:strRef>
              <c:f>'Dut 19'!$Q$2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19'!$N$33:$N$53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19'!$Q$33:$Q$53</c:f>
              <c:numCache>
                <c:formatCode>0.0</c:formatCode>
                <c:ptCount val="21"/>
                <c:pt idx="0">
                  <c:v>49.961213318215613</c:v>
                </c:pt>
                <c:pt idx="1">
                  <c:v>49.634784145910288</c:v>
                </c:pt>
                <c:pt idx="2">
                  <c:v>49.308354973604956</c:v>
                </c:pt>
                <c:pt idx="3">
                  <c:v>48.981925801299631</c:v>
                </c:pt>
                <c:pt idx="4">
                  <c:v>48.6554966289943</c:v>
                </c:pt>
                <c:pt idx="5">
                  <c:v>48.329067456688975</c:v>
                </c:pt>
                <c:pt idx="6">
                  <c:v>48.002638284383643</c:v>
                </c:pt>
                <c:pt idx="7">
                  <c:v>47.676209112078311</c:v>
                </c:pt>
                <c:pt idx="8">
                  <c:v>47.349779939772986</c:v>
                </c:pt>
                <c:pt idx="9">
                  <c:v>47.023350767467655</c:v>
                </c:pt>
                <c:pt idx="10">
                  <c:v>46.69692159516233</c:v>
                </c:pt>
                <c:pt idx="11">
                  <c:v>46.370492422856998</c:v>
                </c:pt>
                <c:pt idx="12">
                  <c:v>46.044063250551673</c:v>
                </c:pt>
                <c:pt idx="13">
                  <c:v>45.717634078246341</c:v>
                </c:pt>
                <c:pt idx="14">
                  <c:v>45.391204905941009</c:v>
                </c:pt>
                <c:pt idx="15">
                  <c:v>45.064775733635685</c:v>
                </c:pt>
                <c:pt idx="16">
                  <c:v>44.73834656133036</c:v>
                </c:pt>
                <c:pt idx="17">
                  <c:v>44.411917389025028</c:v>
                </c:pt>
                <c:pt idx="18">
                  <c:v>44.085488216719696</c:v>
                </c:pt>
                <c:pt idx="19">
                  <c:v>43.759059044414371</c:v>
                </c:pt>
                <c:pt idx="20">
                  <c:v>43.432629872109047</c:v>
                </c:pt>
              </c:numCache>
            </c:numRef>
          </c:yVal>
        </c:ser>
        <c:axId val="188490880"/>
        <c:axId val="188492416"/>
      </c:scatterChart>
      <c:valAx>
        <c:axId val="18849088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8492416"/>
        <c:crosses val="autoZero"/>
        <c:crossBetween val="midCat"/>
      </c:valAx>
      <c:valAx>
        <c:axId val="18849241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84908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20'!$K$12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20'!$O$2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20'!$O$33:$O$53</c:f>
              <c:numCache>
                <c:formatCode>0.0</c:formatCode>
                <c:ptCount val="21"/>
                <c:pt idx="0">
                  <c:v>65.125923742051867</c:v>
                </c:pt>
                <c:pt idx="1">
                  <c:v>62.800240405418279</c:v>
                </c:pt>
                <c:pt idx="2">
                  <c:v>60.474557068784691</c:v>
                </c:pt>
                <c:pt idx="3">
                  <c:v>58.148873732151102</c:v>
                </c:pt>
                <c:pt idx="4">
                  <c:v>55.823190395517514</c:v>
                </c:pt>
                <c:pt idx="5">
                  <c:v>53.497507058883912</c:v>
                </c:pt>
                <c:pt idx="6">
                  <c:v>51.171823722250323</c:v>
                </c:pt>
                <c:pt idx="7">
                  <c:v>48.846140385616735</c:v>
                </c:pt>
                <c:pt idx="8">
                  <c:v>46.520457048983147</c:v>
                </c:pt>
                <c:pt idx="9">
                  <c:v>44.194773712349559</c:v>
                </c:pt>
                <c:pt idx="10">
                  <c:v>41.869090375715956</c:v>
                </c:pt>
                <c:pt idx="11">
                  <c:v>39.543407039082368</c:v>
                </c:pt>
                <c:pt idx="12">
                  <c:v>37.217723702448779</c:v>
                </c:pt>
                <c:pt idx="13">
                  <c:v>34.892040365815191</c:v>
                </c:pt>
                <c:pt idx="14">
                  <c:v>32.566357029181603</c:v>
                </c:pt>
                <c:pt idx="15">
                  <c:v>30.240673692548015</c:v>
                </c:pt>
                <c:pt idx="16">
                  <c:v>27.914990355914412</c:v>
                </c:pt>
                <c:pt idx="17">
                  <c:v>25.589307019280824</c:v>
                </c:pt>
                <c:pt idx="18">
                  <c:v>23.263623682647236</c:v>
                </c:pt>
                <c:pt idx="19">
                  <c:v>20.937940346013647</c:v>
                </c:pt>
                <c:pt idx="20">
                  <c:v>18.612257009380059</c:v>
                </c:pt>
              </c:numCache>
            </c:numRef>
          </c:yVal>
        </c:ser>
        <c:ser>
          <c:idx val="1"/>
          <c:order val="1"/>
          <c:tx>
            <c:strRef>
              <c:f>'Dut 20'!$P$2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20'!$P$33:$P$53</c:f>
              <c:numCache>
                <c:formatCode>0.0</c:formatCode>
                <c:ptCount val="21"/>
                <c:pt idx="0">
                  <c:v>48.404168862728497</c:v>
                </c:pt>
                <c:pt idx="1">
                  <c:v>48.298793993370133</c:v>
                </c:pt>
                <c:pt idx="2">
                  <c:v>48.193419124011768</c:v>
                </c:pt>
                <c:pt idx="3">
                  <c:v>48.088044254653404</c:v>
                </c:pt>
                <c:pt idx="4">
                  <c:v>47.98266938529504</c:v>
                </c:pt>
                <c:pt idx="5">
                  <c:v>47.877294515936676</c:v>
                </c:pt>
                <c:pt idx="6">
                  <c:v>47.771919646578311</c:v>
                </c:pt>
                <c:pt idx="7">
                  <c:v>47.666544777219947</c:v>
                </c:pt>
                <c:pt idx="8">
                  <c:v>47.561169907861583</c:v>
                </c:pt>
                <c:pt idx="9">
                  <c:v>47.455795038503211</c:v>
                </c:pt>
                <c:pt idx="10">
                  <c:v>47.350420169144847</c:v>
                </c:pt>
                <c:pt idx="11">
                  <c:v>47.245045299786483</c:v>
                </c:pt>
                <c:pt idx="12">
                  <c:v>47.139670430428119</c:v>
                </c:pt>
                <c:pt idx="13">
                  <c:v>47.034295561069754</c:v>
                </c:pt>
                <c:pt idx="14">
                  <c:v>46.92892069171139</c:v>
                </c:pt>
                <c:pt idx="15">
                  <c:v>46.823545822353026</c:v>
                </c:pt>
                <c:pt idx="16">
                  <c:v>46.718170952994662</c:v>
                </c:pt>
                <c:pt idx="17">
                  <c:v>46.612796083636297</c:v>
                </c:pt>
                <c:pt idx="18">
                  <c:v>46.507421214277926</c:v>
                </c:pt>
                <c:pt idx="19">
                  <c:v>46.402046344919562</c:v>
                </c:pt>
                <c:pt idx="20">
                  <c:v>46.296671475561197</c:v>
                </c:pt>
              </c:numCache>
            </c:numRef>
          </c:yVal>
        </c:ser>
        <c:ser>
          <c:idx val="2"/>
          <c:order val="2"/>
          <c:tx>
            <c:strRef>
              <c:f>'Dut 20'!$Q$2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20'!$Q$33:$Q$53</c:f>
              <c:numCache>
                <c:formatCode>0.0</c:formatCode>
                <c:ptCount val="21"/>
                <c:pt idx="0">
                  <c:v>52.086252397298907</c:v>
                </c:pt>
                <c:pt idx="1">
                  <c:v>51.750512901094297</c:v>
                </c:pt>
                <c:pt idx="2">
                  <c:v>51.414773404889687</c:v>
                </c:pt>
                <c:pt idx="3">
                  <c:v>51.079033908685069</c:v>
                </c:pt>
                <c:pt idx="4">
                  <c:v>50.743294412480459</c:v>
                </c:pt>
                <c:pt idx="5">
                  <c:v>50.407554916275842</c:v>
                </c:pt>
                <c:pt idx="6">
                  <c:v>50.071815420071232</c:v>
                </c:pt>
                <c:pt idx="7">
                  <c:v>49.736075923866622</c:v>
                </c:pt>
                <c:pt idx="8">
                  <c:v>49.400336427662012</c:v>
                </c:pt>
                <c:pt idx="9">
                  <c:v>49.064596931457395</c:v>
                </c:pt>
                <c:pt idx="10">
                  <c:v>48.728857435252785</c:v>
                </c:pt>
                <c:pt idx="11">
                  <c:v>48.393117939048167</c:v>
                </c:pt>
                <c:pt idx="12">
                  <c:v>48.057378442843557</c:v>
                </c:pt>
                <c:pt idx="13">
                  <c:v>47.721638946638947</c:v>
                </c:pt>
                <c:pt idx="14">
                  <c:v>47.385899450434337</c:v>
                </c:pt>
                <c:pt idx="15">
                  <c:v>47.05015995422972</c:v>
                </c:pt>
                <c:pt idx="16">
                  <c:v>46.71442045802511</c:v>
                </c:pt>
                <c:pt idx="17">
                  <c:v>46.378680961820493</c:v>
                </c:pt>
                <c:pt idx="18">
                  <c:v>46.042941465615883</c:v>
                </c:pt>
                <c:pt idx="19">
                  <c:v>45.707201969411273</c:v>
                </c:pt>
                <c:pt idx="20">
                  <c:v>45.371462473206662</c:v>
                </c:pt>
              </c:numCache>
            </c:numRef>
          </c:yVal>
        </c:ser>
        <c:axId val="188776832"/>
        <c:axId val="188778368"/>
      </c:scatterChart>
      <c:valAx>
        <c:axId val="18877683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8778368"/>
        <c:crosses val="autoZero"/>
        <c:crossBetween val="midCat"/>
      </c:valAx>
      <c:valAx>
        <c:axId val="188778368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87768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21'!$K$12</c:f>
          <c:strCache>
            <c:ptCount val="1"/>
            <c:pt idx="0">
              <c:v>Compensation=41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21'!$O$2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21'!$O$33:$O$53</c:f>
              <c:numCache>
                <c:formatCode>0.0</c:formatCode>
                <c:ptCount val="21"/>
                <c:pt idx="0">
                  <c:v>79.53762263630091</c:v>
                </c:pt>
                <c:pt idx="1">
                  <c:v>76.99295376121465</c:v>
                </c:pt>
                <c:pt idx="2">
                  <c:v>74.448284886128377</c:v>
                </c:pt>
                <c:pt idx="3">
                  <c:v>71.903616011042104</c:v>
                </c:pt>
                <c:pt idx="4">
                  <c:v>69.358947135955844</c:v>
                </c:pt>
                <c:pt idx="5">
                  <c:v>66.814278260869571</c:v>
                </c:pt>
                <c:pt idx="6">
                  <c:v>64.269609385783312</c:v>
                </c:pt>
                <c:pt idx="7">
                  <c:v>61.724940510697039</c:v>
                </c:pt>
                <c:pt idx="8">
                  <c:v>59.180271635610779</c:v>
                </c:pt>
                <c:pt idx="9">
                  <c:v>56.635602760524506</c:v>
                </c:pt>
                <c:pt idx="10">
                  <c:v>54.090933885438247</c:v>
                </c:pt>
                <c:pt idx="11">
                  <c:v>51.546265010351974</c:v>
                </c:pt>
                <c:pt idx="12">
                  <c:v>49.001596135265714</c:v>
                </c:pt>
                <c:pt idx="13">
                  <c:v>46.456927260179441</c:v>
                </c:pt>
                <c:pt idx="14">
                  <c:v>43.912258385093182</c:v>
                </c:pt>
                <c:pt idx="15">
                  <c:v>41.367589510006908</c:v>
                </c:pt>
                <c:pt idx="16">
                  <c:v>38.822920634920649</c:v>
                </c:pt>
                <c:pt idx="17">
                  <c:v>36.278251759834376</c:v>
                </c:pt>
                <c:pt idx="18">
                  <c:v>33.733582884748103</c:v>
                </c:pt>
                <c:pt idx="19">
                  <c:v>31.188914009661843</c:v>
                </c:pt>
                <c:pt idx="20">
                  <c:v>28.64424513457557</c:v>
                </c:pt>
              </c:numCache>
            </c:numRef>
          </c:yVal>
        </c:ser>
        <c:ser>
          <c:idx val="1"/>
          <c:order val="1"/>
          <c:tx>
            <c:strRef>
              <c:f>'Dut 21'!$P$2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21'!$P$33:$P$53</c:f>
              <c:numCache>
                <c:formatCode>0.0</c:formatCode>
                <c:ptCount val="21"/>
                <c:pt idx="0">
                  <c:v>52.207233398226258</c:v>
                </c:pt>
                <c:pt idx="1">
                  <c:v>52.085227966447952</c:v>
                </c:pt>
                <c:pt idx="2">
                  <c:v>51.96322253466964</c:v>
                </c:pt>
                <c:pt idx="3">
                  <c:v>51.841217102891335</c:v>
                </c:pt>
                <c:pt idx="4">
                  <c:v>51.71921167111303</c:v>
                </c:pt>
                <c:pt idx="5">
                  <c:v>51.597206239334724</c:v>
                </c:pt>
                <c:pt idx="6">
                  <c:v>51.475200807556419</c:v>
                </c:pt>
                <c:pt idx="7">
                  <c:v>51.353195375778114</c:v>
                </c:pt>
                <c:pt idx="8">
                  <c:v>51.231189943999802</c:v>
                </c:pt>
                <c:pt idx="9">
                  <c:v>51.109184512221496</c:v>
                </c:pt>
                <c:pt idx="10">
                  <c:v>50.987179080443191</c:v>
                </c:pt>
                <c:pt idx="11">
                  <c:v>50.865173648664886</c:v>
                </c:pt>
                <c:pt idx="12">
                  <c:v>50.743168216886581</c:v>
                </c:pt>
                <c:pt idx="13">
                  <c:v>50.621162785108268</c:v>
                </c:pt>
                <c:pt idx="14">
                  <c:v>50.499157353329963</c:v>
                </c:pt>
                <c:pt idx="15">
                  <c:v>50.377151921551658</c:v>
                </c:pt>
                <c:pt idx="16">
                  <c:v>50.255146489773352</c:v>
                </c:pt>
                <c:pt idx="17">
                  <c:v>50.133141057995047</c:v>
                </c:pt>
                <c:pt idx="18">
                  <c:v>50.011135626216742</c:v>
                </c:pt>
                <c:pt idx="19">
                  <c:v>49.889130194438437</c:v>
                </c:pt>
                <c:pt idx="20">
                  <c:v>49.767124762660124</c:v>
                </c:pt>
              </c:numCache>
            </c:numRef>
          </c:yVal>
        </c:ser>
        <c:ser>
          <c:idx val="2"/>
          <c:order val="2"/>
          <c:tx>
            <c:strRef>
              <c:f>'Dut 21'!$Q$2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21'!$Q$33:$Q$53</c:f>
              <c:numCache>
                <c:formatCode>0.0</c:formatCode>
                <c:ptCount val="21"/>
                <c:pt idx="0">
                  <c:v>56.473040058735378</c:v>
                </c:pt>
                <c:pt idx="1">
                  <c:v>56.09593428476601</c:v>
                </c:pt>
                <c:pt idx="2">
                  <c:v>55.718828510796648</c:v>
                </c:pt>
                <c:pt idx="3">
                  <c:v>55.341722736827279</c:v>
                </c:pt>
                <c:pt idx="4">
                  <c:v>54.964616962857917</c:v>
                </c:pt>
                <c:pt idx="5">
                  <c:v>54.587511188888548</c:v>
                </c:pt>
                <c:pt idx="6">
                  <c:v>54.210405414919187</c:v>
                </c:pt>
                <c:pt idx="7">
                  <c:v>53.833299640949818</c:v>
                </c:pt>
                <c:pt idx="8">
                  <c:v>53.456193866980456</c:v>
                </c:pt>
                <c:pt idx="9">
                  <c:v>53.079088093011094</c:v>
                </c:pt>
                <c:pt idx="10">
                  <c:v>52.701982319041726</c:v>
                </c:pt>
                <c:pt idx="11">
                  <c:v>52.324876545072357</c:v>
                </c:pt>
                <c:pt idx="12">
                  <c:v>51.947770771102995</c:v>
                </c:pt>
                <c:pt idx="13">
                  <c:v>51.570664997133633</c:v>
                </c:pt>
                <c:pt idx="14">
                  <c:v>51.193559223164264</c:v>
                </c:pt>
                <c:pt idx="15">
                  <c:v>50.816453449194896</c:v>
                </c:pt>
                <c:pt idx="16">
                  <c:v>50.439347675225534</c:v>
                </c:pt>
                <c:pt idx="17">
                  <c:v>50.062241901256172</c:v>
                </c:pt>
                <c:pt idx="18">
                  <c:v>49.685136127286803</c:v>
                </c:pt>
                <c:pt idx="19">
                  <c:v>49.308030353317434</c:v>
                </c:pt>
                <c:pt idx="20">
                  <c:v>48.930924579348073</c:v>
                </c:pt>
              </c:numCache>
            </c:numRef>
          </c:yVal>
        </c:ser>
        <c:axId val="188951552"/>
        <c:axId val="188973824"/>
      </c:scatterChart>
      <c:valAx>
        <c:axId val="18895155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8973824"/>
        <c:crosses val="autoZero"/>
        <c:crossBetween val="midCat"/>
      </c:valAx>
      <c:valAx>
        <c:axId val="18897382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89515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22'!$K$12</c:f>
          <c:strCache>
            <c:ptCount val="1"/>
            <c:pt idx="0">
              <c:v>Compensation=35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22'!$O$2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22'!$O$33:$O$53</c:f>
              <c:numCache>
                <c:formatCode>0.0</c:formatCode>
                <c:ptCount val="21"/>
                <c:pt idx="0">
                  <c:v>61.590969209078068</c:v>
                </c:pt>
                <c:pt idx="1">
                  <c:v>59.32186504146388</c:v>
                </c:pt>
                <c:pt idx="2">
                  <c:v>57.052760873849678</c:v>
                </c:pt>
                <c:pt idx="3">
                  <c:v>54.783656706235476</c:v>
                </c:pt>
                <c:pt idx="4">
                  <c:v>52.514552538621288</c:v>
                </c:pt>
                <c:pt idx="5">
                  <c:v>50.245448371007086</c:v>
                </c:pt>
                <c:pt idx="6">
                  <c:v>47.976344203392898</c:v>
                </c:pt>
                <c:pt idx="7">
                  <c:v>45.707240035778696</c:v>
                </c:pt>
                <c:pt idx="8">
                  <c:v>43.438135868164508</c:v>
                </c:pt>
                <c:pt idx="9">
                  <c:v>41.169031700550306</c:v>
                </c:pt>
                <c:pt idx="10">
                  <c:v>38.899927532936118</c:v>
                </c:pt>
                <c:pt idx="11">
                  <c:v>36.630823365321916</c:v>
                </c:pt>
                <c:pt idx="12">
                  <c:v>34.361719197707714</c:v>
                </c:pt>
                <c:pt idx="13">
                  <c:v>32.092615030093526</c:v>
                </c:pt>
                <c:pt idx="14">
                  <c:v>29.823510862479324</c:v>
                </c:pt>
                <c:pt idx="15">
                  <c:v>27.554406694865136</c:v>
                </c:pt>
                <c:pt idx="16">
                  <c:v>25.285302527250934</c:v>
                </c:pt>
                <c:pt idx="17">
                  <c:v>23.016198359636746</c:v>
                </c:pt>
                <c:pt idx="18">
                  <c:v>20.747094192022544</c:v>
                </c:pt>
                <c:pt idx="19">
                  <c:v>18.477990024408342</c:v>
                </c:pt>
                <c:pt idx="20">
                  <c:v>16.208885856794154</c:v>
                </c:pt>
              </c:numCache>
            </c:numRef>
          </c:yVal>
        </c:ser>
        <c:ser>
          <c:idx val="1"/>
          <c:order val="1"/>
          <c:tx>
            <c:strRef>
              <c:f>'Dut 22'!$P$2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22'!$P$33:$P$53</c:f>
              <c:numCache>
                <c:formatCode>0.0</c:formatCode>
                <c:ptCount val="21"/>
                <c:pt idx="0">
                  <c:v>50.041819544719289</c:v>
                </c:pt>
                <c:pt idx="1">
                  <c:v>49.947801580726178</c:v>
                </c:pt>
                <c:pt idx="2">
                  <c:v>49.853783616733068</c:v>
                </c:pt>
                <c:pt idx="3">
                  <c:v>49.759765652739958</c:v>
                </c:pt>
                <c:pt idx="4">
                  <c:v>49.665747688746855</c:v>
                </c:pt>
                <c:pt idx="5">
                  <c:v>49.571729724753745</c:v>
                </c:pt>
                <c:pt idx="6">
                  <c:v>49.477711760760634</c:v>
                </c:pt>
                <c:pt idx="7">
                  <c:v>49.383693796767524</c:v>
                </c:pt>
                <c:pt idx="8">
                  <c:v>49.289675832774414</c:v>
                </c:pt>
                <c:pt idx="9">
                  <c:v>49.195657868781311</c:v>
                </c:pt>
                <c:pt idx="10">
                  <c:v>49.1016399047882</c:v>
                </c:pt>
                <c:pt idx="11">
                  <c:v>49.00762194079509</c:v>
                </c:pt>
                <c:pt idx="12">
                  <c:v>48.91360397680198</c:v>
                </c:pt>
                <c:pt idx="13">
                  <c:v>48.81958601280887</c:v>
                </c:pt>
                <c:pt idx="14">
                  <c:v>48.725568048815759</c:v>
                </c:pt>
                <c:pt idx="15">
                  <c:v>48.631550084822649</c:v>
                </c:pt>
                <c:pt idx="16">
                  <c:v>48.537532120829546</c:v>
                </c:pt>
                <c:pt idx="17">
                  <c:v>48.443514156836436</c:v>
                </c:pt>
                <c:pt idx="18">
                  <c:v>48.349496192843326</c:v>
                </c:pt>
                <c:pt idx="19">
                  <c:v>48.255478228850215</c:v>
                </c:pt>
                <c:pt idx="20">
                  <c:v>48.161460264857105</c:v>
                </c:pt>
              </c:numCache>
            </c:numRef>
          </c:yVal>
        </c:ser>
        <c:ser>
          <c:idx val="2"/>
          <c:order val="2"/>
          <c:tx>
            <c:strRef>
              <c:f>'Dut 22'!$Q$2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22'!$Q$33:$Q$53</c:f>
              <c:numCache>
                <c:formatCode>0.0</c:formatCode>
                <c:ptCount val="21"/>
                <c:pt idx="0">
                  <c:v>53.030563206696591</c:v>
                </c:pt>
                <c:pt idx="1">
                  <c:v>52.6840205574442</c:v>
                </c:pt>
                <c:pt idx="2">
                  <c:v>52.337477908191808</c:v>
                </c:pt>
                <c:pt idx="3">
                  <c:v>51.990935258939416</c:v>
                </c:pt>
                <c:pt idx="4">
                  <c:v>51.644392609687017</c:v>
                </c:pt>
                <c:pt idx="5">
                  <c:v>51.297849960434625</c:v>
                </c:pt>
                <c:pt idx="6">
                  <c:v>50.951307311182234</c:v>
                </c:pt>
                <c:pt idx="7">
                  <c:v>50.604764661929835</c:v>
                </c:pt>
                <c:pt idx="8">
                  <c:v>50.258222012677443</c:v>
                </c:pt>
                <c:pt idx="9">
                  <c:v>49.911679363425051</c:v>
                </c:pt>
                <c:pt idx="10">
                  <c:v>49.565136714172652</c:v>
                </c:pt>
                <c:pt idx="11">
                  <c:v>49.218594064920261</c:v>
                </c:pt>
                <c:pt idx="12">
                  <c:v>48.872051415667869</c:v>
                </c:pt>
                <c:pt idx="13">
                  <c:v>48.52550876641547</c:v>
                </c:pt>
                <c:pt idx="14">
                  <c:v>48.178966117163078</c:v>
                </c:pt>
                <c:pt idx="15">
                  <c:v>47.832423467910687</c:v>
                </c:pt>
                <c:pt idx="16">
                  <c:v>47.485880818658295</c:v>
                </c:pt>
                <c:pt idx="17">
                  <c:v>47.139338169405903</c:v>
                </c:pt>
                <c:pt idx="18">
                  <c:v>46.792795520153504</c:v>
                </c:pt>
                <c:pt idx="19">
                  <c:v>46.446252870901112</c:v>
                </c:pt>
                <c:pt idx="20">
                  <c:v>46.099710221648721</c:v>
                </c:pt>
              </c:numCache>
            </c:numRef>
          </c:yVal>
        </c:ser>
        <c:axId val="189090048"/>
        <c:axId val="189095936"/>
      </c:scatterChart>
      <c:valAx>
        <c:axId val="18909004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9095936"/>
        <c:crosses val="autoZero"/>
        <c:crossBetween val="midCat"/>
      </c:valAx>
      <c:valAx>
        <c:axId val="18909593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90900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23'!$K$12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23'!$O$2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23'!$O$33:$O$53</c:f>
              <c:numCache>
                <c:formatCode>0.0</c:formatCode>
                <c:ptCount val="21"/>
                <c:pt idx="0">
                  <c:v>67.178973266108756</c:v>
                </c:pt>
                <c:pt idx="1">
                  <c:v>64.889990817263538</c:v>
                </c:pt>
                <c:pt idx="2">
                  <c:v>62.601008368418306</c:v>
                </c:pt>
                <c:pt idx="3">
                  <c:v>60.312025919573074</c:v>
                </c:pt>
                <c:pt idx="4">
                  <c:v>58.023043470727856</c:v>
                </c:pt>
                <c:pt idx="5">
                  <c:v>55.734061021882624</c:v>
                </c:pt>
                <c:pt idx="6">
                  <c:v>53.445078573037392</c:v>
                </c:pt>
                <c:pt idx="7">
                  <c:v>51.156096124192175</c:v>
                </c:pt>
                <c:pt idx="8">
                  <c:v>48.867113675346943</c:v>
                </c:pt>
                <c:pt idx="9">
                  <c:v>46.578131226501711</c:v>
                </c:pt>
                <c:pt idx="10">
                  <c:v>44.289148777656493</c:v>
                </c:pt>
                <c:pt idx="11">
                  <c:v>42.000166328811261</c:v>
                </c:pt>
                <c:pt idx="12">
                  <c:v>39.711183879966029</c:v>
                </c:pt>
                <c:pt idx="13">
                  <c:v>37.422201431120811</c:v>
                </c:pt>
                <c:pt idx="14">
                  <c:v>35.133218982275579</c:v>
                </c:pt>
                <c:pt idx="15">
                  <c:v>32.844236533430347</c:v>
                </c:pt>
                <c:pt idx="16">
                  <c:v>30.55525408458513</c:v>
                </c:pt>
                <c:pt idx="17">
                  <c:v>28.266271635739898</c:v>
                </c:pt>
                <c:pt idx="18">
                  <c:v>25.977289186894666</c:v>
                </c:pt>
                <c:pt idx="19">
                  <c:v>23.688306738049448</c:v>
                </c:pt>
                <c:pt idx="20">
                  <c:v>21.399324289204216</c:v>
                </c:pt>
              </c:numCache>
            </c:numRef>
          </c:yVal>
        </c:ser>
        <c:ser>
          <c:idx val="1"/>
          <c:order val="1"/>
          <c:tx>
            <c:strRef>
              <c:f>'Dut 23'!$P$2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23'!$P$33:$P$53</c:f>
              <c:numCache>
                <c:formatCode>0.0</c:formatCode>
                <c:ptCount val="21"/>
                <c:pt idx="0">
                  <c:v>50.378698175787726</c:v>
                </c:pt>
                <c:pt idx="1">
                  <c:v>50.283163349917082</c:v>
                </c:pt>
                <c:pt idx="2">
                  <c:v>50.187628524046431</c:v>
                </c:pt>
                <c:pt idx="3">
                  <c:v>50.092093698175788</c:v>
                </c:pt>
                <c:pt idx="4">
                  <c:v>49.996558872305137</c:v>
                </c:pt>
                <c:pt idx="5">
                  <c:v>49.901024046434493</c:v>
                </c:pt>
                <c:pt idx="6">
                  <c:v>49.805489220563842</c:v>
                </c:pt>
                <c:pt idx="7">
                  <c:v>49.709954394693199</c:v>
                </c:pt>
                <c:pt idx="8">
                  <c:v>49.614419568822555</c:v>
                </c:pt>
                <c:pt idx="9">
                  <c:v>49.518884742951904</c:v>
                </c:pt>
                <c:pt idx="10">
                  <c:v>49.423349917081261</c:v>
                </c:pt>
                <c:pt idx="11">
                  <c:v>49.32781509121061</c:v>
                </c:pt>
                <c:pt idx="12">
                  <c:v>49.232280265339966</c:v>
                </c:pt>
                <c:pt idx="13">
                  <c:v>49.136745439469323</c:v>
                </c:pt>
                <c:pt idx="14">
                  <c:v>49.041210613598672</c:v>
                </c:pt>
                <c:pt idx="15">
                  <c:v>48.945675787728028</c:v>
                </c:pt>
                <c:pt idx="16">
                  <c:v>48.850140961857377</c:v>
                </c:pt>
                <c:pt idx="17">
                  <c:v>48.754606135986734</c:v>
                </c:pt>
                <c:pt idx="18">
                  <c:v>48.659071310116083</c:v>
                </c:pt>
                <c:pt idx="19">
                  <c:v>48.563536484245439</c:v>
                </c:pt>
                <c:pt idx="20">
                  <c:v>48.468001658374789</c:v>
                </c:pt>
              </c:numCache>
            </c:numRef>
          </c:yVal>
        </c:ser>
        <c:ser>
          <c:idx val="2"/>
          <c:order val="2"/>
          <c:tx>
            <c:strRef>
              <c:f>'Dut 23'!$Q$2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23'!$Q$33:$Q$53</c:f>
              <c:numCache>
                <c:formatCode>0.0</c:formatCode>
                <c:ptCount val="21"/>
                <c:pt idx="0">
                  <c:v>54.26952263217953</c:v>
                </c:pt>
                <c:pt idx="1">
                  <c:v>53.922577500950929</c:v>
                </c:pt>
                <c:pt idx="2">
                  <c:v>53.575632369722328</c:v>
                </c:pt>
                <c:pt idx="3">
                  <c:v>53.22868723849372</c:v>
                </c:pt>
                <c:pt idx="4">
                  <c:v>52.881742107265119</c:v>
                </c:pt>
                <c:pt idx="5">
                  <c:v>52.534796976036517</c:v>
                </c:pt>
                <c:pt idx="6">
                  <c:v>52.187851844807909</c:v>
                </c:pt>
                <c:pt idx="7">
                  <c:v>51.840906713579308</c:v>
                </c:pt>
                <c:pt idx="8">
                  <c:v>51.493961582350707</c:v>
                </c:pt>
                <c:pt idx="9">
                  <c:v>51.147016451122099</c:v>
                </c:pt>
                <c:pt idx="10">
                  <c:v>50.800071319893497</c:v>
                </c:pt>
                <c:pt idx="11">
                  <c:v>50.453126188664889</c:v>
                </c:pt>
                <c:pt idx="12">
                  <c:v>50.106181057436288</c:v>
                </c:pt>
                <c:pt idx="13">
                  <c:v>49.75923592620768</c:v>
                </c:pt>
                <c:pt idx="14">
                  <c:v>49.412290794979079</c:v>
                </c:pt>
                <c:pt idx="15">
                  <c:v>49.065345663750477</c:v>
                </c:pt>
                <c:pt idx="16">
                  <c:v>48.718400532521869</c:v>
                </c:pt>
                <c:pt idx="17">
                  <c:v>48.371455401293268</c:v>
                </c:pt>
                <c:pt idx="18">
                  <c:v>48.024510270064667</c:v>
                </c:pt>
                <c:pt idx="19">
                  <c:v>47.677565138836059</c:v>
                </c:pt>
                <c:pt idx="20">
                  <c:v>47.330620007607457</c:v>
                </c:pt>
              </c:numCache>
            </c:numRef>
          </c:yVal>
        </c:ser>
        <c:axId val="189236736"/>
        <c:axId val="189238272"/>
      </c:scatterChart>
      <c:valAx>
        <c:axId val="189236736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9238272"/>
        <c:crosses val="autoZero"/>
        <c:crossBetween val="midCat"/>
      </c:valAx>
      <c:valAx>
        <c:axId val="18923827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92367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24'!$K$12</c:f>
          <c:strCache>
            <c:ptCount val="1"/>
            <c:pt idx="0">
              <c:v>Compensation=30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24'!$O$2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24'!$O$33:$O$53</c:f>
              <c:numCache>
                <c:formatCode>0.0</c:formatCode>
                <c:ptCount val="21"/>
                <c:pt idx="0">
                  <c:v>49.874909178049364</c:v>
                </c:pt>
                <c:pt idx="1">
                  <c:v>47.719477594057025</c:v>
                </c:pt>
                <c:pt idx="2">
                  <c:v>45.5640460100647</c:v>
                </c:pt>
                <c:pt idx="3">
                  <c:v>43.408614426072376</c:v>
                </c:pt>
                <c:pt idx="4">
                  <c:v>41.253182842080037</c:v>
                </c:pt>
                <c:pt idx="5">
                  <c:v>39.097751258087712</c:v>
                </c:pt>
                <c:pt idx="6">
                  <c:v>36.942319674095373</c:v>
                </c:pt>
                <c:pt idx="7">
                  <c:v>34.786888090103048</c:v>
                </c:pt>
                <c:pt idx="8">
                  <c:v>32.631456506110709</c:v>
                </c:pt>
                <c:pt idx="9">
                  <c:v>30.476024922118384</c:v>
                </c:pt>
                <c:pt idx="10">
                  <c:v>28.320593338126045</c:v>
                </c:pt>
                <c:pt idx="11">
                  <c:v>26.16516175413372</c:v>
                </c:pt>
                <c:pt idx="12">
                  <c:v>24.009730170141381</c:v>
                </c:pt>
                <c:pt idx="13">
                  <c:v>21.854298586149056</c:v>
                </c:pt>
                <c:pt idx="14">
                  <c:v>19.698867002156717</c:v>
                </c:pt>
                <c:pt idx="15">
                  <c:v>17.543435418164393</c:v>
                </c:pt>
                <c:pt idx="16">
                  <c:v>15.388003834172054</c:v>
                </c:pt>
                <c:pt idx="17">
                  <c:v>13.232572250179729</c:v>
                </c:pt>
                <c:pt idx="18">
                  <c:v>11.077140666187404</c:v>
                </c:pt>
                <c:pt idx="19">
                  <c:v>8.9217090821950649</c:v>
                </c:pt>
                <c:pt idx="20">
                  <c:v>6.76627749820274</c:v>
                </c:pt>
              </c:numCache>
            </c:numRef>
          </c:yVal>
        </c:ser>
        <c:ser>
          <c:idx val="1"/>
          <c:order val="1"/>
          <c:tx>
            <c:strRef>
              <c:f>'Dut 24'!$P$2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24'!$P$33:$P$53</c:f>
              <c:numCache>
                <c:formatCode>0.0</c:formatCode>
                <c:ptCount val="21"/>
                <c:pt idx="0">
                  <c:v>48.590211448325583</c:v>
                </c:pt>
                <c:pt idx="1">
                  <c:v>48.503352491640321</c:v>
                </c:pt>
                <c:pt idx="2">
                  <c:v>48.416493534955066</c:v>
                </c:pt>
                <c:pt idx="3">
                  <c:v>48.329634578269804</c:v>
                </c:pt>
                <c:pt idx="4">
                  <c:v>48.242775621584542</c:v>
                </c:pt>
                <c:pt idx="5">
                  <c:v>48.155916664899287</c:v>
                </c:pt>
                <c:pt idx="6">
                  <c:v>48.069057708214025</c:v>
                </c:pt>
                <c:pt idx="7">
                  <c:v>47.982198751528763</c:v>
                </c:pt>
                <c:pt idx="8">
                  <c:v>47.895339794843508</c:v>
                </c:pt>
                <c:pt idx="9">
                  <c:v>47.808480838158246</c:v>
                </c:pt>
                <c:pt idx="10">
                  <c:v>47.721621881472984</c:v>
                </c:pt>
                <c:pt idx="11">
                  <c:v>47.634762924787729</c:v>
                </c:pt>
                <c:pt idx="12">
                  <c:v>47.547903968102467</c:v>
                </c:pt>
                <c:pt idx="13">
                  <c:v>47.461045011417205</c:v>
                </c:pt>
                <c:pt idx="14">
                  <c:v>47.37418605473195</c:v>
                </c:pt>
                <c:pt idx="15">
                  <c:v>47.287327098046688</c:v>
                </c:pt>
                <c:pt idx="16">
                  <c:v>47.200468141361426</c:v>
                </c:pt>
                <c:pt idx="17">
                  <c:v>47.113609184676172</c:v>
                </c:pt>
                <c:pt idx="18">
                  <c:v>47.02675022799091</c:v>
                </c:pt>
                <c:pt idx="19">
                  <c:v>46.939891271305655</c:v>
                </c:pt>
                <c:pt idx="20">
                  <c:v>46.853032314620393</c:v>
                </c:pt>
              </c:numCache>
            </c:numRef>
          </c:yVal>
        </c:ser>
        <c:ser>
          <c:idx val="2"/>
          <c:order val="2"/>
          <c:tx>
            <c:strRef>
              <c:f>'Dut 24'!$Q$2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24'!$Q$33:$Q$53</c:f>
              <c:numCache>
                <c:formatCode>0.0</c:formatCode>
                <c:ptCount val="21"/>
                <c:pt idx="0">
                  <c:v>50.320937938179306</c:v>
                </c:pt>
                <c:pt idx="1">
                  <c:v>49.99312547818294</c:v>
                </c:pt>
                <c:pt idx="2">
                  <c:v>49.665313018186573</c:v>
                </c:pt>
                <c:pt idx="3">
                  <c:v>49.3375005581902</c:v>
                </c:pt>
                <c:pt idx="4">
                  <c:v>49.009688098193834</c:v>
                </c:pt>
                <c:pt idx="5">
                  <c:v>48.681875638197468</c:v>
                </c:pt>
                <c:pt idx="6">
                  <c:v>48.354063178201102</c:v>
                </c:pt>
                <c:pt idx="7">
                  <c:v>48.026250718204736</c:v>
                </c:pt>
                <c:pt idx="8">
                  <c:v>47.698438258208363</c:v>
                </c:pt>
                <c:pt idx="9">
                  <c:v>47.370625798211996</c:v>
                </c:pt>
                <c:pt idx="10">
                  <c:v>47.04281333821563</c:v>
                </c:pt>
                <c:pt idx="11">
                  <c:v>46.715000878219257</c:v>
                </c:pt>
                <c:pt idx="12">
                  <c:v>46.387188418222891</c:v>
                </c:pt>
                <c:pt idx="13">
                  <c:v>46.059375958226525</c:v>
                </c:pt>
                <c:pt idx="14">
                  <c:v>45.731563498230159</c:v>
                </c:pt>
                <c:pt idx="15">
                  <c:v>45.403751038233793</c:v>
                </c:pt>
                <c:pt idx="16">
                  <c:v>45.07593857823742</c:v>
                </c:pt>
                <c:pt idx="17">
                  <c:v>44.748126118241053</c:v>
                </c:pt>
                <c:pt idx="18">
                  <c:v>44.42031365824468</c:v>
                </c:pt>
                <c:pt idx="19">
                  <c:v>44.092501198248314</c:v>
                </c:pt>
                <c:pt idx="20">
                  <c:v>43.764688738251948</c:v>
                </c:pt>
              </c:numCache>
            </c:numRef>
          </c:yVal>
        </c:ser>
        <c:axId val="189465344"/>
        <c:axId val="189466880"/>
      </c:scatterChart>
      <c:valAx>
        <c:axId val="18946534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9466880"/>
        <c:crosses val="autoZero"/>
        <c:crossBetween val="midCat"/>
      </c:valAx>
      <c:valAx>
        <c:axId val="18946688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94653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25'!$K$12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25'!$O$2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25'!$O$33:$O$53</c:f>
              <c:numCache>
                <c:formatCode>0.0</c:formatCode>
                <c:ptCount val="21"/>
                <c:pt idx="0">
                  <c:v>62.038261309072517</c:v>
                </c:pt>
                <c:pt idx="1">
                  <c:v>59.999582596242938</c:v>
                </c:pt>
                <c:pt idx="2">
                  <c:v>57.960903883413351</c:v>
                </c:pt>
                <c:pt idx="3">
                  <c:v>55.922225170583772</c:v>
                </c:pt>
                <c:pt idx="4">
                  <c:v>53.883546457754179</c:v>
                </c:pt>
                <c:pt idx="5">
                  <c:v>51.844867744924599</c:v>
                </c:pt>
                <c:pt idx="6">
                  <c:v>49.80618903209502</c:v>
                </c:pt>
                <c:pt idx="7">
                  <c:v>47.767510319265426</c:v>
                </c:pt>
                <c:pt idx="8">
                  <c:v>45.728831606435847</c:v>
                </c:pt>
                <c:pt idx="9">
                  <c:v>43.690152893606268</c:v>
                </c:pt>
                <c:pt idx="10">
                  <c:v>41.651474180776674</c:v>
                </c:pt>
                <c:pt idx="11">
                  <c:v>39.612795467947095</c:v>
                </c:pt>
                <c:pt idx="12">
                  <c:v>37.574116755117515</c:v>
                </c:pt>
                <c:pt idx="13">
                  <c:v>35.535438042287922</c:v>
                </c:pt>
                <c:pt idx="14">
                  <c:v>33.496759329458342</c:v>
                </c:pt>
                <c:pt idx="15">
                  <c:v>31.458080616628763</c:v>
                </c:pt>
                <c:pt idx="16">
                  <c:v>29.419401903799169</c:v>
                </c:pt>
                <c:pt idx="17">
                  <c:v>27.38072319096959</c:v>
                </c:pt>
                <c:pt idx="18">
                  <c:v>25.342044478140011</c:v>
                </c:pt>
                <c:pt idx="19">
                  <c:v>23.303365765310417</c:v>
                </c:pt>
                <c:pt idx="20">
                  <c:v>21.264687052480838</c:v>
                </c:pt>
              </c:numCache>
            </c:numRef>
          </c:yVal>
        </c:ser>
        <c:ser>
          <c:idx val="1"/>
          <c:order val="1"/>
          <c:tx>
            <c:strRef>
              <c:f>'Dut 25'!$P$2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25'!$P$33:$P$53</c:f>
              <c:numCache>
                <c:formatCode>0.0</c:formatCode>
                <c:ptCount val="21"/>
                <c:pt idx="0">
                  <c:v>46.882284510396623</c:v>
                </c:pt>
                <c:pt idx="1">
                  <c:v>46.798843943696369</c:v>
                </c:pt>
                <c:pt idx="2">
                  <c:v>46.715403376996115</c:v>
                </c:pt>
                <c:pt idx="3">
                  <c:v>46.63196281029586</c:v>
                </c:pt>
                <c:pt idx="4">
                  <c:v>46.548522243595613</c:v>
                </c:pt>
                <c:pt idx="5">
                  <c:v>46.465081676895359</c:v>
                </c:pt>
                <c:pt idx="6">
                  <c:v>46.381641110195105</c:v>
                </c:pt>
                <c:pt idx="7">
                  <c:v>46.29820054349485</c:v>
                </c:pt>
                <c:pt idx="8">
                  <c:v>46.214759976794596</c:v>
                </c:pt>
                <c:pt idx="9">
                  <c:v>46.131319410094342</c:v>
                </c:pt>
                <c:pt idx="10">
                  <c:v>46.047878843394088</c:v>
                </c:pt>
                <c:pt idx="11">
                  <c:v>45.964438276693834</c:v>
                </c:pt>
                <c:pt idx="12">
                  <c:v>45.880997709993586</c:v>
                </c:pt>
                <c:pt idx="13">
                  <c:v>45.797557143293332</c:v>
                </c:pt>
                <c:pt idx="14">
                  <c:v>45.714116576593078</c:v>
                </c:pt>
                <c:pt idx="15">
                  <c:v>45.630676009892824</c:v>
                </c:pt>
                <c:pt idx="16">
                  <c:v>45.547235443192569</c:v>
                </c:pt>
                <c:pt idx="17">
                  <c:v>45.463794876492315</c:v>
                </c:pt>
                <c:pt idx="18">
                  <c:v>45.380354309792061</c:v>
                </c:pt>
                <c:pt idx="19">
                  <c:v>45.296913743091807</c:v>
                </c:pt>
                <c:pt idx="20">
                  <c:v>45.21347317639156</c:v>
                </c:pt>
              </c:numCache>
            </c:numRef>
          </c:yVal>
        </c:ser>
        <c:ser>
          <c:idx val="2"/>
          <c:order val="2"/>
          <c:tx>
            <c:strRef>
              <c:f>'Dut 25'!$Q$2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25'!$Q$33:$Q$53</c:f>
              <c:numCache>
                <c:formatCode>0.0</c:formatCode>
                <c:ptCount val="21"/>
                <c:pt idx="0">
                  <c:v>50.274670220368115</c:v>
                </c:pt>
                <c:pt idx="1">
                  <c:v>49.964553630633937</c:v>
                </c:pt>
                <c:pt idx="2">
                  <c:v>49.654437040899751</c:v>
                </c:pt>
                <c:pt idx="3">
                  <c:v>49.344320451165572</c:v>
                </c:pt>
                <c:pt idx="4">
                  <c:v>49.034203861431394</c:v>
                </c:pt>
                <c:pt idx="5">
                  <c:v>48.724087271697215</c:v>
                </c:pt>
                <c:pt idx="6">
                  <c:v>48.413970681963036</c:v>
                </c:pt>
                <c:pt idx="7">
                  <c:v>48.10385409222885</c:v>
                </c:pt>
                <c:pt idx="8">
                  <c:v>47.793737502494672</c:v>
                </c:pt>
                <c:pt idx="9">
                  <c:v>47.483620912760493</c:v>
                </c:pt>
                <c:pt idx="10">
                  <c:v>47.173504323026307</c:v>
                </c:pt>
                <c:pt idx="11">
                  <c:v>46.863387733292129</c:v>
                </c:pt>
                <c:pt idx="12">
                  <c:v>46.55327114355795</c:v>
                </c:pt>
                <c:pt idx="13">
                  <c:v>46.243154553823771</c:v>
                </c:pt>
                <c:pt idx="14">
                  <c:v>45.933037964089586</c:v>
                </c:pt>
                <c:pt idx="15">
                  <c:v>45.622921374355407</c:v>
                </c:pt>
                <c:pt idx="16">
                  <c:v>45.312804784621228</c:v>
                </c:pt>
                <c:pt idx="17">
                  <c:v>45.002688194887043</c:v>
                </c:pt>
                <c:pt idx="18">
                  <c:v>44.692571605152864</c:v>
                </c:pt>
                <c:pt idx="19">
                  <c:v>44.382455015418685</c:v>
                </c:pt>
                <c:pt idx="20">
                  <c:v>44.072338425684507</c:v>
                </c:pt>
              </c:numCache>
            </c:numRef>
          </c:yVal>
        </c:ser>
        <c:axId val="189710336"/>
        <c:axId val="189711872"/>
      </c:scatterChart>
      <c:valAx>
        <c:axId val="189710336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89711872"/>
        <c:crosses val="autoZero"/>
        <c:crossBetween val="midCat"/>
      </c:valAx>
      <c:valAx>
        <c:axId val="18971187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897103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26'!$K$12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26'!$O$2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26'!$O$33:$O$53</c:f>
              <c:numCache>
                <c:formatCode>0.0</c:formatCode>
                <c:ptCount val="21"/>
                <c:pt idx="0">
                  <c:v>64.478574108818009</c:v>
                </c:pt>
                <c:pt idx="1">
                  <c:v>62.329288305190744</c:v>
                </c:pt>
                <c:pt idx="2">
                  <c:v>60.180002501563479</c:v>
                </c:pt>
                <c:pt idx="3">
                  <c:v>58.030716697936214</c:v>
                </c:pt>
                <c:pt idx="4">
                  <c:v>55.881430894308949</c:v>
                </c:pt>
                <c:pt idx="5">
                  <c:v>53.732145090681684</c:v>
                </c:pt>
                <c:pt idx="6">
                  <c:v>51.582859287054418</c:v>
                </c:pt>
                <c:pt idx="7">
                  <c:v>49.433573483427139</c:v>
                </c:pt>
                <c:pt idx="8">
                  <c:v>47.284287679799874</c:v>
                </c:pt>
                <c:pt idx="9">
                  <c:v>45.135001876172609</c:v>
                </c:pt>
                <c:pt idx="10">
                  <c:v>42.985716072545344</c:v>
                </c:pt>
                <c:pt idx="11">
                  <c:v>40.836430268918079</c:v>
                </c:pt>
                <c:pt idx="12">
                  <c:v>38.687144465290814</c:v>
                </c:pt>
                <c:pt idx="13">
                  <c:v>36.537858661663549</c:v>
                </c:pt>
                <c:pt idx="14">
                  <c:v>34.38857285803627</c:v>
                </c:pt>
                <c:pt idx="15">
                  <c:v>32.239287054409004</c:v>
                </c:pt>
                <c:pt idx="16">
                  <c:v>30.090001250781739</c:v>
                </c:pt>
                <c:pt idx="17">
                  <c:v>27.940715447154474</c:v>
                </c:pt>
                <c:pt idx="18">
                  <c:v>25.791429643527209</c:v>
                </c:pt>
                <c:pt idx="19">
                  <c:v>23.642143839899944</c:v>
                </c:pt>
                <c:pt idx="20">
                  <c:v>21.492858036272679</c:v>
                </c:pt>
              </c:numCache>
            </c:numRef>
          </c:yVal>
        </c:ser>
        <c:ser>
          <c:idx val="1"/>
          <c:order val="1"/>
          <c:tx>
            <c:strRef>
              <c:f>'Dut 26'!$P$2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26'!$P$33:$P$53</c:f>
              <c:numCache>
                <c:formatCode>0.0</c:formatCode>
                <c:ptCount val="21"/>
                <c:pt idx="0">
                  <c:v>48.985951268663548</c:v>
                </c:pt>
                <c:pt idx="1">
                  <c:v>48.889525022136723</c:v>
                </c:pt>
                <c:pt idx="2">
                  <c:v>48.793098775609899</c:v>
                </c:pt>
                <c:pt idx="3">
                  <c:v>48.696672529083081</c:v>
                </c:pt>
                <c:pt idx="4">
                  <c:v>48.600246282556256</c:v>
                </c:pt>
                <c:pt idx="5">
                  <c:v>48.503820036029431</c:v>
                </c:pt>
                <c:pt idx="6">
                  <c:v>48.407393789502606</c:v>
                </c:pt>
                <c:pt idx="7">
                  <c:v>48.310967542975781</c:v>
                </c:pt>
                <c:pt idx="8">
                  <c:v>48.214541296448964</c:v>
                </c:pt>
                <c:pt idx="9">
                  <c:v>48.118115049922139</c:v>
                </c:pt>
                <c:pt idx="10">
                  <c:v>48.021688803395314</c:v>
                </c:pt>
                <c:pt idx="11">
                  <c:v>47.925262556868489</c:v>
                </c:pt>
                <c:pt idx="12">
                  <c:v>47.828836310341664</c:v>
                </c:pt>
                <c:pt idx="13">
                  <c:v>47.732410063814847</c:v>
                </c:pt>
                <c:pt idx="14">
                  <c:v>47.635983817288022</c:v>
                </c:pt>
                <c:pt idx="15">
                  <c:v>47.539557570761197</c:v>
                </c:pt>
                <c:pt idx="16">
                  <c:v>47.443131324234372</c:v>
                </c:pt>
                <c:pt idx="17">
                  <c:v>47.346705077707547</c:v>
                </c:pt>
                <c:pt idx="18">
                  <c:v>47.250278831180722</c:v>
                </c:pt>
                <c:pt idx="19">
                  <c:v>47.153852584653905</c:v>
                </c:pt>
                <c:pt idx="20">
                  <c:v>47.05742633812708</c:v>
                </c:pt>
              </c:numCache>
            </c:numRef>
          </c:yVal>
        </c:ser>
        <c:ser>
          <c:idx val="2"/>
          <c:order val="2"/>
          <c:tx>
            <c:strRef>
              <c:f>'Dut 26'!$Q$2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26'!$Q$33:$Q$53</c:f>
              <c:numCache>
                <c:formatCode>0.0</c:formatCode>
                <c:ptCount val="21"/>
                <c:pt idx="0">
                  <c:v>51.682836698875576</c:v>
                </c:pt>
                <c:pt idx="1">
                  <c:v>51.37232167769227</c:v>
                </c:pt>
                <c:pt idx="2">
                  <c:v>51.061806656508963</c:v>
                </c:pt>
                <c:pt idx="3">
                  <c:v>50.751291635325657</c:v>
                </c:pt>
                <c:pt idx="4">
                  <c:v>50.440776614142351</c:v>
                </c:pt>
                <c:pt idx="5">
                  <c:v>50.130261592959037</c:v>
                </c:pt>
                <c:pt idx="6">
                  <c:v>49.819746571775731</c:v>
                </c:pt>
                <c:pt idx="7">
                  <c:v>49.509231550592425</c:v>
                </c:pt>
                <c:pt idx="8">
                  <c:v>49.198716529409118</c:v>
                </c:pt>
                <c:pt idx="9">
                  <c:v>48.888201508225805</c:v>
                </c:pt>
                <c:pt idx="10">
                  <c:v>48.577686487042499</c:v>
                </c:pt>
                <c:pt idx="11">
                  <c:v>48.267171465859192</c:v>
                </c:pt>
                <c:pt idx="12">
                  <c:v>47.956656444675886</c:v>
                </c:pt>
                <c:pt idx="13">
                  <c:v>47.64614142349258</c:v>
                </c:pt>
                <c:pt idx="14">
                  <c:v>47.335626402309273</c:v>
                </c:pt>
                <c:pt idx="15">
                  <c:v>47.02511138112596</c:v>
                </c:pt>
                <c:pt idx="16">
                  <c:v>46.714596359942654</c:v>
                </c:pt>
                <c:pt idx="17">
                  <c:v>46.404081338759347</c:v>
                </c:pt>
                <c:pt idx="18">
                  <c:v>46.093566317576034</c:v>
                </c:pt>
                <c:pt idx="19">
                  <c:v>45.783051296392728</c:v>
                </c:pt>
                <c:pt idx="20">
                  <c:v>45.472536275209421</c:v>
                </c:pt>
              </c:numCache>
            </c:numRef>
          </c:yVal>
        </c:ser>
        <c:axId val="190012800"/>
        <c:axId val="190035072"/>
      </c:scatterChart>
      <c:valAx>
        <c:axId val="19001280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0035072"/>
        <c:crosses val="autoZero"/>
        <c:crossBetween val="midCat"/>
      </c:valAx>
      <c:valAx>
        <c:axId val="19003507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00128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27'!$K$12</c:f>
          <c:strCache>
            <c:ptCount val="1"/>
            <c:pt idx="0">
              <c:v>Compensation=41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27'!$O$2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27'!$O$33:$O$53</c:f>
              <c:numCache>
                <c:formatCode>0.0</c:formatCode>
                <c:ptCount val="21"/>
                <c:pt idx="0">
                  <c:v>71.201081345468722</c:v>
                </c:pt>
                <c:pt idx="1">
                  <c:v>69.065601184456654</c:v>
                </c:pt>
                <c:pt idx="2">
                  <c:v>66.93012102344457</c:v>
                </c:pt>
                <c:pt idx="3">
                  <c:v>64.794640862432487</c:v>
                </c:pt>
                <c:pt idx="4">
                  <c:v>62.659160701420419</c:v>
                </c:pt>
                <c:pt idx="5">
                  <c:v>60.52368054040835</c:v>
                </c:pt>
                <c:pt idx="6">
                  <c:v>58.388200379396267</c:v>
                </c:pt>
                <c:pt idx="7">
                  <c:v>56.252720218384184</c:v>
                </c:pt>
                <c:pt idx="8">
                  <c:v>54.117240057372115</c:v>
                </c:pt>
                <c:pt idx="9">
                  <c:v>51.981759896360046</c:v>
                </c:pt>
                <c:pt idx="10">
                  <c:v>49.846279735347963</c:v>
                </c:pt>
                <c:pt idx="11">
                  <c:v>47.71079957433588</c:v>
                </c:pt>
                <c:pt idx="12">
                  <c:v>45.575319413323811</c:v>
                </c:pt>
                <c:pt idx="13">
                  <c:v>43.439839252311742</c:v>
                </c:pt>
                <c:pt idx="14">
                  <c:v>41.304359091299659</c:v>
                </c:pt>
                <c:pt idx="15">
                  <c:v>39.168878930287576</c:v>
                </c:pt>
                <c:pt idx="16">
                  <c:v>37.033398769275507</c:v>
                </c:pt>
                <c:pt idx="17">
                  <c:v>34.897918608263439</c:v>
                </c:pt>
                <c:pt idx="18">
                  <c:v>32.762438447251355</c:v>
                </c:pt>
                <c:pt idx="19">
                  <c:v>30.626958286239272</c:v>
                </c:pt>
                <c:pt idx="20">
                  <c:v>28.491478125227204</c:v>
                </c:pt>
              </c:numCache>
            </c:numRef>
          </c:yVal>
        </c:ser>
        <c:ser>
          <c:idx val="1"/>
          <c:order val="1"/>
          <c:tx>
            <c:strRef>
              <c:f>'Dut 27'!$P$2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27'!$P$33:$P$53</c:f>
              <c:numCache>
                <c:formatCode>0.0</c:formatCode>
                <c:ptCount val="21"/>
                <c:pt idx="0">
                  <c:v>48.410840680710272</c:v>
                </c:pt>
                <c:pt idx="1">
                  <c:v>48.322340718840373</c:v>
                </c:pt>
                <c:pt idx="2">
                  <c:v>48.233840756970473</c:v>
                </c:pt>
                <c:pt idx="3">
                  <c:v>48.145340795100573</c:v>
                </c:pt>
                <c:pt idx="4">
                  <c:v>48.056840833230673</c:v>
                </c:pt>
                <c:pt idx="5">
                  <c:v>47.968340871360766</c:v>
                </c:pt>
                <c:pt idx="6">
                  <c:v>47.879840909490866</c:v>
                </c:pt>
                <c:pt idx="7">
                  <c:v>47.791340947620967</c:v>
                </c:pt>
                <c:pt idx="8">
                  <c:v>47.702840985751067</c:v>
                </c:pt>
                <c:pt idx="9">
                  <c:v>47.614341023881167</c:v>
                </c:pt>
                <c:pt idx="10">
                  <c:v>47.525841062011267</c:v>
                </c:pt>
                <c:pt idx="11">
                  <c:v>47.437341100141367</c:v>
                </c:pt>
                <c:pt idx="12">
                  <c:v>47.348841138271467</c:v>
                </c:pt>
                <c:pt idx="13">
                  <c:v>47.260341176401568</c:v>
                </c:pt>
                <c:pt idx="14">
                  <c:v>47.171841214531668</c:v>
                </c:pt>
                <c:pt idx="15">
                  <c:v>47.083341252661768</c:v>
                </c:pt>
                <c:pt idx="16">
                  <c:v>46.994841290791868</c:v>
                </c:pt>
                <c:pt idx="17">
                  <c:v>46.906341328921968</c:v>
                </c:pt>
                <c:pt idx="18">
                  <c:v>46.817841367052068</c:v>
                </c:pt>
                <c:pt idx="19">
                  <c:v>46.729341405182169</c:v>
                </c:pt>
                <c:pt idx="20">
                  <c:v>46.640841443312269</c:v>
                </c:pt>
              </c:numCache>
            </c:numRef>
          </c:yVal>
        </c:ser>
        <c:ser>
          <c:idx val="2"/>
          <c:order val="2"/>
          <c:tx>
            <c:strRef>
              <c:f>'Dut 27'!$Q$2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27'!$Q$33:$Q$53</c:f>
              <c:numCache>
                <c:formatCode>0.0</c:formatCode>
                <c:ptCount val="21"/>
                <c:pt idx="0">
                  <c:v>52.314780240432313</c:v>
                </c:pt>
                <c:pt idx="1">
                  <c:v>51.997287588344392</c:v>
                </c:pt>
                <c:pt idx="2">
                  <c:v>51.679794936256478</c:v>
                </c:pt>
                <c:pt idx="3">
                  <c:v>51.362302284168564</c:v>
                </c:pt>
                <c:pt idx="4">
                  <c:v>51.044809632080643</c:v>
                </c:pt>
                <c:pt idx="5">
                  <c:v>50.727316979992729</c:v>
                </c:pt>
                <c:pt idx="6">
                  <c:v>50.409824327904815</c:v>
                </c:pt>
                <c:pt idx="7">
                  <c:v>50.092331675816894</c:v>
                </c:pt>
                <c:pt idx="8">
                  <c:v>49.77483902372898</c:v>
                </c:pt>
                <c:pt idx="9">
                  <c:v>49.457346371641066</c:v>
                </c:pt>
                <c:pt idx="10">
                  <c:v>49.139853719553145</c:v>
                </c:pt>
                <c:pt idx="11">
                  <c:v>48.822361067465231</c:v>
                </c:pt>
                <c:pt idx="12">
                  <c:v>48.504868415377317</c:v>
                </c:pt>
                <c:pt idx="13">
                  <c:v>48.187375763289396</c:v>
                </c:pt>
                <c:pt idx="14">
                  <c:v>47.869883111201482</c:v>
                </c:pt>
                <c:pt idx="15">
                  <c:v>47.552390459113568</c:v>
                </c:pt>
                <c:pt idx="16">
                  <c:v>47.234897807025646</c:v>
                </c:pt>
                <c:pt idx="17">
                  <c:v>46.917405154937732</c:v>
                </c:pt>
                <c:pt idx="18">
                  <c:v>46.599912502849818</c:v>
                </c:pt>
                <c:pt idx="19">
                  <c:v>46.282419850761897</c:v>
                </c:pt>
                <c:pt idx="20">
                  <c:v>45.964927198673983</c:v>
                </c:pt>
              </c:numCache>
            </c:numRef>
          </c:yVal>
        </c:ser>
        <c:axId val="190282368"/>
        <c:axId val="190296448"/>
      </c:scatterChart>
      <c:valAx>
        <c:axId val="19028236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0296448"/>
        <c:crosses val="autoZero"/>
        <c:crossBetween val="midCat"/>
      </c:valAx>
      <c:valAx>
        <c:axId val="190296448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02823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28'!$K$12</c:f>
          <c:strCache>
            <c:ptCount val="1"/>
            <c:pt idx="0">
              <c:v>Compensation=36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28'!$O$2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28'!$O$33:$O$53</c:f>
              <c:numCache>
                <c:formatCode>0.0</c:formatCode>
                <c:ptCount val="21"/>
                <c:pt idx="0">
                  <c:v>60.388711734693871</c:v>
                </c:pt>
                <c:pt idx="1">
                  <c:v>58.158022312185736</c:v>
                </c:pt>
                <c:pt idx="2">
                  <c:v>55.927332889677601</c:v>
                </c:pt>
                <c:pt idx="3">
                  <c:v>53.696643467169466</c:v>
                </c:pt>
                <c:pt idx="4">
                  <c:v>51.465954044661331</c:v>
                </c:pt>
                <c:pt idx="5">
                  <c:v>49.235264622153196</c:v>
                </c:pt>
                <c:pt idx="6">
                  <c:v>47.00457519964506</c:v>
                </c:pt>
                <c:pt idx="7">
                  <c:v>44.773885777136925</c:v>
                </c:pt>
                <c:pt idx="8">
                  <c:v>42.543196354628805</c:v>
                </c:pt>
                <c:pt idx="9">
                  <c:v>40.312506932120669</c:v>
                </c:pt>
                <c:pt idx="10">
                  <c:v>38.081817509612534</c:v>
                </c:pt>
                <c:pt idx="11">
                  <c:v>35.851128087104399</c:v>
                </c:pt>
                <c:pt idx="12">
                  <c:v>33.620438664596264</c:v>
                </c:pt>
                <c:pt idx="13">
                  <c:v>31.389749242088129</c:v>
                </c:pt>
                <c:pt idx="14">
                  <c:v>29.159059819579994</c:v>
                </c:pt>
                <c:pt idx="15">
                  <c:v>26.928370397071859</c:v>
                </c:pt>
                <c:pt idx="16">
                  <c:v>24.697680974563724</c:v>
                </c:pt>
                <c:pt idx="17">
                  <c:v>22.466991552055589</c:v>
                </c:pt>
                <c:pt idx="18">
                  <c:v>20.236302129547454</c:v>
                </c:pt>
                <c:pt idx="19">
                  <c:v>18.005612707039333</c:v>
                </c:pt>
                <c:pt idx="20">
                  <c:v>15.774923284531198</c:v>
                </c:pt>
              </c:numCache>
            </c:numRef>
          </c:yVal>
        </c:ser>
        <c:ser>
          <c:idx val="1"/>
          <c:order val="1"/>
          <c:tx>
            <c:strRef>
              <c:f>'Dut 28'!$P$2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28'!$P$33:$P$53</c:f>
              <c:numCache>
                <c:formatCode>0.0</c:formatCode>
                <c:ptCount val="21"/>
                <c:pt idx="0">
                  <c:v>46.915951208069437</c:v>
                </c:pt>
                <c:pt idx="1">
                  <c:v>46.830173391195558</c:v>
                </c:pt>
                <c:pt idx="2">
                  <c:v>46.744395574321686</c:v>
                </c:pt>
                <c:pt idx="3">
                  <c:v>46.658617757447807</c:v>
                </c:pt>
                <c:pt idx="4">
                  <c:v>46.572839940573935</c:v>
                </c:pt>
                <c:pt idx="5">
                  <c:v>46.487062123700056</c:v>
                </c:pt>
                <c:pt idx="6">
                  <c:v>46.401284306826177</c:v>
                </c:pt>
                <c:pt idx="7">
                  <c:v>46.315506489952305</c:v>
                </c:pt>
                <c:pt idx="8">
                  <c:v>46.229728673078426</c:v>
                </c:pt>
                <c:pt idx="9">
                  <c:v>46.143950856204555</c:v>
                </c:pt>
                <c:pt idx="10">
                  <c:v>46.058173039330676</c:v>
                </c:pt>
                <c:pt idx="11">
                  <c:v>45.972395222456804</c:v>
                </c:pt>
                <c:pt idx="12">
                  <c:v>45.886617405582925</c:v>
                </c:pt>
                <c:pt idx="13">
                  <c:v>45.800839588709046</c:v>
                </c:pt>
                <c:pt idx="14">
                  <c:v>45.715061771835174</c:v>
                </c:pt>
                <c:pt idx="15">
                  <c:v>45.629283954961295</c:v>
                </c:pt>
                <c:pt idx="16">
                  <c:v>45.543506138087423</c:v>
                </c:pt>
                <c:pt idx="17">
                  <c:v>45.457728321213544</c:v>
                </c:pt>
                <c:pt idx="18">
                  <c:v>45.371950504339665</c:v>
                </c:pt>
                <c:pt idx="19">
                  <c:v>45.286172687465793</c:v>
                </c:pt>
                <c:pt idx="20">
                  <c:v>45.200394870591914</c:v>
                </c:pt>
              </c:numCache>
            </c:numRef>
          </c:yVal>
        </c:ser>
        <c:ser>
          <c:idx val="2"/>
          <c:order val="2"/>
          <c:tx>
            <c:strRef>
              <c:f>'Dut 28'!$Q$2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28'!$Q$33:$Q$53</c:f>
              <c:numCache>
                <c:formatCode>0.0</c:formatCode>
                <c:ptCount val="21"/>
                <c:pt idx="0">
                  <c:v>50.703928178941197</c:v>
                </c:pt>
                <c:pt idx="1">
                  <c:v>50.385875687541493</c:v>
                </c:pt>
                <c:pt idx="2">
                  <c:v>50.067823196141788</c:v>
                </c:pt>
                <c:pt idx="3">
                  <c:v>49.749770704742076</c:v>
                </c:pt>
                <c:pt idx="4">
                  <c:v>49.431718213342371</c:v>
                </c:pt>
                <c:pt idx="5">
                  <c:v>49.113665721942667</c:v>
                </c:pt>
                <c:pt idx="6">
                  <c:v>48.795613230542955</c:v>
                </c:pt>
                <c:pt idx="7">
                  <c:v>48.47756073914325</c:v>
                </c:pt>
                <c:pt idx="8">
                  <c:v>48.159508247743545</c:v>
                </c:pt>
                <c:pt idx="9">
                  <c:v>47.841455756343841</c:v>
                </c:pt>
                <c:pt idx="10">
                  <c:v>47.523403264944136</c:v>
                </c:pt>
                <c:pt idx="11">
                  <c:v>47.205350773544424</c:v>
                </c:pt>
                <c:pt idx="12">
                  <c:v>46.88729828214472</c:v>
                </c:pt>
                <c:pt idx="13">
                  <c:v>46.569245790745015</c:v>
                </c:pt>
                <c:pt idx="14">
                  <c:v>46.251193299345303</c:v>
                </c:pt>
                <c:pt idx="15">
                  <c:v>45.933140807945598</c:v>
                </c:pt>
                <c:pt idx="16">
                  <c:v>45.615088316545894</c:v>
                </c:pt>
                <c:pt idx="17">
                  <c:v>45.297035825146182</c:v>
                </c:pt>
                <c:pt idx="18">
                  <c:v>44.978983333746477</c:v>
                </c:pt>
                <c:pt idx="19">
                  <c:v>44.660930842346772</c:v>
                </c:pt>
                <c:pt idx="20">
                  <c:v>44.342878350947068</c:v>
                </c:pt>
              </c:numCache>
            </c:numRef>
          </c:yVal>
        </c:ser>
        <c:axId val="190408576"/>
        <c:axId val="190410112"/>
      </c:scatterChart>
      <c:valAx>
        <c:axId val="190408576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0410112"/>
        <c:crosses val="autoZero"/>
        <c:crossBetween val="midCat"/>
      </c:valAx>
      <c:valAx>
        <c:axId val="19041011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04085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29'!$K$12</c:f>
          <c:strCache>
            <c:ptCount val="1"/>
            <c:pt idx="0">
              <c:v>Compensation=34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29'!$O$2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29'!$N$33:$N$53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29'!$O$33:$O$53</c:f>
              <c:numCache>
                <c:formatCode>0.0</c:formatCode>
                <c:ptCount val="21"/>
                <c:pt idx="0">
                  <c:v>59.735949827176739</c:v>
                </c:pt>
                <c:pt idx="1">
                  <c:v>57.351464770409365</c:v>
                </c:pt>
                <c:pt idx="2">
                  <c:v>54.96697971364199</c:v>
                </c:pt>
                <c:pt idx="3">
                  <c:v>52.582494656874616</c:v>
                </c:pt>
                <c:pt idx="4">
                  <c:v>50.198009600107241</c:v>
                </c:pt>
                <c:pt idx="5">
                  <c:v>47.813524543339867</c:v>
                </c:pt>
                <c:pt idx="6">
                  <c:v>45.429039486572492</c:v>
                </c:pt>
                <c:pt idx="7">
                  <c:v>43.044554429805117</c:v>
                </c:pt>
                <c:pt idx="8">
                  <c:v>40.660069373037743</c:v>
                </c:pt>
                <c:pt idx="9">
                  <c:v>38.275584316270368</c:v>
                </c:pt>
                <c:pt idx="10">
                  <c:v>35.891099259502994</c:v>
                </c:pt>
                <c:pt idx="11">
                  <c:v>33.506614202735619</c:v>
                </c:pt>
                <c:pt idx="12">
                  <c:v>31.122129145968245</c:v>
                </c:pt>
                <c:pt idx="13">
                  <c:v>28.73764408920087</c:v>
                </c:pt>
                <c:pt idx="14">
                  <c:v>26.353159032433496</c:v>
                </c:pt>
                <c:pt idx="15">
                  <c:v>23.968673975666121</c:v>
                </c:pt>
                <c:pt idx="16">
                  <c:v>21.584188918898747</c:v>
                </c:pt>
                <c:pt idx="17">
                  <c:v>19.199703862131372</c:v>
                </c:pt>
                <c:pt idx="18">
                  <c:v>16.815218805363997</c:v>
                </c:pt>
                <c:pt idx="19">
                  <c:v>14.430733748596623</c:v>
                </c:pt>
                <c:pt idx="20">
                  <c:v>12.046248691829248</c:v>
                </c:pt>
              </c:numCache>
            </c:numRef>
          </c:yVal>
        </c:ser>
        <c:ser>
          <c:idx val="1"/>
          <c:order val="1"/>
          <c:tx>
            <c:strRef>
              <c:f>'Dut 29'!$P$2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29'!$N$33:$N$53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29'!$P$33:$P$53</c:f>
              <c:numCache>
                <c:formatCode>0.0</c:formatCode>
                <c:ptCount val="21"/>
                <c:pt idx="0">
                  <c:v>51.432850358206551</c:v>
                </c:pt>
                <c:pt idx="1">
                  <c:v>51.326915667176479</c:v>
                </c:pt>
                <c:pt idx="2">
                  <c:v>51.2209809761464</c:v>
                </c:pt>
                <c:pt idx="3">
                  <c:v>51.115046285116321</c:v>
                </c:pt>
                <c:pt idx="4">
                  <c:v>51.009111594086242</c:v>
                </c:pt>
                <c:pt idx="5">
                  <c:v>50.903176903056163</c:v>
                </c:pt>
                <c:pt idx="6">
                  <c:v>50.797242212026084</c:v>
                </c:pt>
                <c:pt idx="7">
                  <c:v>50.691307520996006</c:v>
                </c:pt>
                <c:pt idx="8">
                  <c:v>50.585372829965927</c:v>
                </c:pt>
                <c:pt idx="9">
                  <c:v>50.479438138935848</c:v>
                </c:pt>
                <c:pt idx="10">
                  <c:v>50.373503447905769</c:v>
                </c:pt>
                <c:pt idx="11">
                  <c:v>50.26756875687569</c:v>
                </c:pt>
                <c:pt idx="12">
                  <c:v>50.161634065845611</c:v>
                </c:pt>
                <c:pt idx="13">
                  <c:v>50.055699374815532</c:v>
                </c:pt>
                <c:pt idx="14">
                  <c:v>49.949764683785453</c:v>
                </c:pt>
                <c:pt idx="15">
                  <c:v>49.843829992755374</c:v>
                </c:pt>
                <c:pt idx="16">
                  <c:v>49.737895301725295</c:v>
                </c:pt>
                <c:pt idx="17">
                  <c:v>49.631960610695216</c:v>
                </c:pt>
                <c:pt idx="18">
                  <c:v>49.526025919665138</c:v>
                </c:pt>
                <c:pt idx="19">
                  <c:v>49.420091228635059</c:v>
                </c:pt>
                <c:pt idx="20">
                  <c:v>49.314156537604987</c:v>
                </c:pt>
              </c:numCache>
            </c:numRef>
          </c:yVal>
        </c:ser>
        <c:ser>
          <c:idx val="2"/>
          <c:order val="2"/>
          <c:tx>
            <c:strRef>
              <c:f>'Dut 29'!$Q$2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29'!$N$33:$N$53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29'!$Q$33:$Q$53</c:f>
              <c:numCache>
                <c:formatCode>0.0</c:formatCode>
                <c:ptCount val="21"/>
                <c:pt idx="0">
                  <c:v>53.019557025464472</c:v>
                </c:pt>
                <c:pt idx="1">
                  <c:v>52.665962350970823</c:v>
                </c:pt>
                <c:pt idx="2">
                  <c:v>52.312367676477173</c:v>
                </c:pt>
                <c:pt idx="3">
                  <c:v>51.958773001983523</c:v>
                </c:pt>
                <c:pt idx="4">
                  <c:v>51.605178327489874</c:v>
                </c:pt>
                <c:pt idx="5">
                  <c:v>51.251583652996224</c:v>
                </c:pt>
                <c:pt idx="6">
                  <c:v>50.897988978502575</c:v>
                </c:pt>
                <c:pt idx="7">
                  <c:v>50.544394304008925</c:v>
                </c:pt>
                <c:pt idx="8">
                  <c:v>50.190799629515276</c:v>
                </c:pt>
                <c:pt idx="9">
                  <c:v>49.837204955021626</c:v>
                </c:pt>
                <c:pt idx="10">
                  <c:v>49.483610280527976</c:v>
                </c:pt>
                <c:pt idx="11">
                  <c:v>49.130015606034327</c:v>
                </c:pt>
                <c:pt idx="12">
                  <c:v>48.776420931540677</c:v>
                </c:pt>
                <c:pt idx="13">
                  <c:v>48.422826257047028</c:v>
                </c:pt>
                <c:pt idx="14">
                  <c:v>48.069231582553378</c:v>
                </c:pt>
                <c:pt idx="15">
                  <c:v>47.715636908059729</c:v>
                </c:pt>
                <c:pt idx="16">
                  <c:v>47.362042233566079</c:v>
                </c:pt>
                <c:pt idx="17">
                  <c:v>47.00844755907243</c:v>
                </c:pt>
                <c:pt idx="18">
                  <c:v>46.65485288457878</c:v>
                </c:pt>
                <c:pt idx="19">
                  <c:v>46.30125821008513</c:v>
                </c:pt>
                <c:pt idx="20">
                  <c:v>45.947663535591481</c:v>
                </c:pt>
              </c:numCache>
            </c:numRef>
          </c:yVal>
        </c:ser>
        <c:axId val="190633088"/>
        <c:axId val="190634624"/>
      </c:scatterChart>
      <c:valAx>
        <c:axId val="19063308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0634624"/>
        <c:crosses val="autoZero"/>
        <c:crossBetween val="midCat"/>
      </c:valAx>
      <c:valAx>
        <c:axId val="19063462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06330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30'!$K$12</c:f>
          <c:strCache>
            <c:ptCount val="1"/>
            <c:pt idx="0">
              <c:v>Compensation=37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30'!$O$2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30'!$O$33:$O$53</c:f>
              <c:numCache>
                <c:formatCode>0.0</c:formatCode>
                <c:ptCount val="21"/>
                <c:pt idx="0">
                  <c:v>64.008480802737381</c:v>
                </c:pt>
                <c:pt idx="1">
                  <c:v>61.929988594299957</c:v>
                </c:pt>
                <c:pt idx="2">
                  <c:v>59.851496385862532</c:v>
                </c:pt>
                <c:pt idx="3">
                  <c:v>57.773004177425108</c:v>
                </c:pt>
                <c:pt idx="4">
                  <c:v>55.694511968987698</c:v>
                </c:pt>
                <c:pt idx="5">
                  <c:v>53.616019760550273</c:v>
                </c:pt>
                <c:pt idx="6">
                  <c:v>51.537527552112849</c:v>
                </c:pt>
                <c:pt idx="7">
                  <c:v>49.459035343675438</c:v>
                </c:pt>
                <c:pt idx="8">
                  <c:v>47.380543135238014</c:v>
                </c:pt>
                <c:pt idx="9">
                  <c:v>45.30205092680059</c:v>
                </c:pt>
                <c:pt idx="10">
                  <c:v>43.223558718363179</c:v>
                </c:pt>
                <c:pt idx="11">
                  <c:v>41.145066509925755</c:v>
                </c:pt>
                <c:pt idx="12">
                  <c:v>39.06657430148833</c:v>
                </c:pt>
                <c:pt idx="13">
                  <c:v>36.98808209305092</c:v>
                </c:pt>
                <c:pt idx="14">
                  <c:v>34.909589884613496</c:v>
                </c:pt>
                <c:pt idx="15">
                  <c:v>32.831097676176071</c:v>
                </c:pt>
                <c:pt idx="16">
                  <c:v>30.752605467738661</c:v>
                </c:pt>
                <c:pt idx="17">
                  <c:v>28.674113259301237</c:v>
                </c:pt>
                <c:pt idx="18">
                  <c:v>26.595621050863812</c:v>
                </c:pt>
                <c:pt idx="19">
                  <c:v>24.517128842426402</c:v>
                </c:pt>
                <c:pt idx="20">
                  <c:v>22.438636633988978</c:v>
                </c:pt>
              </c:numCache>
            </c:numRef>
          </c:yVal>
        </c:ser>
        <c:ser>
          <c:idx val="1"/>
          <c:order val="1"/>
          <c:tx>
            <c:strRef>
              <c:f>'Dut 30'!$P$2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30'!$P$33:$P$53</c:f>
              <c:numCache>
                <c:formatCode>0.0</c:formatCode>
                <c:ptCount val="21"/>
                <c:pt idx="0">
                  <c:v>48.852793834296726</c:v>
                </c:pt>
                <c:pt idx="1">
                  <c:v>48.763506743737963</c:v>
                </c:pt>
                <c:pt idx="2">
                  <c:v>48.674219653179193</c:v>
                </c:pt>
                <c:pt idx="3">
                  <c:v>48.58493256262043</c:v>
                </c:pt>
                <c:pt idx="4">
                  <c:v>48.495645472061661</c:v>
                </c:pt>
                <c:pt idx="5">
                  <c:v>48.406358381502898</c:v>
                </c:pt>
                <c:pt idx="6">
                  <c:v>48.317071290944128</c:v>
                </c:pt>
                <c:pt idx="7">
                  <c:v>48.227784200385358</c:v>
                </c:pt>
                <c:pt idx="8">
                  <c:v>48.138497109826595</c:v>
                </c:pt>
                <c:pt idx="9">
                  <c:v>48.049210019267825</c:v>
                </c:pt>
                <c:pt idx="10">
                  <c:v>47.959922928709062</c:v>
                </c:pt>
                <c:pt idx="11">
                  <c:v>47.870635838150292</c:v>
                </c:pt>
                <c:pt idx="12">
                  <c:v>47.78134874759153</c:v>
                </c:pt>
                <c:pt idx="13">
                  <c:v>47.69206165703276</c:v>
                </c:pt>
                <c:pt idx="14">
                  <c:v>47.602774566473997</c:v>
                </c:pt>
                <c:pt idx="15">
                  <c:v>47.513487475915227</c:v>
                </c:pt>
                <c:pt idx="16">
                  <c:v>47.424200385356457</c:v>
                </c:pt>
                <c:pt idx="17">
                  <c:v>47.334913294797694</c:v>
                </c:pt>
                <c:pt idx="18">
                  <c:v>47.245626204238924</c:v>
                </c:pt>
                <c:pt idx="19">
                  <c:v>47.156339113680161</c:v>
                </c:pt>
                <c:pt idx="20">
                  <c:v>47.067052023121391</c:v>
                </c:pt>
              </c:numCache>
            </c:numRef>
          </c:yVal>
        </c:ser>
        <c:ser>
          <c:idx val="2"/>
          <c:order val="2"/>
          <c:tx>
            <c:strRef>
              <c:f>'Dut 30'!$Q$2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30'!$Q$33:$Q$53</c:f>
              <c:numCache>
                <c:formatCode>0.0</c:formatCode>
                <c:ptCount val="21"/>
                <c:pt idx="0">
                  <c:v>51.962083116582853</c:v>
                </c:pt>
                <c:pt idx="1">
                  <c:v>51.640668169469969</c:v>
                </c:pt>
                <c:pt idx="2">
                  <c:v>51.319253222357091</c:v>
                </c:pt>
                <c:pt idx="3">
                  <c:v>50.997838275244206</c:v>
                </c:pt>
                <c:pt idx="4">
                  <c:v>50.676423328131321</c:v>
                </c:pt>
                <c:pt idx="5">
                  <c:v>50.355008381018436</c:v>
                </c:pt>
                <c:pt idx="6">
                  <c:v>50.033593433905551</c:v>
                </c:pt>
                <c:pt idx="7">
                  <c:v>49.712178486792666</c:v>
                </c:pt>
                <c:pt idx="8">
                  <c:v>49.390763539679789</c:v>
                </c:pt>
                <c:pt idx="9">
                  <c:v>49.069348592566904</c:v>
                </c:pt>
                <c:pt idx="10">
                  <c:v>48.747933645454019</c:v>
                </c:pt>
                <c:pt idx="11">
                  <c:v>48.426518698341134</c:v>
                </c:pt>
                <c:pt idx="12">
                  <c:v>48.105103751228256</c:v>
                </c:pt>
                <c:pt idx="13">
                  <c:v>47.783688804115371</c:v>
                </c:pt>
                <c:pt idx="14">
                  <c:v>47.462273857002486</c:v>
                </c:pt>
                <c:pt idx="15">
                  <c:v>47.140858909889602</c:v>
                </c:pt>
                <c:pt idx="16">
                  <c:v>46.819443962776717</c:v>
                </c:pt>
                <c:pt idx="17">
                  <c:v>46.498029015663832</c:v>
                </c:pt>
                <c:pt idx="18">
                  <c:v>46.176614068550954</c:v>
                </c:pt>
                <c:pt idx="19">
                  <c:v>45.855199121438069</c:v>
                </c:pt>
                <c:pt idx="20">
                  <c:v>45.533784174325184</c:v>
                </c:pt>
              </c:numCache>
            </c:numRef>
          </c:yVal>
        </c:ser>
        <c:axId val="190898560"/>
        <c:axId val="190900096"/>
      </c:scatterChart>
      <c:valAx>
        <c:axId val="19089856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0900096"/>
        <c:crosses val="autoZero"/>
        <c:crossBetween val="midCat"/>
      </c:valAx>
      <c:valAx>
        <c:axId val="19090009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089856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31'!$K$12</c:f>
          <c:strCache>
            <c:ptCount val="1"/>
            <c:pt idx="0">
              <c:v>Compensation=42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31'!$O$2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31'!$O$33:$O$53</c:f>
              <c:numCache>
                <c:formatCode>0.0</c:formatCode>
                <c:ptCount val="21"/>
                <c:pt idx="0">
                  <c:v>69.425544019916799</c:v>
                </c:pt>
                <c:pt idx="1">
                  <c:v>67.392968595534853</c:v>
                </c:pt>
                <c:pt idx="2">
                  <c:v>65.360393171152921</c:v>
                </c:pt>
                <c:pt idx="3">
                  <c:v>63.32781774677099</c:v>
                </c:pt>
                <c:pt idx="4">
                  <c:v>61.295242322389043</c:v>
                </c:pt>
                <c:pt idx="5">
                  <c:v>59.262666898007112</c:v>
                </c:pt>
                <c:pt idx="6">
                  <c:v>57.230091473625166</c:v>
                </c:pt>
                <c:pt idx="7">
                  <c:v>55.197516049243234</c:v>
                </c:pt>
                <c:pt idx="8">
                  <c:v>53.164940624861302</c:v>
                </c:pt>
                <c:pt idx="9">
                  <c:v>51.132365200479356</c:v>
                </c:pt>
                <c:pt idx="10">
                  <c:v>49.099789776097424</c:v>
                </c:pt>
                <c:pt idx="11">
                  <c:v>47.067214351715478</c:v>
                </c:pt>
                <c:pt idx="12">
                  <c:v>45.034638927333546</c:v>
                </c:pt>
                <c:pt idx="13">
                  <c:v>43.002063502951614</c:v>
                </c:pt>
                <c:pt idx="14">
                  <c:v>40.969488078569668</c:v>
                </c:pt>
                <c:pt idx="15">
                  <c:v>38.936912654187736</c:v>
                </c:pt>
                <c:pt idx="16">
                  <c:v>36.90433722980579</c:v>
                </c:pt>
                <c:pt idx="17">
                  <c:v>34.871761805423859</c:v>
                </c:pt>
                <c:pt idx="18">
                  <c:v>32.839186381041912</c:v>
                </c:pt>
                <c:pt idx="19">
                  <c:v>30.806610956659981</c:v>
                </c:pt>
                <c:pt idx="20">
                  <c:v>28.774035532278049</c:v>
                </c:pt>
              </c:numCache>
            </c:numRef>
          </c:yVal>
        </c:ser>
        <c:ser>
          <c:idx val="1"/>
          <c:order val="1"/>
          <c:tx>
            <c:strRef>
              <c:f>'Dut 31'!$P$2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31'!$P$33:$P$53</c:f>
              <c:numCache>
                <c:formatCode>0.0</c:formatCode>
                <c:ptCount val="21"/>
                <c:pt idx="0">
                  <c:v>45.518623341057513</c:v>
                </c:pt>
                <c:pt idx="1">
                  <c:v>45.435889333614213</c:v>
                </c:pt>
                <c:pt idx="2">
                  <c:v>45.353155326170921</c:v>
                </c:pt>
                <c:pt idx="3">
                  <c:v>45.270421318727621</c:v>
                </c:pt>
                <c:pt idx="4">
                  <c:v>45.187687311284321</c:v>
                </c:pt>
                <c:pt idx="5">
                  <c:v>45.104953303841022</c:v>
                </c:pt>
                <c:pt idx="6">
                  <c:v>45.022219296397729</c:v>
                </c:pt>
                <c:pt idx="7">
                  <c:v>44.93948528895443</c:v>
                </c:pt>
                <c:pt idx="8">
                  <c:v>44.85675128151113</c:v>
                </c:pt>
                <c:pt idx="9">
                  <c:v>44.774017274067837</c:v>
                </c:pt>
                <c:pt idx="10">
                  <c:v>44.691283266624538</c:v>
                </c:pt>
                <c:pt idx="11">
                  <c:v>44.608549259181238</c:v>
                </c:pt>
                <c:pt idx="12">
                  <c:v>44.525815251737946</c:v>
                </c:pt>
                <c:pt idx="13">
                  <c:v>44.443081244294646</c:v>
                </c:pt>
                <c:pt idx="14">
                  <c:v>44.360347236851347</c:v>
                </c:pt>
                <c:pt idx="15">
                  <c:v>44.277613229408047</c:v>
                </c:pt>
                <c:pt idx="16">
                  <c:v>44.194879221964754</c:v>
                </c:pt>
                <c:pt idx="17">
                  <c:v>44.112145214521455</c:v>
                </c:pt>
                <c:pt idx="18">
                  <c:v>44.029411207078155</c:v>
                </c:pt>
                <c:pt idx="19">
                  <c:v>43.946677199634863</c:v>
                </c:pt>
                <c:pt idx="20">
                  <c:v>43.863943192191563</c:v>
                </c:pt>
              </c:numCache>
            </c:numRef>
          </c:yVal>
        </c:ser>
        <c:ser>
          <c:idx val="2"/>
          <c:order val="2"/>
          <c:tx>
            <c:strRef>
              <c:f>'Dut 31'!$Q$2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31'!$N$33:$N$53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31'!$Q$33:$Q$53</c:f>
              <c:numCache>
                <c:formatCode>0.0</c:formatCode>
                <c:ptCount val="21"/>
                <c:pt idx="0">
                  <c:v>50.224185807021094</c:v>
                </c:pt>
                <c:pt idx="1">
                  <c:v>49.917299692896158</c:v>
                </c:pt>
                <c:pt idx="2">
                  <c:v>49.610413578771215</c:v>
                </c:pt>
                <c:pt idx="3">
                  <c:v>49.30352746464628</c:v>
                </c:pt>
                <c:pt idx="4">
                  <c:v>48.996641350521344</c:v>
                </c:pt>
                <c:pt idx="5">
                  <c:v>48.689755236396408</c:v>
                </c:pt>
                <c:pt idx="6">
                  <c:v>48.382869122271465</c:v>
                </c:pt>
                <c:pt idx="7">
                  <c:v>48.07598300814653</c:v>
                </c:pt>
                <c:pt idx="8">
                  <c:v>47.769096894021594</c:v>
                </c:pt>
                <c:pt idx="9">
                  <c:v>47.462210779896651</c:v>
                </c:pt>
                <c:pt idx="10">
                  <c:v>47.155324665771715</c:v>
                </c:pt>
                <c:pt idx="11">
                  <c:v>46.84843855164678</c:v>
                </c:pt>
                <c:pt idx="12">
                  <c:v>46.541552437521844</c:v>
                </c:pt>
                <c:pt idx="13">
                  <c:v>46.234666323396901</c:v>
                </c:pt>
                <c:pt idx="14">
                  <c:v>45.927780209271965</c:v>
                </c:pt>
                <c:pt idx="15">
                  <c:v>45.62089409514703</c:v>
                </c:pt>
                <c:pt idx="16">
                  <c:v>45.314007981022087</c:v>
                </c:pt>
                <c:pt idx="17">
                  <c:v>45.007121866897151</c:v>
                </c:pt>
                <c:pt idx="18">
                  <c:v>44.700235752772215</c:v>
                </c:pt>
                <c:pt idx="19">
                  <c:v>44.39334963864728</c:v>
                </c:pt>
                <c:pt idx="20">
                  <c:v>44.086463524522337</c:v>
                </c:pt>
              </c:numCache>
            </c:numRef>
          </c:yVal>
        </c:ser>
        <c:axId val="191081472"/>
        <c:axId val="191238912"/>
      </c:scatterChart>
      <c:valAx>
        <c:axId val="19108147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1238912"/>
        <c:crosses val="autoZero"/>
        <c:crossBetween val="midCat"/>
      </c:valAx>
      <c:valAx>
        <c:axId val="19123891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10814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32'!$K$12</c:f>
          <c:strCache>
            <c:ptCount val="1"/>
            <c:pt idx="0">
              <c:v>Compensation=32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32'!$O$2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32'!$O$33:$O$53</c:f>
              <c:numCache>
                <c:formatCode>0.0</c:formatCode>
                <c:ptCount val="21"/>
                <c:pt idx="0">
                  <c:v>53.195172556884984</c:v>
                </c:pt>
                <c:pt idx="1">
                  <c:v>50.711971782280941</c:v>
                </c:pt>
                <c:pt idx="2">
                  <c:v>48.228771007676883</c:v>
                </c:pt>
                <c:pt idx="3">
                  <c:v>45.745570233072826</c:v>
                </c:pt>
                <c:pt idx="4">
                  <c:v>43.262369458468783</c:v>
                </c:pt>
                <c:pt idx="5">
                  <c:v>40.779168683864725</c:v>
                </c:pt>
                <c:pt idx="6">
                  <c:v>38.295967909260682</c:v>
                </c:pt>
                <c:pt idx="7">
                  <c:v>35.812767134656625</c:v>
                </c:pt>
                <c:pt idx="8">
                  <c:v>33.329566360052567</c:v>
                </c:pt>
                <c:pt idx="9">
                  <c:v>30.846365585448524</c:v>
                </c:pt>
                <c:pt idx="10">
                  <c:v>28.363164810844467</c:v>
                </c:pt>
                <c:pt idx="11">
                  <c:v>25.879964036240409</c:v>
                </c:pt>
                <c:pt idx="12">
                  <c:v>23.396763261636366</c:v>
                </c:pt>
                <c:pt idx="13">
                  <c:v>20.913562487032308</c:v>
                </c:pt>
                <c:pt idx="14">
                  <c:v>18.430361712428251</c:v>
                </c:pt>
                <c:pt idx="15">
                  <c:v>15.947160937824208</c:v>
                </c:pt>
                <c:pt idx="16">
                  <c:v>13.46396016322015</c:v>
                </c:pt>
                <c:pt idx="17">
                  <c:v>10.980759388616107</c:v>
                </c:pt>
                <c:pt idx="18">
                  <c:v>8.4975586140120498</c:v>
                </c:pt>
                <c:pt idx="19">
                  <c:v>6.0143578394079924</c:v>
                </c:pt>
                <c:pt idx="20">
                  <c:v>3.5311570648039492</c:v>
                </c:pt>
              </c:numCache>
            </c:numRef>
          </c:yVal>
        </c:ser>
        <c:ser>
          <c:idx val="1"/>
          <c:order val="1"/>
          <c:tx>
            <c:strRef>
              <c:f>'Dut 32'!$P$2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32'!$P$33:$P$53</c:f>
              <c:numCache>
                <c:formatCode>0.0</c:formatCode>
                <c:ptCount val="21"/>
                <c:pt idx="0">
                  <c:v>48.340218271431084</c:v>
                </c:pt>
                <c:pt idx="1">
                  <c:v>48.2421307868333</c:v>
                </c:pt>
                <c:pt idx="2">
                  <c:v>48.144043302235524</c:v>
                </c:pt>
                <c:pt idx="3">
                  <c:v>48.04595581763774</c:v>
                </c:pt>
                <c:pt idx="4">
                  <c:v>47.947868333039956</c:v>
                </c:pt>
                <c:pt idx="5">
                  <c:v>47.849780848442172</c:v>
                </c:pt>
                <c:pt idx="6">
                  <c:v>47.751693363844396</c:v>
                </c:pt>
                <c:pt idx="7">
                  <c:v>47.653605879246612</c:v>
                </c:pt>
                <c:pt idx="8">
                  <c:v>47.555518394648828</c:v>
                </c:pt>
                <c:pt idx="9">
                  <c:v>47.457430910051045</c:v>
                </c:pt>
                <c:pt idx="10">
                  <c:v>47.359343425453261</c:v>
                </c:pt>
                <c:pt idx="11">
                  <c:v>47.261255940855484</c:v>
                </c:pt>
                <c:pt idx="12">
                  <c:v>47.163168456257701</c:v>
                </c:pt>
                <c:pt idx="13">
                  <c:v>47.065080971659917</c:v>
                </c:pt>
                <c:pt idx="14">
                  <c:v>46.966993487062133</c:v>
                </c:pt>
                <c:pt idx="15">
                  <c:v>46.868906002464357</c:v>
                </c:pt>
                <c:pt idx="16">
                  <c:v>46.770818517866573</c:v>
                </c:pt>
                <c:pt idx="17">
                  <c:v>46.672731033268789</c:v>
                </c:pt>
                <c:pt idx="18">
                  <c:v>46.574643548671006</c:v>
                </c:pt>
                <c:pt idx="19">
                  <c:v>46.476556064073229</c:v>
                </c:pt>
                <c:pt idx="20">
                  <c:v>46.378468579475445</c:v>
                </c:pt>
              </c:numCache>
            </c:numRef>
          </c:yVal>
        </c:ser>
        <c:ser>
          <c:idx val="2"/>
          <c:order val="2"/>
          <c:tx>
            <c:strRef>
              <c:f>'Dut 32'!$Q$2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32'!$N$33:$N$53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32'!$Q$33:$Q$53</c:f>
              <c:numCache>
                <c:formatCode>0.0</c:formatCode>
                <c:ptCount val="21"/>
                <c:pt idx="0">
                  <c:v>51.555901102609234</c:v>
                </c:pt>
                <c:pt idx="1">
                  <c:v>51.187895010442411</c:v>
                </c:pt>
                <c:pt idx="2">
                  <c:v>50.819888918275588</c:v>
                </c:pt>
                <c:pt idx="3">
                  <c:v>50.451882826108765</c:v>
                </c:pt>
                <c:pt idx="4">
                  <c:v>50.083876733941942</c:v>
                </c:pt>
                <c:pt idx="5">
                  <c:v>49.715870641775119</c:v>
                </c:pt>
                <c:pt idx="6">
                  <c:v>49.347864549608296</c:v>
                </c:pt>
                <c:pt idx="7">
                  <c:v>48.979858457441473</c:v>
                </c:pt>
                <c:pt idx="8">
                  <c:v>48.61185236527465</c:v>
                </c:pt>
                <c:pt idx="9">
                  <c:v>48.243846273107827</c:v>
                </c:pt>
                <c:pt idx="10">
                  <c:v>47.875840180941005</c:v>
                </c:pt>
                <c:pt idx="11">
                  <c:v>47.507834088774182</c:v>
                </c:pt>
                <c:pt idx="12">
                  <c:v>47.139827996607359</c:v>
                </c:pt>
                <c:pt idx="13">
                  <c:v>46.771821904440536</c:v>
                </c:pt>
                <c:pt idx="14">
                  <c:v>46.403815812273713</c:v>
                </c:pt>
                <c:pt idx="15">
                  <c:v>46.03580972010689</c:v>
                </c:pt>
                <c:pt idx="16">
                  <c:v>45.667803627940067</c:v>
                </c:pt>
                <c:pt idx="17">
                  <c:v>45.299797535773244</c:v>
                </c:pt>
                <c:pt idx="18">
                  <c:v>44.931791443606421</c:v>
                </c:pt>
                <c:pt idx="19">
                  <c:v>44.563785351439599</c:v>
                </c:pt>
                <c:pt idx="20">
                  <c:v>44.195779259272776</c:v>
                </c:pt>
              </c:numCache>
            </c:numRef>
          </c:yVal>
        </c:ser>
        <c:axId val="191355136"/>
        <c:axId val="191361024"/>
      </c:scatterChart>
      <c:valAx>
        <c:axId val="191355136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1361024"/>
        <c:crosses val="autoZero"/>
        <c:crossBetween val="midCat"/>
      </c:valAx>
      <c:valAx>
        <c:axId val="191361024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13551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33'!$K$12</c:f>
          <c:strCache>
            <c:ptCount val="1"/>
            <c:pt idx="0">
              <c:v>Compensation=36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33'!$O$2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33'!$O$33:$O$53</c:f>
              <c:numCache>
                <c:formatCode>0.0</c:formatCode>
                <c:ptCount val="21"/>
                <c:pt idx="0">
                  <c:v>65.124133742516236</c:v>
                </c:pt>
                <c:pt idx="1">
                  <c:v>62.762891968980526</c:v>
                </c:pt>
                <c:pt idx="2">
                  <c:v>60.40165019544483</c:v>
                </c:pt>
                <c:pt idx="3">
                  <c:v>58.040408421909135</c:v>
                </c:pt>
                <c:pt idx="4">
                  <c:v>55.679166648373425</c:v>
                </c:pt>
                <c:pt idx="5">
                  <c:v>53.317924874837729</c:v>
                </c:pt>
                <c:pt idx="6">
                  <c:v>50.956683101302033</c:v>
                </c:pt>
                <c:pt idx="7">
                  <c:v>48.595441327766324</c:v>
                </c:pt>
                <c:pt idx="8">
                  <c:v>46.234199554230628</c:v>
                </c:pt>
                <c:pt idx="9">
                  <c:v>43.872957780694932</c:v>
                </c:pt>
                <c:pt idx="10">
                  <c:v>41.511716007159237</c:v>
                </c:pt>
                <c:pt idx="11">
                  <c:v>39.150474233623527</c:v>
                </c:pt>
                <c:pt idx="12">
                  <c:v>36.789232460087831</c:v>
                </c:pt>
                <c:pt idx="13">
                  <c:v>34.427990686552135</c:v>
                </c:pt>
                <c:pt idx="14">
                  <c:v>32.066748913016426</c:v>
                </c:pt>
                <c:pt idx="15">
                  <c:v>29.70550713948073</c:v>
                </c:pt>
                <c:pt idx="16">
                  <c:v>27.344265365945034</c:v>
                </c:pt>
                <c:pt idx="17">
                  <c:v>24.983023592409324</c:v>
                </c:pt>
                <c:pt idx="18">
                  <c:v>22.621781818873629</c:v>
                </c:pt>
                <c:pt idx="19">
                  <c:v>20.260540045337933</c:v>
                </c:pt>
                <c:pt idx="20">
                  <c:v>17.899298271802223</c:v>
                </c:pt>
              </c:numCache>
            </c:numRef>
          </c:yVal>
        </c:ser>
        <c:ser>
          <c:idx val="1"/>
          <c:order val="1"/>
          <c:tx>
            <c:strRef>
              <c:f>'Dut 33'!$P$2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33'!$P$33:$P$53</c:f>
              <c:numCache>
                <c:formatCode>0.0</c:formatCode>
                <c:ptCount val="21"/>
                <c:pt idx="0">
                  <c:v>51.456789560127035</c:v>
                </c:pt>
                <c:pt idx="1">
                  <c:v>51.364936827776596</c:v>
                </c:pt>
                <c:pt idx="2">
                  <c:v>51.273084095426157</c:v>
                </c:pt>
                <c:pt idx="3">
                  <c:v>51.181231363075717</c:v>
                </c:pt>
                <c:pt idx="4">
                  <c:v>51.089378630725271</c:v>
                </c:pt>
                <c:pt idx="5">
                  <c:v>50.997525898374832</c:v>
                </c:pt>
                <c:pt idx="6">
                  <c:v>50.905673166024393</c:v>
                </c:pt>
                <c:pt idx="7">
                  <c:v>50.813820433673953</c:v>
                </c:pt>
                <c:pt idx="8">
                  <c:v>50.721967701323507</c:v>
                </c:pt>
                <c:pt idx="9">
                  <c:v>50.630114968973068</c:v>
                </c:pt>
                <c:pt idx="10">
                  <c:v>50.538262236622629</c:v>
                </c:pt>
                <c:pt idx="11">
                  <c:v>50.446409504272182</c:v>
                </c:pt>
                <c:pt idx="12">
                  <c:v>50.354556771921743</c:v>
                </c:pt>
                <c:pt idx="13">
                  <c:v>50.262704039571304</c:v>
                </c:pt>
                <c:pt idx="14">
                  <c:v>50.170851307220865</c:v>
                </c:pt>
                <c:pt idx="15">
                  <c:v>50.078998574870425</c:v>
                </c:pt>
                <c:pt idx="16">
                  <c:v>49.987145842519979</c:v>
                </c:pt>
                <c:pt idx="17">
                  <c:v>49.89529311016954</c:v>
                </c:pt>
                <c:pt idx="18">
                  <c:v>49.803440377819101</c:v>
                </c:pt>
                <c:pt idx="19">
                  <c:v>49.711587645468654</c:v>
                </c:pt>
                <c:pt idx="20">
                  <c:v>49.619734913118215</c:v>
                </c:pt>
              </c:numCache>
            </c:numRef>
          </c:yVal>
        </c:ser>
        <c:ser>
          <c:idx val="2"/>
          <c:order val="2"/>
          <c:tx>
            <c:strRef>
              <c:f>'Dut 33'!$Q$2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33'!$N$33:$N$53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33'!$Q$33:$Q$53</c:f>
              <c:numCache>
                <c:formatCode>0.0</c:formatCode>
                <c:ptCount val="21"/>
                <c:pt idx="0">
                  <c:v>54.173926009738743</c:v>
                </c:pt>
                <c:pt idx="1">
                  <c:v>53.817950013133164</c:v>
                </c:pt>
                <c:pt idx="2">
                  <c:v>53.461974016527584</c:v>
                </c:pt>
                <c:pt idx="3">
                  <c:v>53.105998019921998</c:v>
                </c:pt>
                <c:pt idx="4">
                  <c:v>52.750022023316419</c:v>
                </c:pt>
                <c:pt idx="5">
                  <c:v>52.394046026710839</c:v>
                </c:pt>
                <c:pt idx="6">
                  <c:v>52.03807003010526</c:v>
                </c:pt>
                <c:pt idx="7">
                  <c:v>51.682094033499681</c:v>
                </c:pt>
                <c:pt idx="8">
                  <c:v>51.326118036894101</c:v>
                </c:pt>
                <c:pt idx="9">
                  <c:v>50.970142040288522</c:v>
                </c:pt>
                <c:pt idx="10">
                  <c:v>50.614166043682943</c:v>
                </c:pt>
                <c:pt idx="11">
                  <c:v>50.258190047077356</c:v>
                </c:pt>
                <c:pt idx="12">
                  <c:v>49.902214050471777</c:v>
                </c:pt>
                <c:pt idx="13">
                  <c:v>49.546238053866198</c:v>
                </c:pt>
                <c:pt idx="14">
                  <c:v>49.190262057260618</c:v>
                </c:pt>
                <c:pt idx="15">
                  <c:v>48.834286060655032</c:v>
                </c:pt>
                <c:pt idx="16">
                  <c:v>48.478310064049452</c:v>
                </c:pt>
                <c:pt idx="17">
                  <c:v>48.122334067443873</c:v>
                </c:pt>
                <c:pt idx="18">
                  <c:v>47.766358070838294</c:v>
                </c:pt>
                <c:pt idx="19">
                  <c:v>47.410382074232714</c:v>
                </c:pt>
                <c:pt idx="20">
                  <c:v>47.054406077627135</c:v>
                </c:pt>
              </c:numCache>
            </c:numRef>
          </c:yVal>
        </c:ser>
        <c:axId val="191710720"/>
        <c:axId val="191712256"/>
      </c:scatterChart>
      <c:valAx>
        <c:axId val="191710720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1712256"/>
        <c:crosses val="autoZero"/>
        <c:crossBetween val="midCat"/>
      </c:valAx>
      <c:valAx>
        <c:axId val="191712256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17107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34'!$K$12</c:f>
          <c:strCache>
            <c:ptCount val="1"/>
            <c:pt idx="0">
              <c:v>Compensation=35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34'!$O$2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34'!$O$33:$O$53</c:f>
              <c:numCache>
                <c:formatCode>0.0</c:formatCode>
                <c:ptCount val="21"/>
                <c:pt idx="0">
                  <c:v>58.820144527155463</c:v>
                </c:pt>
                <c:pt idx="1">
                  <c:v>56.691592049081791</c:v>
                </c:pt>
                <c:pt idx="2">
                  <c:v>54.563039571008105</c:v>
                </c:pt>
                <c:pt idx="3">
                  <c:v>52.434487092934418</c:v>
                </c:pt>
                <c:pt idx="4">
                  <c:v>50.305934614860746</c:v>
                </c:pt>
                <c:pt idx="5">
                  <c:v>48.17738213678706</c:v>
                </c:pt>
                <c:pt idx="6">
                  <c:v>46.048829658713387</c:v>
                </c:pt>
                <c:pt idx="7">
                  <c:v>43.920277180639701</c:v>
                </c:pt>
                <c:pt idx="8">
                  <c:v>41.791724702566015</c:v>
                </c:pt>
                <c:pt idx="9">
                  <c:v>39.663172224492342</c:v>
                </c:pt>
                <c:pt idx="10">
                  <c:v>37.534619746418656</c:v>
                </c:pt>
                <c:pt idx="11">
                  <c:v>35.40606726834497</c:v>
                </c:pt>
                <c:pt idx="12">
                  <c:v>33.277514790271297</c:v>
                </c:pt>
                <c:pt idx="13">
                  <c:v>31.148962312197611</c:v>
                </c:pt>
                <c:pt idx="14">
                  <c:v>29.020409834123924</c:v>
                </c:pt>
                <c:pt idx="15">
                  <c:v>26.891857356050252</c:v>
                </c:pt>
                <c:pt idx="16">
                  <c:v>24.763304877976566</c:v>
                </c:pt>
                <c:pt idx="17">
                  <c:v>22.634752399902894</c:v>
                </c:pt>
                <c:pt idx="18">
                  <c:v>20.506199921829207</c:v>
                </c:pt>
                <c:pt idx="19">
                  <c:v>18.377647443755521</c:v>
                </c:pt>
                <c:pt idx="20">
                  <c:v>16.249094965681849</c:v>
                </c:pt>
              </c:numCache>
            </c:numRef>
          </c:yVal>
        </c:ser>
        <c:ser>
          <c:idx val="1"/>
          <c:order val="1"/>
          <c:tx>
            <c:strRef>
              <c:f>'Dut 34'!$P$2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34'!$P$33:$P$53</c:f>
              <c:numCache>
                <c:formatCode>0.0</c:formatCode>
                <c:ptCount val="21"/>
                <c:pt idx="0">
                  <c:v>48.820191218716758</c:v>
                </c:pt>
                <c:pt idx="1">
                  <c:v>48.724181524016991</c:v>
                </c:pt>
                <c:pt idx="2">
                  <c:v>48.628171829317232</c:v>
                </c:pt>
                <c:pt idx="3">
                  <c:v>48.532162134617465</c:v>
                </c:pt>
                <c:pt idx="4">
                  <c:v>48.436152439917699</c:v>
                </c:pt>
                <c:pt idx="5">
                  <c:v>48.340142745217939</c:v>
                </c:pt>
                <c:pt idx="6">
                  <c:v>48.244133050518172</c:v>
                </c:pt>
                <c:pt idx="7">
                  <c:v>48.148123355818413</c:v>
                </c:pt>
                <c:pt idx="8">
                  <c:v>48.052113661118646</c:v>
                </c:pt>
                <c:pt idx="9">
                  <c:v>47.95610396641888</c:v>
                </c:pt>
                <c:pt idx="10">
                  <c:v>47.86009427171912</c:v>
                </c:pt>
                <c:pt idx="11">
                  <c:v>47.764084577019354</c:v>
                </c:pt>
                <c:pt idx="12">
                  <c:v>47.668074882319594</c:v>
                </c:pt>
                <c:pt idx="13">
                  <c:v>47.572065187619827</c:v>
                </c:pt>
                <c:pt idx="14">
                  <c:v>47.476055492920061</c:v>
                </c:pt>
                <c:pt idx="15">
                  <c:v>47.380045798220301</c:v>
                </c:pt>
                <c:pt idx="16">
                  <c:v>47.284036103520535</c:v>
                </c:pt>
                <c:pt idx="17">
                  <c:v>47.188026408820775</c:v>
                </c:pt>
                <c:pt idx="18">
                  <c:v>47.092016714121009</c:v>
                </c:pt>
                <c:pt idx="19">
                  <c:v>46.996007019421242</c:v>
                </c:pt>
                <c:pt idx="20">
                  <c:v>46.899997324721483</c:v>
                </c:pt>
              </c:numCache>
            </c:numRef>
          </c:yVal>
        </c:ser>
        <c:ser>
          <c:idx val="2"/>
          <c:order val="2"/>
          <c:tx>
            <c:strRef>
              <c:f>'Dut 34'!$Q$2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34'!$N$33:$N$53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34'!$Q$33:$Q$53</c:f>
              <c:numCache>
                <c:formatCode>0.0</c:formatCode>
                <c:ptCount val="21"/>
                <c:pt idx="0">
                  <c:v>51.291970316632415</c:v>
                </c:pt>
                <c:pt idx="1">
                  <c:v>50.965586649991224</c:v>
                </c:pt>
                <c:pt idx="2">
                  <c:v>50.639202983350025</c:v>
                </c:pt>
                <c:pt idx="3">
                  <c:v>50.312819316708826</c:v>
                </c:pt>
                <c:pt idx="4">
                  <c:v>49.986435650067634</c:v>
                </c:pt>
                <c:pt idx="5">
                  <c:v>49.660051983426428</c:v>
                </c:pt>
                <c:pt idx="6">
                  <c:v>49.333668316785236</c:v>
                </c:pt>
                <c:pt idx="7">
                  <c:v>49.007284650144037</c:v>
                </c:pt>
                <c:pt idx="8">
                  <c:v>48.680900983502838</c:v>
                </c:pt>
                <c:pt idx="9">
                  <c:v>48.354517316861639</c:v>
                </c:pt>
                <c:pt idx="10">
                  <c:v>48.02813365022044</c:v>
                </c:pt>
                <c:pt idx="11">
                  <c:v>47.701749983579248</c:v>
                </c:pt>
                <c:pt idx="12">
                  <c:v>47.375366316938049</c:v>
                </c:pt>
                <c:pt idx="13">
                  <c:v>47.04898265029685</c:v>
                </c:pt>
                <c:pt idx="14">
                  <c:v>46.722598983655651</c:v>
                </c:pt>
                <c:pt idx="15">
                  <c:v>46.396215317014452</c:v>
                </c:pt>
                <c:pt idx="16">
                  <c:v>46.06983165037326</c:v>
                </c:pt>
                <c:pt idx="17">
                  <c:v>45.743447983732061</c:v>
                </c:pt>
                <c:pt idx="18">
                  <c:v>45.417064317090862</c:v>
                </c:pt>
                <c:pt idx="19">
                  <c:v>45.090680650449663</c:v>
                </c:pt>
                <c:pt idx="20">
                  <c:v>44.764296983808464</c:v>
                </c:pt>
              </c:numCache>
            </c:numRef>
          </c:yVal>
        </c:ser>
        <c:axId val="192078592"/>
        <c:axId val="192080128"/>
      </c:scatterChart>
      <c:valAx>
        <c:axId val="19207859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2080128"/>
        <c:crosses val="autoZero"/>
        <c:crossBetween val="midCat"/>
      </c:valAx>
      <c:valAx>
        <c:axId val="192080128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20785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35'!$K$12</c:f>
          <c:strCache>
            <c:ptCount val="1"/>
            <c:pt idx="0">
              <c:v>Compensation=35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35'!$O$2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35'!$O$33:$O$53</c:f>
              <c:numCache>
                <c:formatCode>0.0</c:formatCode>
                <c:ptCount val="21"/>
                <c:pt idx="0">
                  <c:v>62.091028571428566</c:v>
                </c:pt>
                <c:pt idx="1">
                  <c:v>59.742431746031741</c:v>
                </c:pt>
                <c:pt idx="2">
                  <c:v>57.393834920634916</c:v>
                </c:pt>
                <c:pt idx="3">
                  <c:v>55.045238095238091</c:v>
                </c:pt>
                <c:pt idx="4">
                  <c:v>52.696641269841265</c:v>
                </c:pt>
                <c:pt idx="5">
                  <c:v>50.34804444444444</c:v>
                </c:pt>
                <c:pt idx="6">
                  <c:v>47.999447619047615</c:v>
                </c:pt>
                <c:pt idx="7">
                  <c:v>45.65085079365079</c:v>
                </c:pt>
                <c:pt idx="8">
                  <c:v>43.302253968253964</c:v>
                </c:pt>
                <c:pt idx="9">
                  <c:v>40.953657142857139</c:v>
                </c:pt>
                <c:pt idx="10">
                  <c:v>38.605060317460314</c:v>
                </c:pt>
                <c:pt idx="11">
                  <c:v>36.256463492063489</c:v>
                </c:pt>
                <c:pt idx="12">
                  <c:v>33.907866666666663</c:v>
                </c:pt>
                <c:pt idx="13">
                  <c:v>31.559269841269838</c:v>
                </c:pt>
                <c:pt idx="14">
                  <c:v>29.210673015873013</c:v>
                </c:pt>
                <c:pt idx="15">
                  <c:v>26.862076190476188</c:v>
                </c:pt>
                <c:pt idx="16">
                  <c:v>24.513479365079363</c:v>
                </c:pt>
                <c:pt idx="17">
                  <c:v>22.164882539682537</c:v>
                </c:pt>
                <c:pt idx="18">
                  <c:v>19.816285714285726</c:v>
                </c:pt>
                <c:pt idx="19">
                  <c:v>17.467688888888901</c:v>
                </c:pt>
                <c:pt idx="20">
                  <c:v>15.119092063492076</c:v>
                </c:pt>
              </c:numCache>
            </c:numRef>
          </c:yVal>
        </c:ser>
        <c:ser>
          <c:idx val="1"/>
          <c:order val="1"/>
          <c:tx>
            <c:strRef>
              <c:f>'Dut 35'!$P$2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35'!$P$33:$P$53</c:f>
              <c:numCache>
                <c:formatCode>0.0</c:formatCode>
                <c:ptCount val="21"/>
                <c:pt idx="0">
                  <c:v>51.396732618851331</c:v>
                </c:pt>
                <c:pt idx="1">
                  <c:v>51.301435834020332</c:v>
                </c:pt>
                <c:pt idx="2">
                  <c:v>51.206139049189332</c:v>
                </c:pt>
                <c:pt idx="3">
                  <c:v>51.11084226435834</c:v>
                </c:pt>
                <c:pt idx="4">
                  <c:v>51.01554547952734</c:v>
                </c:pt>
                <c:pt idx="5">
                  <c:v>50.92024869469634</c:v>
                </c:pt>
                <c:pt idx="6">
                  <c:v>50.824951909865341</c:v>
                </c:pt>
                <c:pt idx="7">
                  <c:v>50.729655125034348</c:v>
                </c:pt>
                <c:pt idx="8">
                  <c:v>50.634358340203349</c:v>
                </c:pt>
                <c:pt idx="9">
                  <c:v>50.539061555372349</c:v>
                </c:pt>
                <c:pt idx="10">
                  <c:v>50.44376477054135</c:v>
                </c:pt>
                <c:pt idx="11">
                  <c:v>50.348467985710357</c:v>
                </c:pt>
                <c:pt idx="12">
                  <c:v>50.253171200879358</c:v>
                </c:pt>
                <c:pt idx="13">
                  <c:v>50.157874416048358</c:v>
                </c:pt>
                <c:pt idx="14">
                  <c:v>50.062577631217366</c:v>
                </c:pt>
                <c:pt idx="15">
                  <c:v>49.967280846386366</c:v>
                </c:pt>
                <c:pt idx="16">
                  <c:v>49.871984061555366</c:v>
                </c:pt>
                <c:pt idx="17">
                  <c:v>49.776687276724367</c:v>
                </c:pt>
                <c:pt idx="18">
                  <c:v>49.681390491893367</c:v>
                </c:pt>
                <c:pt idx="19">
                  <c:v>49.586093707062375</c:v>
                </c:pt>
                <c:pt idx="20">
                  <c:v>49.490796922231375</c:v>
                </c:pt>
              </c:numCache>
            </c:numRef>
          </c:yVal>
        </c:ser>
        <c:ser>
          <c:idx val="2"/>
          <c:order val="2"/>
          <c:tx>
            <c:strRef>
              <c:f>'Dut 35'!$Q$2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35'!$N$33:$N$53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35'!$Q$33:$Q$53</c:f>
              <c:numCache>
                <c:formatCode>0.0</c:formatCode>
                <c:ptCount val="21"/>
                <c:pt idx="0">
                  <c:v>45.942967498900593</c:v>
                </c:pt>
                <c:pt idx="1">
                  <c:v>45.325918596514526</c:v>
                </c:pt>
                <c:pt idx="2">
                  <c:v>44.708869694128452</c:v>
                </c:pt>
                <c:pt idx="3">
                  <c:v>44.091820791742386</c:v>
                </c:pt>
                <c:pt idx="4">
                  <c:v>43.474771889356319</c:v>
                </c:pt>
                <c:pt idx="5">
                  <c:v>42.857722986970245</c:v>
                </c:pt>
                <c:pt idx="6">
                  <c:v>42.240674084584178</c:v>
                </c:pt>
                <c:pt idx="7">
                  <c:v>41.623625182198111</c:v>
                </c:pt>
                <c:pt idx="8">
                  <c:v>41.006576279812037</c:v>
                </c:pt>
                <c:pt idx="9">
                  <c:v>40.389527377425971</c:v>
                </c:pt>
                <c:pt idx="10">
                  <c:v>39.772478475039904</c:v>
                </c:pt>
                <c:pt idx="11">
                  <c:v>39.15542957265383</c:v>
                </c:pt>
                <c:pt idx="12">
                  <c:v>38.538380670267763</c:v>
                </c:pt>
                <c:pt idx="13">
                  <c:v>37.921331767881696</c:v>
                </c:pt>
                <c:pt idx="14">
                  <c:v>37.304282865495622</c:v>
                </c:pt>
                <c:pt idx="15">
                  <c:v>36.687233963109556</c:v>
                </c:pt>
                <c:pt idx="16">
                  <c:v>36.070185060723489</c:v>
                </c:pt>
                <c:pt idx="17">
                  <c:v>35.453136158337415</c:v>
                </c:pt>
                <c:pt idx="18">
                  <c:v>34.836087255951348</c:v>
                </c:pt>
                <c:pt idx="19">
                  <c:v>34.219038353565281</c:v>
                </c:pt>
                <c:pt idx="20">
                  <c:v>33.601989451179207</c:v>
                </c:pt>
              </c:numCache>
            </c:numRef>
          </c:yVal>
        </c:ser>
        <c:axId val="192356352"/>
        <c:axId val="192357888"/>
      </c:scatterChart>
      <c:valAx>
        <c:axId val="192356352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2357888"/>
        <c:crosses val="autoZero"/>
        <c:crossBetween val="midCat"/>
      </c:valAx>
      <c:valAx>
        <c:axId val="192357888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23563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36'!$K$12</c:f>
          <c:strCache>
            <c:ptCount val="1"/>
            <c:pt idx="0">
              <c:v>Compensation=38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36'!$O$2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36'!$O$33:$O$53</c:f>
              <c:numCache>
                <c:formatCode>0.0</c:formatCode>
                <c:ptCount val="21"/>
                <c:pt idx="0">
                  <c:v>70.468790391288962</c:v>
                </c:pt>
                <c:pt idx="1">
                  <c:v>68.181135977945388</c:v>
                </c:pt>
                <c:pt idx="2">
                  <c:v>65.8934815646018</c:v>
                </c:pt>
                <c:pt idx="3">
                  <c:v>63.605827151258211</c:v>
                </c:pt>
                <c:pt idx="4">
                  <c:v>61.318172737914637</c:v>
                </c:pt>
                <c:pt idx="5">
                  <c:v>59.030518324571048</c:v>
                </c:pt>
                <c:pt idx="6">
                  <c:v>56.74286391122746</c:v>
                </c:pt>
                <c:pt idx="7">
                  <c:v>54.455209497883871</c:v>
                </c:pt>
                <c:pt idx="8">
                  <c:v>52.167555084540297</c:v>
                </c:pt>
                <c:pt idx="9">
                  <c:v>49.879900671196708</c:v>
                </c:pt>
                <c:pt idx="10">
                  <c:v>47.59224625785312</c:v>
                </c:pt>
                <c:pt idx="11">
                  <c:v>45.304591844509545</c:v>
                </c:pt>
                <c:pt idx="12">
                  <c:v>43.016937431165957</c:v>
                </c:pt>
                <c:pt idx="13">
                  <c:v>40.729283017822368</c:v>
                </c:pt>
                <c:pt idx="14">
                  <c:v>38.44162860447878</c:v>
                </c:pt>
                <c:pt idx="15">
                  <c:v>36.153974191135205</c:v>
                </c:pt>
                <c:pt idx="16">
                  <c:v>33.866319777791617</c:v>
                </c:pt>
                <c:pt idx="17">
                  <c:v>31.578665364448028</c:v>
                </c:pt>
                <c:pt idx="18">
                  <c:v>29.291010951104454</c:v>
                </c:pt>
                <c:pt idx="19">
                  <c:v>27.003356537760865</c:v>
                </c:pt>
                <c:pt idx="20">
                  <c:v>24.715702124417277</c:v>
                </c:pt>
              </c:numCache>
            </c:numRef>
          </c:yVal>
        </c:ser>
        <c:ser>
          <c:idx val="1"/>
          <c:order val="1"/>
          <c:tx>
            <c:strRef>
              <c:f>'Dut 36'!$P$2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36'!$P$33:$P$53</c:f>
              <c:numCache>
                <c:formatCode>0.0</c:formatCode>
                <c:ptCount val="21"/>
                <c:pt idx="0">
                  <c:v>52.967865281195877</c:v>
                </c:pt>
                <c:pt idx="1">
                  <c:v>52.863132561601802</c:v>
                </c:pt>
                <c:pt idx="2">
                  <c:v>52.758399842007719</c:v>
                </c:pt>
                <c:pt idx="3">
                  <c:v>52.653667122413637</c:v>
                </c:pt>
                <c:pt idx="4">
                  <c:v>52.548934402819555</c:v>
                </c:pt>
                <c:pt idx="5">
                  <c:v>52.444201683225472</c:v>
                </c:pt>
                <c:pt idx="6">
                  <c:v>52.33946896363139</c:v>
                </c:pt>
                <c:pt idx="7">
                  <c:v>52.234736244037315</c:v>
                </c:pt>
                <c:pt idx="8">
                  <c:v>52.130003524443232</c:v>
                </c:pt>
                <c:pt idx="9">
                  <c:v>52.02527080484915</c:v>
                </c:pt>
                <c:pt idx="10">
                  <c:v>51.920538085255068</c:v>
                </c:pt>
                <c:pt idx="11">
                  <c:v>51.815805365660985</c:v>
                </c:pt>
                <c:pt idx="12">
                  <c:v>51.71107264606691</c:v>
                </c:pt>
                <c:pt idx="13">
                  <c:v>51.606339926472828</c:v>
                </c:pt>
                <c:pt idx="14">
                  <c:v>51.501607206878745</c:v>
                </c:pt>
                <c:pt idx="15">
                  <c:v>51.396874487284663</c:v>
                </c:pt>
                <c:pt idx="16">
                  <c:v>51.29214176769058</c:v>
                </c:pt>
                <c:pt idx="17">
                  <c:v>51.187409048096498</c:v>
                </c:pt>
                <c:pt idx="18">
                  <c:v>51.082676328502416</c:v>
                </c:pt>
                <c:pt idx="19">
                  <c:v>50.97794360890834</c:v>
                </c:pt>
                <c:pt idx="20">
                  <c:v>50.873210889314258</c:v>
                </c:pt>
              </c:numCache>
            </c:numRef>
          </c:yVal>
        </c:ser>
        <c:ser>
          <c:idx val="2"/>
          <c:order val="2"/>
          <c:tx>
            <c:strRef>
              <c:f>'Dut 36'!$Q$2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36'!$N$33:$N$53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36'!$Q$33:$Q$53</c:f>
              <c:numCache>
                <c:formatCode>0.0</c:formatCode>
                <c:ptCount val="21"/>
                <c:pt idx="0">
                  <c:v>56.12939404472251</c:v>
                </c:pt>
                <c:pt idx="1">
                  <c:v>55.787580427142473</c:v>
                </c:pt>
                <c:pt idx="2">
                  <c:v>55.445766809562429</c:v>
                </c:pt>
                <c:pt idx="3">
                  <c:v>55.103953191982392</c:v>
                </c:pt>
                <c:pt idx="4">
                  <c:v>54.762139574402347</c:v>
                </c:pt>
                <c:pt idx="5">
                  <c:v>54.42032595682231</c:v>
                </c:pt>
                <c:pt idx="6">
                  <c:v>54.078512339242266</c:v>
                </c:pt>
                <c:pt idx="7">
                  <c:v>53.736698721662222</c:v>
                </c:pt>
                <c:pt idx="8">
                  <c:v>53.394885104082185</c:v>
                </c:pt>
                <c:pt idx="9">
                  <c:v>53.053071486502141</c:v>
                </c:pt>
                <c:pt idx="10">
                  <c:v>52.711257868922104</c:v>
                </c:pt>
                <c:pt idx="11">
                  <c:v>52.36944425134206</c:v>
                </c:pt>
                <c:pt idx="12">
                  <c:v>52.027630633762023</c:v>
                </c:pt>
                <c:pt idx="13">
                  <c:v>51.685817016181979</c:v>
                </c:pt>
                <c:pt idx="14">
                  <c:v>51.344003398601942</c:v>
                </c:pt>
                <c:pt idx="15">
                  <c:v>51.002189781021897</c:v>
                </c:pt>
                <c:pt idx="16">
                  <c:v>50.660376163441853</c:v>
                </c:pt>
                <c:pt idx="17">
                  <c:v>50.318562545861816</c:v>
                </c:pt>
                <c:pt idx="18">
                  <c:v>49.976748928281779</c:v>
                </c:pt>
                <c:pt idx="19">
                  <c:v>49.634935310701735</c:v>
                </c:pt>
                <c:pt idx="20">
                  <c:v>49.293121693121691</c:v>
                </c:pt>
              </c:numCache>
            </c:numRef>
          </c:yVal>
        </c:ser>
        <c:axId val="192625664"/>
        <c:axId val="192631552"/>
      </c:scatterChart>
      <c:valAx>
        <c:axId val="19262566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2631552"/>
        <c:crosses val="autoZero"/>
        <c:crossBetween val="midCat"/>
      </c:valAx>
      <c:valAx>
        <c:axId val="19263155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2625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37'!$K$12</c:f>
          <c:strCache>
            <c:ptCount val="1"/>
            <c:pt idx="0">
              <c:v>Compensation=33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37'!$O$2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37'!$O$33:$O$53</c:f>
              <c:numCache>
                <c:formatCode>0.0</c:formatCode>
                <c:ptCount val="21"/>
                <c:pt idx="0">
                  <c:v>52.8961114535702</c:v>
                </c:pt>
                <c:pt idx="1">
                  <c:v>50.74970558739912</c:v>
                </c:pt>
                <c:pt idx="2">
                  <c:v>48.603299721228055</c:v>
                </c:pt>
                <c:pt idx="3">
                  <c:v>46.45689385505699</c:v>
                </c:pt>
                <c:pt idx="4">
                  <c:v>44.31048798888591</c:v>
                </c:pt>
                <c:pt idx="5">
                  <c:v>42.164082122714845</c:v>
                </c:pt>
                <c:pt idx="6">
                  <c:v>40.017676256543766</c:v>
                </c:pt>
                <c:pt idx="7">
                  <c:v>37.8712703903727</c:v>
                </c:pt>
                <c:pt idx="8">
                  <c:v>35.724864524201621</c:v>
                </c:pt>
                <c:pt idx="9">
                  <c:v>33.578458658030556</c:v>
                </c:pt>
                <c:pt idx="10">
                  <c:v>31.432052791859476</c:v>
                </c:pt>
                <c:pt idx="11">
                  <c:v>29.285646925688411</c:v>
                </c:pt>
                <c:pt idx="12">
                  <c:v>27.139241059517332</c:v>
                </c:pt>
                <c:pt idx="13">
                  <c:v>24.992835193346266</c:v>
                </c:pt>
                <c:pt idx="14">
                  <c:v>22.846429327175187</c:v>
                </c:pt>
                <c:pt idx="15">
                  <c:v>20.700023461004122</c:v>
                </c:pt>
                <c:pt idx="16">
                  <c:v>18.553617594833042</c:v>
                </c:pt>
                <c:pt idx="17">
                  <c:v>16.407211728661977</c:v>
                </c:pt>
                <c:pt idx="18">
                  <c:v>14.260805862490912</c:v>
                </c:pt>
                <c:pt idx="19">
                  <c:v>12.114399996319833</c:v>
                </c:pt>
                <c:pt idx="20">
                  <c:v>9.9679941301487673</c:v>
                </c:pt>
              </c:numCache>
            </c:numRef>
          </c:yVal>
        </c:ser>
        <c:ser>
          <c:idx val="1"/>
          <c:order val="1"/>
          <c:tx>
            <c:strRef>
              <c:f>'Dut 37'!$P$2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37'!$P$33:$P$53</c:f>
              <c:numCache>
                <c:formatCode>0.0</c:formatCode>
                <c:ptCount val="21"/>
                <c:pt idx="0">
                  <c:v>46.236328361217495</c:v>
                </c:pt>
                <c:pt idx="1">
                  <c:v>46.153799637169925</c:v>
                </c:pt>
                <c:pt idx="2">
                  <c:v>46.071270913122355</c:v>
                </c:pt>
                <c:pt idx="3">
                  <c:v>45.988742189074785</c:v>
                </c:pt>
                <c:pt idx="4">
                  <c:v>45.906213465027214</c:v>
                </c:pt>
                <c:pt idx="5">
                  <c:v>45.823684740979644</c:v>
                </c:pt>
                <c:pt idx="6">
                  <c:v>45.741156016932074</c:v>
                </c:pt>
                <c:pt idx="7">
                  <c:v>45.658627292884503</c:v>
                </c:pt>
                <c:pt idx="8">
                  <c:v>45.576098568836926</c:v>
                </c:pt>
                <c:pt idx="9">
                  <c:v>45.493569844789356</c:v>
                </c:pt>
                <c:pt idx="10">
                  <c:v>45.411041120741785</c:v>
                </c:pt>
                <c:pt idx="11">
                  <c:v>45.328512396694215</c:v>
                </c:pt>
                <c:pt idx="12">
                  <c:v>45.245983672646645</c:v>
                </c:pt>
                <c:pt idx="13">
                  <c:v>45.163454948599075</c:v>
                </c:pt>
                <c:pt idx="14">
                  <c:v>45.080926224551504</c:v>
                </c:pt>
                <c:pt idx="15">
                  <c:v>44.998397500503934</c:v>
                </c:pt>
                <c:pt idx="16">
                  <c:v>44.915868776456357</c:v>
                </c:pt>
                <c:pt idx="17">
                  <c:v>44.833340052408786</c:v>
                </c:pt>
                <c:pt idx="18">
                  <c:v>44.750811328361216</c:v>
                </c:pt>
                <c:pt idx="19">
                  <c:v>44.668282604313646</c:v>
                </c:pt>
                <c:pt idx="20">
                  <c:v>44.585753880266076</c:v>
                </c:pt>
              </c:numCache>
            </c:numRef>
          </c:yVal>
        </c:ser>
        <c:ser>
          <c:idx val="2"/>
          <c:order val="2"/>
          <c:tx>
            <c:strRef>
              <c:f>'Dut 37'!$Q$2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37'!$N$33:$N$53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37'!$Q$33:$Q$53</c:f>
              <c:numCache>
                <c:formatCode>0.0</c:formatCode>
                <c:ptCount val="21"/>
                <c:pt idx="0">
                  <c:v>48.711041306671511</c:v>
                </c:pt>
                <c:pt idx="1">
                  <c:v>48.394460334695154</c:v>
                </c:pt>
                <c:pt idx="2">
                  <c:v>48.077879362718797</c:v>
                </c:pt>
                <c:pt idx="3">
                  <c:v>47.761298390742439</c:v>
                </c:pt>
                <c:pt idx="4">
                  <c:v>47.444717418766075</c:v>
                </c:pt>
                <c:pt idx="5">
                  <c:v>47.128136446789725</c:v>
                </c:pt>
                <c:pt idx="6">
                  <c:v>46.81155547481336</c:v>
                </c:pt>
                <c:pt idx="7">
                  <c:v>46.49497450283701</c:v>
                </c:pt>
                <c:pt idx="8">
                  <c:v>46.178393530860646</c:v>
                </c:pt>
                <c:pt idx="9">
                  <c:v>45.861812558884289</c:v>
                </c:pt>
                <c:pt idx="10">
                  <c:v>45.545231586907931</c:v>
                </c:pt>
                <c:pt idx="11">
                  <c:v>45.228650614931574</c:v>
                </c:pt>
                <c:pt idx="12">
                  <c:v>44.912069642955217</c:v>
                </c:pt>
                <c:pt idx="13">
                  <c:v>44.59548867097886</c:v>
                </c:pt>
                <c:pt idx="14">
                  <c:v>44.278907699002502</c:v>
                </c:pt>
                <c:pt idx="15">
                  <c:v>43.962326727026145</c:v>
                </c:pt>
                <c:pt idx="16">
                  <c:v>43.645745755049788</c:v>
                </c:pt>
                <c:pt idx="17">
                  <c:v>43.329164783073431</c:v>
                </c:pt>
                <c:pt idx="18">
                  <c:v>43.012583811097073</c:v>
                </c:pt>
                <c:pt idx="19">
                  <c:v>42.696002839120709</c:v>
                </c:pt>
                <c:pt idx="20">
                  <c:v>42.379421867144359</c:v>
                </c:pt>
              </c:numCache>
            </c:numRef>
          </c:yVal>
        </c:ser>
        <c:axId val="192899328"/>
        <c:axId val="192913408"/>
      </c:scatterChart>
      <c:valAx>
        <c:axId val="192899328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2913408"/>
        <c:crosses val="autoZero"/>
        <c:crossBetween val="midCat"/>
      </c:valAx>
      <c:valAx>
        <c:axId val="192913408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28993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38'!$K$12</c:f>
          <c:strCache>
            <c:ptCount val="1"/>
            <c:pt idx="0">
              <c:v>Compensation=38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38'!$O$2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38'!$O$33:$O$53</c:f>
              <c:numCache>
                <c:formatCode>0.0</c:formatCode>
                <c:ptCount val="21"/>
                <c:pt idx="0">
                  <c:v>71.207061631416423</c:v>
                </c:pt>
                <c:pt idx="1">
                  <c:v>68.788316157174876</c:v>
                </c:pt>
                <c:pt idx="2">
                  <c:v>66.369570682933315</c:v>
                </c:pt>
                <c:pt idx="3">
                  <c:v>63.950825208691754</c:v>
                </c:pt>
                <c:pt idx="4">
                  <c:v>61.532079734450207</c:v>
                </c:pt>
                <c:pt idx="5">
                  <c:v>59.113334260208646</c:v>
                </c:pt>
                <c:pt idx="6">
                  <c:v>56.694588785967099</c:v>
                </c:pt>
                <c:pt idx="7">
                  <c:v>54.275843311725538</c:v>
                </c:pt>
                <c:pt idx="8">
                  <c:v>51.857097837483977</c:v>
                </c:pt>
                <c:pt idx="9">
                  <c:v>49.43835236324243</c:v>
                </c:pt>
                <c:pt idx="10">
                  <c:v>47.019606889000869</c:v>
                </c:pt>
                <c:pt idx="11">
                  <c:v>44.600861414759322</c:v>
                </c:pt>
                <c:pt idx="12">
                  <c:v>42.182115940517761</c:v>
                </c:pt>
                <c:pt idx="13">
                  <c:v>39.7633704662762</c:v>
                </c:pt>
                <c:pt idx="14">
                  <c:v>37.344624992034653</c:v>
                </c:pt>
                <c:pt idx="15">
                  <c:v>34.925879517793092</c:v>
                </c:pt>
                <c:pt idx="16">
                  <c:v>32.507134043551545</c:v>
                </c:pt>
                <c:pt idx="17">
                  <c:v>30.088388569309984</c:v>
                </c:pt>
                <c:pt idx="18">
                  <c:v>27.669643095068437</c:v>
                </c:pt>
                <c:pt idx="19">
                  <c:v>25.250897620826876</c:v>
                </c:pt>
                <c:pt idx="20">
                  <c:v>22.832152146585315</c:v>
                </c:pt>
              </c:numCache>
            </c:numRef>
          </c:yVal>
        </c:ser>
        <c:ser>
          <c:idx val="1"/>
          <c:order val="1"/>
          <c:tx>
            <c:strRef>
              <c:f>'Dut 38'!$P$2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38'!$P$33:$P$53</c:f>
              <c:numCache>
                <c:formatCode>0.0</c:formatCode>
                <c:ptCount val="21"/>
                <c:pt idx="0">
                  <c:v>52.677255753581932</c:v>
                </c:pt>
                <c:pt idx="1">
                  <c:v>52.571733562977371</c:v>
                </c:pt>
                <c:pt idx="2">
                  <c:v>52.466211372372811</c:v>
                </c:pt>
                <c:pt idx="3">
                  <c:v>52.360689181768244</c:v>
                </c:pt>
                <c:pt idx="4">
                  <c:v>52.255166991163684</c:v>
                </c:pt>
                <c:pt idx="5">
                  <c:v>52.149644800559116</c:v>
                </c:pt>
                <c:pt idx="6">
                  <c:v>52.044122609954556</c:v>
                </c:pt>
                <c:pt idx="7">
                  <c:v>51.938600419349996</c:v>
                </c:pt>
                <c:pt idx="8">
                  <c:v>51.833078228745428</c:v>
                </c:pt>
                <c:pt idx="9">
                  <c:v>51.727556038140868</c:v>
                </c:pt>
                <c:pt idx="10">
                  <c:v>51.622033847536301</c:v>
                </c:pt>
                <c:pt idx="11">
                  <c:v>51.516511656931741</c:v>
                </c:pt>
                <c:pt idx="12">
                  <c:v>51.41098946632718</c:v>
                </c:pt>
                <c:pt idx="13">
                  <c:v>51.305467275722613</c:v>
                </c:pt>
                <c:pt idx="14">
                  <c:v>51.199945085118053</c:v>
                </c:pt>
                <c:pt idx="15">
                  <c:v>51.094422894513492</c:v>
                </c:pt>
                <c:pt idx="16">
                  <c:v>50.988900703908925</c:v>
                </c:pt>
                <c:pt idx="17">
                  <c:v>50.883378513304365</c:v>
                </c:pt>
                <c:pt idx="18">
                  <c:v>50.777856322699805</c:v>
                </c:pt>
                <c:pt idx="19">
                  <c:v>50.672334132095237</c:v>
                </c:pt>
                <c:pt idx="20">
                  <c:v>50.566811941490677</c:v>
                </c:pt>
              </c:numCache>
            </c:numRef>
          </c:yVal>
        </c:ser>
        <c:ser>
          <c:idx val="2"/>
          <c:order val="2"/>
          <c:tx>
            <c:strRef>
              <c:f>'Dut 38'!$Q$2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38'!$N$33:$N$53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38'!$Q$33:$Q$53</c:f>
              <c:numCache>
                <c:formatCode>0.0</c:formatCode>
                <c:ptCount val="21"/>
                <c:pt idx="0">
                  <c:v>55.968549294080098</c:v>
                </c:pt>
                <c:pt idx="1">
                  <c:v>55.61715550115342</c:v>
                </c:pt>
                <c:pt idx="2">
                  <c:v>55.265761708226741</c:v>
                </c:pt>
                <c:pt idx="3">
                  <c:v>54.914367915300062</c:v>
                </c:pt>
                <c:pt idx="4">
                  <c:v>54.56297412237339</c:v>
                </c:pt>
                <c:pt idx="5">
                  <c:v>54.211580329446711</c:v>
                </c:pt>
                <c:pt idx="6">
                  <c:v>53.860186536520033</c:v>
                </c:pt>
                <c:pt idx="7">
                  <c:v>53.508792743593361</c:v>
                </c:pt>
                <c:pt idx="8">
                  <c:v>53.157398950666675</c:v>
                </c:pt>
                <c:pt idx="9">
                  <c:v>52.806005157740003</c:v>
                </c:pt>
                <c:pt idx="10">
                  <c:v>52.454611364813324</c:v>
                </c:pt>
                <c:pt idx="11">
                  <c:v>52.103217571886645</c:v>
                </c:pt>
                <c:pt idx="12">
                  <c:v>51.751823778959974</c:v>
                </c:pt>
                <c:pt idx="13">
                  <c:v>51.400429986033295</c:v>
                </c:pt>
                <c:pt idx="14">
                  <c:v>51.049036193106616</c:v>
                </c:pt>
                <c:pt idx="15">
                  <c:v>50.697642400179937</c:v>
                </c:pt>
                <c:pt idx="16">
                  <c:v>50.346248607253258</c:v>
                </c:pt>
                <c:pt idx="17">
                  <c:v>49.994854814326587</c:v>
                </c:pt>
                <c:pt idx="18">
                  <c:v>49.643461021399908</c:v>
                </c:pt>
                <c:pt idx="19">
                  <c:v>49.292067228473229</c:v>
                </c:pt>
                <c:pt idx="20">
                  <c:v>48.940673435546557</c:v>
                </c:pt>
              </c:numCache>
            </c:numRef>
          </c:yVal>
        </c:ser>
        <c:axId val="193242624"/>
        <c:axId val="193244160"/>
      </c:scatterChart>
      <c:valAx>
        <c:axId val="19324262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3244160"/>
        <c:crosses val="autoZero"/>
        <c:crossBetween val="midCat"/>
      </c:valAx>
      <c:valAx>
        <c:axId val="19324416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324262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39'!$K$12</c:f>
          <c:strCache>
            <c:ptCount val="1"/>
            <c:pt idx="0">
              <c:v>Compensation=42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39'!$O$2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39'!$N$33:$N$53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39'!$O$33:$O$53</c:f>
              <c:numCache>
                <c:formatCode>0.0</c:formatCode>
                <c:ptCount val="21"/>
                <c:pt idx="0">
                  <c:v>72.222116999734226</c:v>
                </c:pt>
                <c:pt idx="1">
                  <c:v>70.023056329653301</c:v>
                </c:pt>
                <c:pt idx="2">
                  <c:v>67.82399565957239</c:v>
                </c:pt>
                <c:pt idx="3">
                  <c:v>65.624934989491479</c:v>
                </c:pt>
                <c:pt idx="4">
                  <c:v>63.425874319410553</c:v>
                </c:pt>
                <c:pt idx="5">
                  <c:v>61.226813649329642</c:v>
                </c:pt>
                <c:pt idx="6">
                  <c:v>59.027752979248717</c:v>
                </c:pt>
                <c:pt idx="7">
                  <c:v>56.828692309167806</c:v>
                </c:pt>
                <c:pt idx="8">
                  <c:v>54.629631639086881</c:v>
                </c:pt>
                <c:pt idx="9">
                  <c:v>52.43057096900597</c:v>
                </c:pt>
                <c:pt idx="10">
                  <c:v>50.231510298925045</c:v>
                </c:pt>
                <c:pt idx="11">
                  <c:v>48.032449628844134</c:v>
                </c:pt>
                <c:pt idx="12">
                  <c:v>45.833388958763209</c:v>
                </c:pt>
                <c:pt idx="13">
                  <c:v>43.634328288682298</c:v>
                </c:pt>
                <c:pt idx="14">
                  <c:v>41.435267618601372</c:v>
                </c:pt>
                <c:pt idx="15">
                  <c:v>39.236206948520461</c:v>
                </c:pt>
                <c:pt idx="16">
                  <c:v>37.037146278439536</c:v>
                </c:pt>
                <c:pt idx="17">
                  <c:v>34.838085608358625</c:v>
                </c:pt>
                <c:pt idx="18">
                  <c:v>32.639024938277714</c:v>
                </c:pt>
                <c:pt idx="19">
                  <c:v>30.439964268196789</c:v>
                </c:pt>
                <c:pt idx="20">
                  <c:v>28.240903598115878</c:v>
                </c:pt>
              </c:numCache>
            </c:numRef>
          </c:yVal>
        </c:ser>
        <c:ser>
          <c:idx val="1"/>
          <c:order val="1"/>
          <c:tx>
            <c:strRef>
              <c:f>'Dut 39'!$P$2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39'!$N$33:$N$53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39'!$P$33:$P$53</c:f>
              <c:numCache>
                <c:formatCode>0.0</c:formatCode>
                <c:ptCount val="21"/>
                <c:pt idx="0">
                  <c:v>45.622025168485727</c:v>
                </c:pt>
                <c:pt idx="1">
                  <c:v>45.534748732629581</c:v>
                </c:pt>
                <c:pt idx="2">
                  <c:v>45.447472296773434</c:v>
                </c:pt>
                <c:pt idx="3">
                  <c:v>45.360195860917287</c:v>
                </c:pt>
                <c:pt idx="4">
                  <c:v>45.27291942506114</c:v>
                </c:pt>
                <c:pt idx="5">
                  <c:v>45.185642989205</c:v>
                </c:pt>
                <c:pt idx="6">
                  <c:v>45.098366553348853</c:v>
                </c:pt>
                <c:pt idx="7">
                  <c:v>45.011090117492706</c:v>
                </c:pt>
                <c:pt idx="8">
                  <c:v>44.92381368163656</c:v>
                </c:pt>
                <c:pt idx="9">
                  <c:v>44.836537245780413</c:v>
                </c:pt>
                <c:pt idx="10">
                  <c:v>44.749260809924266</c:v>
                </c:pt>
                <c:pt idx="11">
                  <c:v>44.661984374068119</c:v>
                </c:pt>
                <c:pt idx="12">
                  <c:v>44.574707938211972</c:v>
                </c:pt>
                <c:pt idx="13">
                  <c:v>44.487431502355832</c:v>
                </c:pt>
                <c:pt idx="14">
                  <c:v>44.400155066499686</c:v>
                </c:pt>
                <c:pt idx="15">
                  <c:v>44.312878630643539</c:v>
                </c:pt>
                <c:pt idx="16">
                  <c:v>44.225602194787392</c:v>
                </c:pt>
                <c:pt idx="17">
                  <c:v>44.138325758931245</c:v>
                </c:pt>
                <c:pt idx="18">
                  <c:v>44.051049323075098</c:v>
                </c:pt>
                <c:pt idx="19">
                  <c:v>43.963772887218951</c:v>
                </c:pt>
                <c:pt idx="20">
                  <c:v>43.876496451362812</c:v>
                </c:pt>
              </c:numCache>
            </c:numRef>
          </c:yVal>
        </c:ser>
        <c:ser>
          <c:idx val="2"/>
          <c:order val="2"/>
          <c:tx>
            <c:strRef>
              <c:f>'Dut 39'!$Q$2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39'!$N$33:$N$53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39'!$Q$33:$Q$53</c:f>
              <c:numCache>
                <c:formatCode>0.0</c:formatCode>
                <c:ptCount val="21"/>
                <c:pt idx="0">
                  <c:v>50.725349676172463</c:v>
                </c:pt>
                <c:pt idx="1">
                  <c:v>50.405517711001139</c:v>
                </c:pt>
                <c:pt idx="2">
                  <c:v>50.085685745829807</c:v>
                </c:pt>
                <c:pt idx="3">
                  <c:v>49.765853780658482</c:v>
                </c:pt>
                <c:pt idx="4">
                  <c:v>49.446021815487157</c:v>
                </c:pt>
                <c:pt idx="5">
                  <c:v>49.126189850315825</c:v>
                </c:pt>
                <c:pt idx="6">
                  <c:v>48.8063578851445</c:v>
                </c:pt>
                <c:pt idx="7">
                  <c:v>48.486525919973175</c:v>
                </c:pt>
                <c:pt idx="8">
                  <c:v>48.166693954801843</c:v>
                </c:pt>
                <c:pt idx="9">
                  <c:v>47.846861989630519</c:v>
                </c:pt>
                <c:pt idx="10">
                  <c:v>47.527030024459194</c:v>
                </c:pt>
                <c:pt idx="11">
                  <c:v>47.207198059287862</c:v>
                </c:pt>
                <c:pt idx="12">
                  <c:v>46.887366094116537</c:v>
                </c:pt>
                <c:pt idx="13">
                  <c:v>46.567534128945212</c:v>
                </c:pt>
                <c:pt idx="14">
                  <c:v>46.24770216377388</c:v>
                </c:pt>
                <c:pt idx="15">
                  <c:v>45.927870198602555</c:v>
                </c:pt>
                <c:pt idx="16">
                  <c:v>45.60803823343123</c:v>
                </c:pt>
                <c:pt idx="17">
                  <c:v>45.288206268259906</c:v>
                </c:pt>
                <c:pt idx="18">
                  <c:v>44.968374303088581</c:v>
                </c:pt>
                <c:pt idx="19">
                  <c:v>44.648542337917249</c:v>
                </c:pt>
                <c:pt idx="20">
                  <c:v>44.328710372745924</c:v>
                </c:pt>
              </c:numCache>
            </c:numRef>
          </c:yVal>
        </c:ser>
        <c:axId val="193417984"/>
        <c:axId val="193419520"/>
      </c:scatterChart>
      <c:valAx>
        <c:axId val="193417984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3419520"/>
        <c:crosses val="autoZero"/>
        <c:crossBetween val="midCat"/>
      </c:valAx>
      <c:valAx>
        <c:axId val="193419520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341798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'Dut 40'!$K$12</c:f>
          <c:strCache>
            <c:ptCount val="1"/>
            <c:pt idx="0">
              <c:v>Compensation=36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'Dut 40'!$O$2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'Dut 40'!$N$33:$N$53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40'!$O$33:$O$53</c:f>
              <c:numCache>
                <c:formatCode>0.0</c:formatCode>
                <c:ptCount val="21"/>
                <c:pt idx="0">
                  <c:v>62.882548485996772</c:v>
                </c:pt>
                <c:pt idx="1">
                  <c:v>60.753642908815337</c:v>
                </c:pt>
                <c:pt idx="2">
                  <c:v>58.624737331633895</c:v>
                </c:pt>
                <c:pt idx="3">
                  <c:v>56.495831754452453</c:v>
                </c:pt>
                <c:pt idx="4">
                  <c:v>54.366926177271012</c:v>
                </c:pt>
                <c:pt idx="5">
                  <c:v>52.238020600089584</c:v>
                </c:pt>
                <c:pt idx="6">
                  <c:v>50.109115022908142</c:v>
                </c:pt>
                <c:pt idx="7">
                  <c:v>47.9802094457267</c:v>
                </c:pt>
                <c:pt idx="8">
                  <c:v>45.851303868545259</c:v>
                </c:pt>
                <c:pt idx="9">
                  <c:v>43.722398291363817</c:v>
                </c:pt>
                <c:pt idx="10">
                  <c:v>41.593492714182389</c:v>
                </c:pt>
                <c:pt idx="11">
                  <c:v>39.464587137000947</c:v>
                </c:pt>
                <c:pt idx="12">
                  <c:v>37.335681559819506</c:v>
                </c:pt>
                <c:pt idx="13">
                  <c:v>35.206775982638064</c:v>
                </c:pt>
                <c:pt idx="14">
                  <c:v>33.077870405456622</c:v>
                </c:pt>
                <c:pt idx="15">
                  <c:v>30.94896482827518</c:v>
                </c:pt>
                <c:pt idx="16">
                  <c:v>28.820059251093753</c:v>
                </c:pt>
                <c:pt idx="17">
                  <c:v>26.691153673912311</c:v>
                </c:pt>
                <c:pt idx="18">
                  <c:v>24.562248096730869</c:v>
                </c:pt>
                <c:pt idx="19">
                  <c:v>22.433342519549427</c:v>
                </c:pt>
                <c:pt idx="20">
                  <c:v>20.304436942367985</c:v>
                </c:pt>
              </c:numCache>
            </c:numRef>
          </c:yVal>
        </c:ser>
        <c:ser>
          <c:idx val="1"/>
          <c:order val="1"/>
          <c:tx>
            <c:strRef>
              <c:f>'Dut 40'!$P$2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'Dut 40'!$N$33:$N$53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40'!$P$33:$P$53</c:f>
              <c:numCache>
                <c:formatCode>0.0</c:formatCode>
                <c:ptCount val="21"/>
                <c:pt idx="0">
                  <c:v>50.268704995499547</c:v>
                </c:pt>
                <c:pt idx="1">
                  <c:v>50.174547142214223</c:v>
                </c:pt>
                <c:pt idx="2">
                  <c:v>50.080389288928892</c:v>
                </c:pt>
                <c:pt idx="3">
                  <c:v>49.98623143564356</c:v>
                </c:pt>
                <c:pt idx="4">
                  <c:v>49.892073582358236</c:v>
                </c:pt>
                <c:pt idx="5">
                  <c:v>49.797915729072905</c:v>
                </c:pt>
                <c:pt idx="6">
                  <c:v>49.703757875787581</c:v>
                </c:pt>
                <c:pt idx="7">
                  <c:v>49.609600022502249</c:v>
                </c:pt>
                <c:pt idx="8">
                  <c:v>49.515442169216925</c:v>
                </c:pt>
                <c:pt idx="9">
                  <c:v>49.421284315931594</c:v>
                </c:pt>
                <c:pt idx="10">
                  <c:v>49.327126462646262</c:v>
                </c:pt>
                <c:pt idx="11">
                  <c:v>49.232968609360938</c:v>
                </c:pt>
                <c:pt idx="12">
                  <c:v>49.138810756075607</c:v>
                </c:pt>
                <c:pt idx="13">
                  <c:v>49.044652902790276</c:v>
                </c:pt>
                <c:pt idx="14">
                  <c:v>48.950495049504951</c:v>
                </c:pt>
                <c:pt idx="15">
                  <c:v>48.85633719621962</c:v>
                </c:pt>
                <c:pt idx="16">
                  <c:v>48.762179342934296</c:v>
                </c:pt>
                <c:pt idx="17">
                  <c:v>48.668021489648964</c:v>
                </c:pt>
                <c:pt idx="18">
                  <c:v>48.57386363636364</c:v>
                </c:pt>
                <c:pt idx="19">
                  <c:v>48.479705783078309</c:v>
                </c:pt>
                <c:pt idx="20">
                  <c:v>48.385547929792978</c:v>
                </c:pt>
              </c:numCache>
            </c:numRef>
          </c:yVal>
        </c:ser>
        <c:ser>
          <c:idx val="2"/>
          <c:order val="2"/>
          <c:tx>
            <c:strRef>
              <c:f>'Dut 40'!$Q$2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'Dut 40'!$N$33:$N$53</c:f>
              <c:numCache>
                <c:formatCode>General</c:formatCode>
                <c:ptCount val="2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</c:numCache>
            </c:numRef>
          </c:xVal>
          <c:yVal>
            <c:numRef>
              <c:f>'Dut 40'!$Q$33:$Q$53</c:f>
              <c:numCache>
                <c:formatCode>0.0</c:formatCode>
                <c:ptCount val="21"/>
                <c:pt idx="0">
                  <c:v>52.515460997372017</c:v>
                </c:pt>
                <c:pt idx="1">
                  <c:v>52.193317544494619</c:v>
                </c:pt>
                <c:pt idx="2">
                  <c:v>51.87117409161722</c:v>
                </c:pt>
                <c:pt idx="3">
                  <c:v>51.549030638739822</c:v>
                </c:pt>
                <c:pt idx="4">
                  <c:v>51.226887185862424</c:v>
                </c:pt>
                <c:pt idx="5">
                  <c:v>50.904743732985025</c:v>
                </c:pt>
                <c:pt idx="6">
                  <c:v>50.582600280107627</c:v>
                </c:pt>
                <c:pt idx="7">
                  <c:v>50.260456827230229</c:v>
                </c:pt>
                <c:pt idx="8">
                  <c:v>49.938313374352838</c:v>
                </c:pt>
                <c:pt idx="9">
                  <c:v>49.616169921475439</c:v>
                </c:pt>
                <c:pt idx="10">
                  <c:v>49.294026468598041</c:v>
                </c:pt>
                <c:pt idx="11">
                  <c:v>48.971883015720643</c:v>
                </c:pt>
                <c:pt idx="12">
                  <c:v>48.649739562843244</c:v>
                </c:pt>
                <c:pt idx="13">
                  <c:v>48.327596109965846</c:v>
                </c:pt>
                <c:pt idx="14">
                  <c:v>48.005452657088448</c:v>
                </c:pt>
                <c:pt idx="15">
                  <c:v>47.683309204211049</c:v>
                </c:pt>
                <c:pt idx="16">
                  <c:v>47.361165751333651</c:v>
                </c:pt>
                <c:pt idx="17">
                  <c:v>47.039022298456253</c:v>
                </c:pt>
                <c:pt idx="18">
                  <c:v>46.716878845578862</c:v>
                </c:pt>
                <c:pt idx="19">
                  <c:v>46.394735392701463</c:v>
                </c:pt>
                <c:pt idx="20">
                  <c:v>46.072591939824065</c:v>
                </c:pt>
              </c:numCache>
            </c:numRef>
          </c:yVal>
        </c:ser>
        <c:axId val="193581056"/>
        <c:axId val="193582592"/>
      </c:scatterChart>
      <c:valAx>
        <c:axId val="193581056"/>
        <c:scaling>
          <c:orientation val="minMax"/>
          <c:max val="50"/>
          <c:min val="30"/>
        </c:scaling>
        <c:axPos val="b"/>
        <c:majorGridlines/>
        <c:minorGridlines/>
        <c:numFmt formatCode="General" sourceLinked="1"/>
        <c:tickLblPos val="nextTo"/>
        <c:crossAx val="193582592"/>
        <c:crosses val="autoZero"/>
        <c:crossBetween val="midCat"/>
      </c:valAx>
      <c:valAx>
        <c:axId val="193582592"/>
        <c:scaling>
          <c:orientation val="minMax"/>
          <c:max val="70"/>
          <c:min val="15"/>
        </c:scaling>
        <c:axPos val="l"/>
        <c:majorGridlines/>
        <c:numFmt formatCode="0.0" sourceLinked="1"/>
        <c:tickLblPos val="nextTo"/>
        <c:crossAx val="193581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1</xdr:rowOff>
    </xdr:from>
    <xdr:to>
      <xdr:col>26</xdr:col>
      <xdr:colOff>321467</xdr:colOff>
      <xdr:row>26</xdr:row>
      <xdr:rowOff>190501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1</xdr:rowOff>
    </xdr:from>
    <xdr:to>
      <xdr:col>18</xdr:col>
      <xdr:colOff>321467</xdr:colOff>
      <xdr:row>26</xdr:row>
      <xdr:rowOff>190501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13</xdr:row>
      <xdr:rowOff>0</xdr:rowOff>
    </xdr:from>
    <xdr:to>
      <xdr:col>10</xdr:col>
      <xdr:colOff>321467</xdr:colOff>
      <xdr:row>26</xdr:row>
      <xdr:rowOff>190500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550334</xdr:colOff>
      <xdr:row>5</xdr:row>
      <xdr:rowOff>31750</xdr:rowOff>
    </xdr:from>
    <xdr:to>
      <xdr:col>23</xdr:col>
      <xdr:colOff>370417</xdr:colOff>
      <xdr:row>19</xdr:row>
      <xdr:rowOff>105833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14</xdr:col>
      <xdr:colOff>497416</xdr:colOff>
      <xdr:row>25</xdr:row>
      <xdr:rowOff>74083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1"/>
  <dimension ref="A2:AW116"/>
  <sheetViews>
    <sheetView tabSelected="1" zoomScale="90" zoomScaleNormal="90" workbookViewId="0">
      <pane xSplit="26655" topLeftCell="AP1"/>
      <selection activeCell="C1" sqref="C1"/>
      <selection pane="topRight" activeCell="AQ14" sqref="AQ14"/>
    </sheetView>
  </sheetViews>
  <sheetFormatPr defaultColWidth="9.140625" defaultRowHeight="15"/>
  <cols>
    <col min="1" max="2" width="9.140625" style="58"/>
    <col min="3" max="3" width="38.28515625" style="58" customWidth="1"/>
    <col min="4" max="9" width="9.140625" style="58"/>
    <col min="10" max="10" width="9.5703125" style="58" bestFit="1" customWidth="1"/>
    <col min="11" max="16384" width="9.140625" style="58"/>
  </cols>
  <sheetData>
    <row r="2" spans="3:49" ht="15" customHeight="1">
      <c r="E2" s="101" t="s">
        <v>115</v>
      </c>
      <c r="F2" s="79">
        <v>3</v>
      </c>
      <c r="G2" s="101" t="s">
        <v>116</v>
      </c>
      <c r="H2" s="79">
        <v>1</v>
      </c>
      <c r="I2" s="58" t="s">
        <v>56</v>
      </c>
      <c r="J2" s="58">
        <v>1</v>
      </c>
      <c r="K2" s="58">
        <f>J2+1</f>
        <v>2</v>
      </c>
      <c r="L2" s="58">
        <f t="shared" ref="L2:AW2" si="0">K2+1</f>
        <v>3</v>
      </c>
      <c r="M2" s="58">
        <f t="shared" si="0"/>
        <v>4</v>
      </c>
      <c r="N2" s="58">
        <f t="shared" si="0"/>
        <v>5</v>
      </c>
      <c r="O2" s="58">
        <f t="shared" si="0"/>
        <v>6</v>
      </c>
      <c r="P2" s="58">
        <f t="shared" si="0"/>
        <v>7</v>
      </c>
      <c r="Q2" s="58">
        <f t="shared" si="0"/>
        <v>8</v>
      </c>
      <c r="R2" s="58">
        <f t="shared" si="0"/>
        <v>9</v>
      </c>
      <c r="S2" s="58">
        <f t="shared" si="0"/>
        <v>10</v>
      </c>
      <c r="T2" s="58">
        <f t="shared" si="0"/>
        <v>11</v>
      </c>
      <c r="U2" s="58">
        <f t="shared" si="0"/>
        <v>12</v>
      </c>
      <c r="V2" s="58">
        <f t="shared" si="0"/>
        <v>13</v>
      </c>
      <c r="W2" s="58">
        <f t="shared" si="0"/>
        <v>14</v>
      </c>
      <c r="X2" s="58">
        <f t="shared" si="0"/>
        <v>15</v>
      </c>
      <c r="Y2" s="58">
        <f t="shared" si="0"/>
        <v>16</v>
      </c>
      <c r="Z2" s="58">
        <f t="shared" si="0"/>
        <v>17</v>
      </c>
      <c r="AA2" s="58">
        <f t="shared" si="0"/>
        <v>18</v>
      </c>
      <c r="AB2" s="58">
        <f t="shared" si="0"/>
        <v>19</v>
      </c>
      <c r="AC2" s="58">
        <f t="shared" si="0"/>
        <v>20</v>
      </c>
      <c r="AD2" s="58">
        <f t="shared" si="0"/>
        <v>21</v>
      </c>
      <c r="AE2" s="58">
        <f t="shared" si="0"/>
        <v>22</v>
      </c>
      <c r="AF2" s="58">
        <f t="shared" si="0"/>
        <v>23</v>
      </c>
      <c r="AG2" s="58">
        <f t="shared" si="0"/>
        <v>24</v>
      </c>
      <c r="AH2" s="58">
        <f t="shared" si="0"/>
        <v>25</v>
      </c>
      <c r="AI2" s="58">
        <f t="shared" si="0"/>
        <v>26</v>
      </c>
      <c r="AJ2" s="58">
        <f t="shared" si="0"/>
        <v>27</v>
      </c>
      <c r="AK2" s="58">
        <f t="shared" si="0"/>
        <v>28</v>
      </c>
      <c r="AL2" s="58">
        <f t="shared" si="0"/>
        <v>29</v>
      </c>
      <c r="AM2" s="58">
        <f t="shared" si="0"/>
        <v>30</v>
      </c>
      <c r="AN2" s="58">
        <f t="shared" si="0"/>
        <v>31</v>
      </c>
      <c r="AO2" s="58">
        <f t="shared" si="0"/>
        <v>32</v>
      </c>
      <c r="AP2" s="58">
        <f t="shared" si="0"/>
        <v>33</v>
      </c>
      <c r="AQ2" s="58">
        <f t="shared" si="0"/>
        <v>34</v>
      </c>
      <c r="AR2" s="58">
        <f t="shared" si="0"/>
        <v>35</v>
      </c>
      <c r="AS2" s="58">
        <f t="shared" si="0"/>
        <v>36</v>
      </c>
      <c r="AT2" s="58">
        <f t="shared" si="0"/>
        <v>37</v>
      </c>
      <c r="AU2" s="58">
        <f t="shared" si="0"/>
        <v>38</v>
      </c>
      <c r="AV2" s="58">
        <f t="shared" si="0"/>
        <v>39</v>
      </c>
      <c r="AW2" s="58">
        <f t="shared" si="0"/>
        <v>40</v>
      </c>
    </row>
    <row r="3" spans="3:49" ht="15" customHeight="1">
      <c r="E3" s="79"/>
      <c r="F3" s="79"/>
      <c r="G3" s="101"/>
      <c r="H3" s="79"/>
      <c r="J3" s="58">
        <f ca="1">IF($H2,IF(OR($F2=0,$F2=J6),J4,0),1)</f>
        <v>1</v>
      </c>
      <c r="K3" s="77">
        <f ca="1">IF($H2,IF(OR($F2=0,$F2=K6),K4,0),1)</f>
        <v>1</v>
      </c>
      <c r="L3" s="77">
        <f ca="1">IF($H2,IF(OR($F2=0,$F2=L6),L4,0),1)</f>
        <v>1</v>
      </c>
      <c r="M3" s="77">
        <f ca="1">IF($H2,IF(OR($F2=0,$F2=M6),M4,0),1)</f>
        <v>0</v>
      </c>
      <c r="N3" s="77">
        <f ca="1">IF($H2,IF(OR($F2=0,$F2=N6),N4,0),1)</f>
        <v>1</v>
      </c>
      <c r="O3" s="77">
        <f ca="1">IF($H2,IF(OR($F2=0,$F2=O6),O4,0),1)</f>
        <v>1</v>
      </c>
      <c r="P3" s="77">
        <f ca="1">IF($H2,IF(OR($F2=0,$F2=P6),P4,0),1)</f>
        <v>1</v>
      </c>
      <c r="Q3" s="77">
        <f ca="1">IF($H2,IF(OR($F2=0,$F2=Q6),Q4,0),1)</f>
        <v>1</v>
      </c>
      <c r="R3" s="77">
        <f ca="1">IF($H2,IF(OR($F2=0,$F2=R6),R4,0),1)</f>
        <v>1</v>
      </c>
      <c r="S3" s="77">
        <f ca="1">IF($H2,IF(OR($F2=0,$F2=S6),S4,0),1)</f>
        <v>1</v>
      </c>
      <c r="T3" s="77">
        <f ca="1">IF($H2,IF(OR($F2=0,$F2=T6),T4,0),1)</f>
        <v>1</v>
      </c>
      <c r="U3" s="77">
        <f ca="1">IF($H2,IF(OR($F2=0,$F2=U6),U4,0),1)</f>
        <v>1</v>
      </c>
      <c r="V3" s="77">
        <f ca="1">IF($H2,IF(OR($F2=0,$F2=V6),V4,0),1)</f>
        <v>1</v>
      </c>
      <c r="W3" s="77">
        <f ca="1">IF($H2,IF(OR($F2=0,$F2=W6),W4,0),1)</f>
        <v>1</v>
      </c>
      <c r="X3" s="77">
        <f ca="1">IF($H2,IF(OR($F2=0,$F2=X6),X4,0),1)</f>
        <v>1</v>
      </c>
      <c r="Y3" s="77">
        <f ca="1">IF($H2,IF(OR($F2=0,$F2=Y6),Y4,0),1)</f>
        <v>1</v>
      </c>
      <c r="Z3" s="77">
        <f ca="1">IF($H2,IF(OR($F2=0,$F2=Z6),Z4,0),1)</f>
        <v>0</v>
      </c>
      <c r="AA3" s="77">
        <f ca="1">IF($H2,IF(OR($F2=0,$F2=AA6),AA4,0),1)</f>
        <v>1</v>
      </c>
      <c r="AB3" s="77">
        <f ca="1">IF($H2,IF(OR($F2=0,$F2=AB6),AB4,0),1)</f>
        <v>0</v>
      </c>
      <c r="AC3" s="77">
        <f ca="1">IF($H2,IF(OR($F2=0,$F2=AC6),AC4,0),1)</f>
        <v>1</v>
      </c>
      <c r="AD3" s="77">
        <f ca="1">IF($H2,IF(OR($F2=0,$F2=AD6),AD4,0),1)</f>
        <v>0</v>
      </c>
      <c r="AE3" s="77">
        <f ca="1">IF($H2,IF(OR($F2=0,$F2=AE6),AE4,0),1)</f>
        <v>1</v>
      </c>
      <c r="AF3" s="77">
        <f ca="1">IF($H2,IF(OR($F2=0,$F2=AF6),AF4,0),1)</f>
        <v>1</v>
      </c>
      <c r="AG3" s="77">
        <f ca="1">IF($H2,IF(OR($F2=0,$F2=AG6),AG4,0),1)</f>
        <v>0</v>
      </c>
      <c r="AH3" s="77">
        <f ca="1">IF($H2,IF(OR($F2=0,$F2=AH6),AH4,0),1)</f>
        <v>1</v>
      </c>
      <c r="AI3" s="77">
        <f ca="1">IF($H2,IF(OR($F2=0,$F2=AI6),AI4,0),1)</f>
        <v>1</v>
      </c>
      <c r="AJ3" s="77">
        <f ca="1">IF($H2,IF(OR($F2=0,$F2=AJ6),AJ4,0),1)</f>
        <v>1</v>
      </c>
      <c r="AK3" s="77">
        <f ca="1">IF($H2,IF(OR($F2=0,$F2=AK6),AK4,0),1)</f>
        <v>1</v>
      </c>
      <c r="AL3" s="77">
        <f ca="1">IF($H2,IF(OR($F2=0,$F2=AL6),AL4,0),1)</f>
        <v>1</v>
      </c>
      <c r="AM3" s="77">
        <f ca="1">IF($H2,IF(OR($F2=0,$F2=AM6),AM4,0),1)</f>
        <v>1</v>
      </c>
      <c r="AN3" s="77">
        <f ca="1">IF($H2,IF(OR($F2=0,$F2=AN6),AN4,0),1)</f>
        <v>1</v>
      </c>
      <c r="AO3" s="77">
        <f ca="1">IF($H2,IF(OR($F2=0,$F2=AO6),AO4,0),1)</f>
        <v>1</v>
      </c>
      <c r="AP3" s="77">
        <f ca="1">IF($H2,IF(OR($F2=0,$F2=AP6),AP4,0),1)</f>
        <v>1</v>
      </c>
      <c r="AQ3" s="77">
        <f ca="1">IF($H2,IF(OR($F2=0,$F2=AQ6),AQ4,0),1)</f>
        <v>1</v>
      </c>
      <c r="AR3" s="77">
        <f ca="1">IF($H2,IF(OR($F2=0,$F2=AR6),AR4,0),1)</f>
        <v>1</v>
      </c>
      <c r="AS3" s="77">
        <f ca="1">IF($H2,IF(OR($F2=0,$F2=AS6),AS4,0),1)</f>
        <v>1</v>
      </c>
      <c r="AT3" s="77">
        <f ca="1">IF($H2,IF(OR($F2=0,$F2=AT6),AT4,0),1)</f>
        <v>1</v>
      </c>
      <c r="AU3" s="77">
        <f ca="1">IF($H2,IF(OR($F2=0,$F2=AU6),AU4,0),1)</f>
        <v>1</v>
      </c>
      <c r="AV3" s="77">
        <f ca="1">IF($H2,IF(OR($F2=0,$F2=AV6),AV4,0),1)</f>
        <v>1</v>
      </c>
      <c r="AW3" s="77">
        <f ca="1">IF($H2,IF(OR($F2=0,$F2=AW6),AW4,0),1)</f>
        <v>1</v>
      </c>
    </row>
    <row r="4" spans="3:49">
      <c r="E4" s="79"/>
      <c r="F4" s="79"/>
      <c r="G4" s="101"/>
      <c r="H4" s="79"/>
      <c r="I4" s="58" t="s">
        <v>53</v>
      </c>
      <c r="J4" s="58">
        <v>1</v>
      </c>
      <c r="K4" s="58">
        <v>1</v>
      </c>
      <c r="L4" s="58">
        <v>1</v>
      </c>
      <c r="M4" s="58">
        <v>0</v>
      </c>
      <c r="N4" s="58">
        <v>1</v>
      </c>
      <c r="O4" s="58">
        <v>1</v>
      </c>
      <c r="P4" s="58">
        <v>1</v>
      </c>
      <c r="Q4" s="58">
        <v>1</v>
      </c>
      <c r="R4" s="58">
        <v>1</v>
      </c>
      <c r="S4" s="58">
        <v>1</v>
      </c>
      <c r="T4" s="58">
        <v>1</v>
      </c>
      <c r="U4" s="58">
        <v>1</v>
      </c>
      <c r="V4" s="58">
        <v>1</v>
      </c>
      <c r="W4" s="58">
        <v>1</v>
      </c>
      <c r="X4" s="58">
        <v>1</v>
      </c>
      <c r="Y4" s="58">
        <v>1</v>
      </c>
      <c r="Z4" s="58">
        <v>0</v>
      </c>
      <c r="AA4" s="58">
        <v>1</v>
      </c>
      <c r="AB4" s="58">
        <v>0</v>
      </c>
      <c r="AC4" s="58">
        <v>1</v>
      </c>
      <c r="AD4" s="58">
        <v>0</v>
      </c>
      <c r="AE4" s="58">
        <v>1</v>
      </c>
      <c r="AF4" s="58">
        <v>1</v>
      </c>
      <c r="AG4" s="58">
        <v>0</v>
      </c>
      <c r="AH4" s="58">
        <v>1</v>
      </c>
      <c r="AI4" s="58">
        <v>1</v>
      </c>
      <c r="AJ4" s="58">
        <v>1</v>
      </c>
      <c r="AK4" s="58">
        <v>1</v>
      </c>
      <c r="AL4" s="58">
        <v>1</v>
      </c>
      <c r="AM4" s="58">
        <v>1</v>
      </c>
      <c r="AN4" s="58">
        <v>1</v>
      </c>
      <c r="AO4" s="58">
        <v>1</v>
      </c>
      <c r="AP4" s="58">
        <v>1</v>
      </c>
      <c r="AQ4" s="58">
        <v>1</v>
      </c>
      <c r="AR4" s="58">
        <v>1</v>
      </c>
      <c r="AS4" s="58">
        <v>1</v>
      </c>
      <c r="AT4" s="58">
        <v>1</v>
      </c>
      <c r="AU4" s="58">
        <v>1</v>
      </c>
      <c r="AV4" s="58">
        <v>1</v>
      </c>
      <c r="AW4" s="58">
        <v>1</v>
      </c>
    </row>
    <row r="5" spans="3:49">
      <c r="D5" s="58" t="s">
        <v>34</v>
      </c>
      <c r="E5" s="58" t="s">
        <v>35</v>
      </c>
      <c r="F5" s="58" t="s">
        <v>42</v>
      </c>
      <c r="G5" s="58" t="s">
        <v>43</v>
      </c>
      <c r="H5" s="58" t="s">
        <v>54</v>
      </c>
      <c r="I5" s="58" t="s">
        <v>33</v>
      </c>
      <c r="J5" s="58" t="str">
        <f>"'Dut "&amp;J2&amp;"'!"</f>
        <v>'Dut 1'!</v>
      </c>
      <c r="K5" s="58" t="str">
        <f t="shared" ref="K5:AW5" si="1">"'Dut "&amp;K2&amp;"'!"</f>
        <v>'Dut 2'!</v>
      </c>
      <c r="L5" s="58" t="str">
        <f t="shared" si="1"/>
        <v>'Dut 3'!</v>
      </c>
      <c r="M5" s="58" t="str">
        <f t="shared" si="1"/>
        <v>'Dut 4'!</v>
      </c>
      <c r="N5" s="58" t="str">
        <f t="shared" si="1"/>
        <v>'Dut 5'!</v>
      </c>
      <c r="O5" s="58" t="str">
        <f t="shared" si="1"/>
        <v>'Dut 6'!</v>
      </c>
      <c r="P5" s="58" t="str">
        <f t="shared" si="1"/>
        <v>'Dut 7'!</v>
      </c>
      <c r="Q5" s="58" t="str">
        <f t="shared" si="1"/>
        <v>'Dut 8'!</v>
      </c>
      <c r="R5" s="58" t="str">
        <f t="shared" si="1"/>
        <v>'Dut 9'!</v>
      </c>
      <c r="S5" s="58" t="str">
        <f t="shared" si="1"/>
        <v>'Dut 10'!</v>
      </c>
      <c r="T5" s="58" t="str">
        <f t="shared" si="1"/>
        <v>'Dut 11'!</v>
      </c>
      <c r="U5" s="58" t="str">
        <f t="shared" si="1"/>
        <v>'Dut 12'!</v>
      </c>
      <c r="V5" s="58" t="str">
        <f t="shared" si="1"/>
        <v>'Dut 13'!</v>
      </c>
      <c r="W5" s="58" t="str">
        <f t="shared" si="1"/>
        <v>'Dut 14'!</v>
      </c>
      <c r="X5" s="58" t="str">
        <f t="shared" si="1"/>
        <v>'Dut 15'!</v>
      </c>
      <c r="Y5" s="58" t="str">
        <f t="shared" si="1"/>
        <v>'Dut 16'!</v>
      </c>
      <c r="Z5" s="58" t="str">
        <f t="shared" si="1"/>
        <v>'Dut 17'!</v>
      </c>
      <c r="AA5" s="58" t="str">
        <f t="shared" si="1"/>
        <v>'Dut 18'!</v>
      </c>
      <c r="AB5" s="58" t="str">
        <f t="shared" si="1"/>
        <v>'Dut 19'!</v>
      </c>
      <c r="AC5" s="58" t="str">
        <f t="shared" si="1"/>
        <v>'Dut 20'!</v>
      </c>
      <c r="AD5" s="58" t="str">
        <f t="shared" si="1"/>
        <v>'Dut 21'!</v>
      </c>
      <c r="AE5" s="58" t="str">
        <f t="shared" si="1"/>
        <v>'Dut 22'!</v>
      </c>
      <c r="AF5" s="58" t="str">
        <f t="shared" si="1"/>
        <v>'Dut 23'!</v>
      </c>
      <c r="AG5" s="58" t="str">
        <f t="shared" si="1"/>
        <v>'Dut 24'!</v>
      </c>
      <c r="AH5" s="58" t="str">
        <f t="shared" si="1"/>
        <v>'Dut 25'!</v>
      </c>
      <c r="AI5" s="58" t="str">
        <f t="shared" si="1"/>
        <v>'Dut 26'!</v>
      </c>
      <c r="AJ5" s="58" t="str">
        <f t="shared" si="1"/>
        <v>'Dut 27'!</v>
      </c>
      <c r="AK5" s="58" t="str">
        <f t="shared" si="1"/>
        <v>'Dut 28'!</v>
      </c>
      <c r="AL5" s="58" t="str">
        <f t="shared" si="1"/>
        <v>'Dut 29'!</v>
      </c>
      <c r="AM5" s="58" t="str">
        <f t="shared" si="1"/>
        <v>'Dut 30'!</v>
      </c>
      <c r="AN5" s="58" t="str">
        <f t="shared" si="1"/>
        <v>'Dut 31'!</v>
      </c>
      <c r="AO5" s="58" t="str">
        <f t="shared" si="1"/>
        <v>'Dut 32'!</v>
      </c>
      <c r="AP5" s="58" t="str">
        <f t="shared" si="1"/>
        <v>'Dut 33'!</v>
      </c>
      <c r="AQ5" s="58" t="str">
        <f t="shared" si="1"/>
        <v>'Dut 34'!</v>
      </c>
      <c r="AR5" s="58" t="str">
        <f t="shared" si="1"/>
        <v>'Dut 35'!</v>
      </c>
      <c r="AS5" s="58" t="str">
        <f t="shared" si="1"/>
        <v>'Dut 36'!</v>
      </c>
      <c r="AT5" s="58" t="str">
        <f t="shared" si="1"/>
        <v>'Dut 37'!</v>
      </c>
      <c r="AU5" s="58" t="str">
        <f t="shared" si="1"/>
        <v>'Dut 38'!</v>
      </c>
      <c r="AV5" s="58" t="str">
        <f t="shared" si="1"/>
        <v>'Dut 39'!</v>
      </c>
      <c r="AW5" s="58" t="str">
        <f t="shared" si="1"/>
        <v>'Dut 40'!</v>
      </c>
    </row>
    <row r="6" spans="3:49" s="77" customFormat="1">
      <c r="C6" s="77" t="s">
        <v>113</v>
      </c>
      <c r="I6" s="77" t="s">
        <v>114</v>
      </c>
      <c r="J6" s="77">
        <f ca="1">INT(LEFT(RIGHT(INDIRECT(J$5&amp;$I6),2),1))</f>
        <v>3</v>
      </c>
      <c r="K6" s="77">
        <f t="shared" ref="K6:AW6" ca="1" si="2">INT(LEFT(RIGHT(INDIRECT(K$5&amp;$I6),2),1))</f>
        <v>3</v>
      </c>
      <c r="L6" s="77">
        <f t="shared" ca="1" si="2"/>
        <v>3</v>
      </c>
      <c r="M6" s="77">
        <f t="shared" ca="1" si="2"/>
        <v>3</v>
      </c>
      <c r="N6" s="77">
        <f t="shared" ca="1" si="2"/>
        <v>3</v>
      </c>
      <c r="O6" s="77">
        <f t="shared" ca="1" si="2"/>
        <v>3</v>
      </c>
      <c r="P6" s="77">
        <f t="shared" ca="1" si="2"/>
        <v>3</v>
      </c>
      <c r="Q6" s="77">
        <f t="shared" ca="1" si="2"/>
        <v>3</v>
      </c>
      <c r="R6" s="77">
        <f t="shared" ca="1" si="2"/>
        <v>3</v>
      </c>
      <c r="S6" s="77">
        <f t="shared" ca="1" si="2"/>
        <v>3</v>
      </c>
      <c r="T6" s="77">
        <f t="shared" ca="1" si="2"/>
        <v>3</v>
      </c>
      <c r="U6" s="77">
        <f t="shared" ca="1" si="2"/>
        <v>3</v>
      </c>
      <c r="V6" s="77">
        <f t="shared" ca="1" si="2"/>
        <v>3</v>
      </c>
      <c r="W6" s="77">
        <f t="shared" ca="1" si="2"/>
        <v>3</v>
      </c>
      <c r="X6" s="77">
        <f t="shared" ca="1" si="2"/>
        <v>3</v>
      </c>
      <c r="Y6" s="77">
        <f t="shared" ca="1" si="2"/>
        <v>3</v>
      </c>
      <c r="Z6" s="77">
        <f t="shared" ca="1" si="2"/>
        <v>3</v>
      </c>
      <c r="AA6" s="77">
        <f t="shared" ca="1" si="2"/>
        <v>3</v>
      </c>
      <c r="AB6" s="77">
        <f t="shared" ca="1" si="2"/>
        <v>3</v>
      </c>
      <c r="AC6" s="77">
        <f t="shared" ca="1" si="2"/>
        <v>3</v>
      </c>
      <c r="AD6" s="77">
        <f t="shared" ca="1" si="2"/>
        <v>3</v>
      </c>
      <c r="AE6" s="77">
        <f t="shared" ca="1" si="2"/>
        <v>3</v>
      </c>
      <c r="AF6" s="77">
        <f t="shared" ca="1" si="2"/>
        <v>3</v>
      </c>
      <c r="AG6" s="77">
        <f t="shared" ca="1" si="2"/>
        <v>3</v>
      </c>
      <c r="AH6" s="77">
        <f t="shared" ca="1" si="2"/>
        <v>3</v>
      </c>
      <c r="AI6" s="77">
        <f t="shared" ca="1" si="2"/>
        <v>3</v>
      </c>
      <c r="AJ6" s="77">
        <f t="shared" ca="1" si="2"/>
        <v>3</v>
      </c>
      <c r="AK6" s="77">
        <f t="shared" ca="1" si="2"/>
        <v>3</v>
      </c>
      <c r="AL6" s="77">
        <f t="shared" ca="1" si="2"/>
        <v>3</v>
      </c>
      <c r="AM6" s="77">
        <f t="shared" ca="1" si="2"/>
        <v>3</v>
      </c>
      <c r="AN6" s="77">
        <f t="shared" ca="1" si="2"/>
        <v>3</v>
      </c>
      <c r="AO6" s="77">
        <f t="shared" ca="1" si="2"/>
        <v>3</v>
      </c>
      <c r="AP6" s="77">
        <f t="shared" ca="1" si="2"/>
        <v>3</v>
      </c>
      <c r="AQ6" s="77">
        <f t="shared" ca="1" si="2"/>
        <v>3</v>
      </c>
      <c r="AR6" s="77">
        <f t="shared" ca="1" si="2"/>
        <v>3</v>
      </c>
      <c r="AS6" s="77">
        <f t="shared" ca="1" si="2"/>
        <v>3</v>
      </c>
      <c r="AT6" s="77">
        <f t="shared" ca="1" si="2"/>
        <v>3</v>
      </c>
      <c r="AU6" s="77">
        <f t="shared" ca="1" si="2"/>
        <v>3</v>
      </c>
      <c r="AV6" s="77">
        <f t="shared" ca="1" si="2"/>
        <v>3</v>
      </c>
      <c r="AW6" s="77">
        <f t="shared" ca="1" si="2"/>
        <v>3</v>
      </c>
    </row>
    <row r="7" spans="3:49" s="77" customFormat="1"/>
    <row r="8" spans="3:49">
      <c r="C8" s="58" t="s">
        <v>31</v>
      </c>
      <c r="D8" s="59">
        <f ca="1">AVERAGE(J8:AW8)</f>
        <v>43.25714285714286</v>
      </c>
      <c r="E8" s="59">
        <f ca="1">STDEV(J8:AW8)</f>
        <v>2.7901386971940574</v>
      </c>
      <c r="F8" s="61">
        <f ca="1">MIN(J8:AW8)</f>
        <v>36</v>
      </c>
      <c r="G8" s="61">
        <f ca="1">MAX(J8:AW8)</f>
        <v>48</v>
      </c>
      <c r="H8" s="59">
        <f ca="1">(G8-F8)/E8</f>
        <v>4.300861463291402</v>
      </c>
      <c r="I8" s="58" t="s">
        <v>32</v>
      </c>
      <c r="J8" s="58">
        <f ca="1">IF(J$3,INDIRECT(J$5&amp;$I8),"")</f>
        <v>47</v>
      </c>
      <c r="K8" s="58">
        <f ca="1">IF(K$3,INDIRECT(K$5&amp;$I8),"")</f>
        <v>45</v>
      </c>
      <c r="L8" s="58">
        <f ca="1">IF(L$3,INDIRECT(L$5&amp;$I8),"")</f>
        <v>45</v>
      </c>
      <c r="M8" s="58" t="str">
        <f ca="1">IF(M$3,INDIRECT(M$5&amp;$I8),"")</f>
        <v/>
      </c>
      <c r="N8" s="58">
        <f ca="1">IF(N$3,INDIRECT(N$5&amp;$I8),"")</f>
        <v>43</v>
      </c>
      <c r="O8" s="58">
        <f ca="1">IF(O$3,INDIRECT(O$5&amp;$I8),"")</f>
        <v>43</v>
      </c>
      <c r="P8" s="58">
        <f ca="1">IF(P$3,INDIRECT(P$5&amp;$I8),"")</f>
        <v>36</v>
      </c>
      <c r="Q8" s="58">
        <f ca="1">IF(Q$3,INDIRECT(Q$5&amp;$I8),"")</f>
        <v>43</v>
      </c>
      <c r="R8" s="58">
        <f ca="1">IF(R$3,INDIRECT(R$5&amp;$I8),"")</f>
        <v>44</v>
      </c>
      <c r="S8" s="58">
        <f ca="1">IF(S$3,INDIRECT(S$5&amp;$I8),"")</f>
        <v>46</v>
      </c>
      <c r="T8" s="58">
        <f ca="1">IF(T$3,INDIRECT(T$5&amp;$I8),"")</f>
        <v>48</v>
      </c>
      <c r="U8" s="58">
        <f ca="1">IF(U$3,INDIRECT(U$5&amp;$I8),"")</f>
        <v>37</v>
      </c>
      <c r="V8" s="58">
        <f ca="1">IF(V$3,INDIRECT(V$5&amp;$I8),"")</f>
        <v>44</v>
      </c>
      <c r="W8" s="58">
        <f ca="1">IF(W$3,INDIRECT(W$5&amp;$I8),"")</f>
        <v>44</v>
      </c>
      <c r="X8" s="58">
        <f ca="1">IF(X$3,INDIRECT(X$5&amp;$I8),"")</f>
        <v>40</v>
      </c>
      <c r="Y8" s="58">
        <f ca="1">IF(Y$3,INDIRECT(Y$5&amp;$I8),"")</f>
        <v>39</v>
      </c>
      <c r="Z8" s="58" t="str">
        <f ca="1">IF(Z$3,INDIRECT(Z$5&amp;$I8),"")</f>
        <v/>
      </c>
      <c r="AA8" s="58">
        <f ca="1">IF(AA$3,INDIRECT(AA$5&amp;$I8),"")</f>
        <v>43</v>
      </c>
      <c r="AB8" s="58" t="str">
        <f ca="1">IF(AB$3,INDIRECT(AB$5&amp;$I8),"")</f>
        <v/>
      </c>
      <c r="AC8" s="58">
        <f ca="1">IF(AC$3,INDIRECT(AC$5&amp;$I8),"")</f>
        <v>43</v>
      </c>
      <c r="AD8" s="58" t="str">
        <f ca="1">IF(AD$3,INDIRECT(AD$5&amp;$I8),"")</f>
        <v/>
      </c>
      <c r="AE8" s="58">
        <f ca="1">IF(AE$3,INDIRECT(AE$5&amp;$I8),"")</f>
        <v>42</v>
      </c>
      <c r="AF8" s="58">
        <f ca="1">IF(AF$3,INDIRECT(AF$5&amp;$I8),"")</f>
        <v>44</v>
      </c>
      <c r="AG8" s="58" t="str">
        <f ca="1">IF(AG$3,INDIRECT(AG$5&amp;$I8),"")</f>
        <v/>
      </c>
      <c r="AH8" s="58">
        <f ca="1">IF(AH$3,INDIRECT(AH$5&amp;$I8),"")</f>
        <v>45</v>
      </c>
      <c r="AI8" s="58">
        <f ca="1">IF(AI$3,INDIRECT(AI$5&amp;$I8),"")</f>
        <v>45</v>
      </c>
      <c r="AJ8" s="58">
        <f ca="1">IF(AJ$3,INDIRECT(AJ$5&amp;$I8),"")</f>
        <v>47</v>
      </c>
      <c r="AK8" s="58">
        <f ca="1">IF(AK$3,INDIRECT(AK$5&amp;$I8),"")</f>
        <v>42</v>
      </c>
      <c r="AL8" s="58">
        <f ca="1">IF(AL$3,INDIRECT(AL$5&amp;$I8),"")</f>
        <v>41</v>
      </c>
      <c r="AM8" s="58">
        <f ca="1">IF(AM$3,INDIRECT(AM$5&amp;$I8),"")</f>
        <v>45</v>
      </c>
      <c r="AN8" s="58">
        <f ca="1">IF(AN$3,INDIRECT(AN$5&amp;$I8),"")</f>
        <v>47</v>
      </c>
      <c r="AO8" s="58">
        <f ca="1">IF(AO$3,INDIRECT(AO$5&amp;$I8),"")</f>
        <v>38</v>
      </c>
      <c r="AP8" s="58">
        <f ca="1">IF(AP$3,INDIRECT(AP$5&amp;$I8),"")</f>
        <v>43</v>
      </c>
      <c r="AQ8" s="58">
        <f ca="1">IF(AQ$3,INDIRECT(AQ$5&amp;$I8),"")</f>
        <v>43</v>
      </c>
      <c r="AR8" s="58">
        <f ca="1">IF(AR$3,INDIRECT(AR$5&amp;$I8),"")</f>
        <v>42</v>
      </c>
      <c r="AS8" s="58">
        <f ca="1">IF(AS$3,INDIRECT(AS$5&amp;$I8),"")</f>
        <v>45</v>
      </c>
      <c r="AT8" s="58">
        <f ca="1">IF(AT$3,INDIRECT(AT$5&amp;$I8),"")</f>
        <v>41</v>
      </c>
      <c r="AU8" s="58">
        <f ca="1">IF(AU$3,INDIRECT(AU$5&amp;$I8),"")</f>
        <v>44</v>
      </c>
      <c r="AV8" s="58">
        <f ca="1">IF(AV$3,INDIRECT(AV$5&amp;$I8),"")</f>
        <v>46</v>
      </c>
      <c r="AW8" s="58">
        <f ca="1">IF(AW$3,INDIRECT(AW$5&amp;$I8),"")</f>
        <v>44</v>
      </c>
    </row>
    <row r="9" spans="3:49">
      <c r="C9" s="58" t="s">
        <v>36</v>
      </c>
      <c r="D9" s="59">
        <f ca="1">AVERAGE(J9:AW9)</f>
        <v>36.542857142857144</v>
      </c>
      <c r="E9" s="59">
        <f ca="1">STDEV(J9:AW9)</f>
        <v>3.4923686310958222</v>
      </c>
      <c r="F9" s="61">
        <f ca="1">MIN(J9:AW9)</f>
        <v>29</v>
      </c>
      <c r="G9" s="61">
        <f ca="1">MAX(J9:AW9)</f>
        <v>45</v>
      </c>
      <c r="H9" s="59">
        <f ca="1">(G9-F9)/E9</f>
        <v>4.581417854214199</v>
      </c>
      <c r="I9" s="58" t="s">
        <v>37</v>
      </c>
      <c r="J9" s="58">
        <f ca="1">IF(J$3,INDIRECT(J$5&amp;$I9),"")</f>
        <v>45</v>
      </c>
      <c r="K9" s="58">
        <f ca="1">IF(K$3,INDIRECT(K$5&amp;$I9),"")</f>
        <v>39</v>
      </c>
      <c r="L9" s="58">
        <f ca="1">IF(L$3,INDIRECT(L$5&amp;$I9),"")</f>
        <v>40</v>
      </c>
      <c r="M9" s="58" t="str">
        <f ca="1">IF(M$3,INDIRECT(M$5&amp;$I9),"")</f>
        <v/>
      </c>
      <c r="N9" s="58">
        <f ca="1">IF(N$3,INDIRECT(N$5&amp;$I9),"")</f>
        <v>35</v>
      </c>
      <c r="O9" s="58">
        <f ca="1">IF(O$3,INDIRECT(O$5&amp;$I9),"")</f>
        <v>37</v>
      </c>
      <c r="P9" s="58">
        <f ca="1">IF(P$3,INDIRECT(P$5&amp;$I9),"")</f>
        <v>29</v>
      </c>
      <c r="Q9" s="58">
        <f ca="1">IF(Q$3,INDIRECT(Q$5&amp;$I9),"")</f>
        <v>37</v>
      </c>
      <c r="R9" s="58">
        <f ca="1">IF(R$3,INDIRECT(R$5&amp;$I9),"")</f>
        <v>37</v>
      </c>
      <c r="S9" s="58">
        <f ca="1">IF(S$3,INDIRECT(S$5&amp;$I9),"")</f>
        <v>40</v>
      </c>
      <c r="T9" s="58">
        <f ca="1">IF(T$3,INDIRECT(T$5&amp;$I9),"")</f>
        <v>41</v>
      </c>
      <c r="U9" s="58">
        <f ca="1">IF(U$3,INDIRECT(U$5&amp;$I9),"")</f>
        <v>29</v>
      </c>
      <c r="V9" s="58">
        <f ca="1">IF(V$3,INDIRECT(V$5&amp;$I9),"")</f>
        <v>36</v>
      </c>
      <c r="W9" s="58">
        <f ca="1">IF(W$3,INDIRECT(W$5&amp;$I9),"")</f>
        <v>36</v>
      </c>
      <c r="X9" s="58">
        <f ca="1">IF(X$3,INDIRECT(X$5&amp;$I9),"")</f>
        <v>33</v>
      </c>
      <c r="Y9" s="58">
        <f ca="1">IF(Y$3,INDIRECT(Y$5&amp;$I9),"")</f>
        <v>31</v>
      </c>
      <c r="Z9" s="58" t="str">
        <f ca="1">IF(Z$3,INDIRECT(Z$5&amp;$I9),"")</f>
        <v/>
      </c>
      <c r="AA9" s="58">
        <f ca="1">IF(AA$3,INDIRECT(AA$5&amp;$I9),"")</f>
        <v>36</v>
      </c>
      <c r="AB9" s="58" t="str">
        <f ca="1">IF(AB$3,INDIRECT(AB$5&amp;$I9),"")</f>
        <v/>
      </c>
      <c r="AC9" s="58">
        <f ca="1">IF(AC$3,INDIRECT(AC$5&amp;$I9),"")</f>
        <v>37</v>
      </c>
      <c r="AD9" s="58" t="str">
        <f ca="1">IF(AD$3,INDIRECT(AD$5&amp;$I9),"")</f>
        <v/>
      </c>
      <c r="AE9" s="58">
        <f ca="1">IF(AE$3,INDIRECT(AE$5&amp;$I9),"")</f>
        <v>35</v>
      </c>
      <c r="AF9" s="58">
        <f ca="1">IF(AF$3,INDIRECT(AF$5&amp;$I9),"")</f>
        <v>37</v>
      </c>
      <c r="AG9" s="58" t="str">
        <f ca="1">IF(AG$3,INDIRECT(AG$5&amp;$I9),"")</f>
        <v/>
      </c>
      <c r="AH9" s="58">
        <f ca="1">IF(AH$3,INDIRECT(AH$5&amp;$I9),"")</f>
        <v>37</v>
      </c>
      <c r="AI9" s="58">
        <f ca="1">IF(AI$3,INDIRECT(AI$5&amp;$I9),"")</f>
        <v>37</v>
      </c>
      <c r="AJ9" s="58">
        <f ca="1">IF(AJ$3,INDIRECT(AJ$5&amp;$I9),"")</f>
        <v>41</v>
      </c>
      <c r="AK9" s="58">
        <f ca="1">IF(AK$3,INDIRECT(AK$5&amp;$I9),"")</f>
        <v>36</v>
      </c>
      <c r="AL9" s="58">
        <f ca="1">IF(AL$3,INDIRECT(AL$5&amp;$I9),"")</f>
        <v>34</v>
      </c>
      <c r="AM9" s="58">
        <f ca="1">IF(AM$3,INDIRECT(AM$5&amp;$I9),"")</f>
        <v>37</v>
      </c>
      <c r="AN9" s="58">
        <f ca="1">IF(AN$3,INDIRECT(AN$5&amp;$I9),"")</f>
        <v>42</v>
      </c>
      <c r="AO9" s="58">
        <f ca="1">IF(AO$3,INDIRECT(AO$5&amp;$I9),"")</f>
        <v>32</v>
      </c>
      <c r="AP9" s="58">
        <f ca="1">IF(AP$3,INDIRECT(AP$5&amp;$I9),"")</f>
        <v>36</v>
      </c>
      <c r="AQ9" s="58">
        <f ca="1">IF(AQ$3,INDIRECT(AQ$5&amp;$I9),"")</f>
        <v>35</v>
      </c>
      <c r="AR9" s="58">
        <f ca="1">IF(AR$3,INDIRECT(AR$5&amp;$I9),"")</f>
        <v>35</v>
      </c>
      <c r="AS9" s="58">
        <f ca="1">IF(AS$3,INDIRECT(AS$5&amp;$I9),"")</f>
        <v>38</v>
      </c>
      <c r="AT9" s="58">
        <f ca="1">IF(AT$3,INDIRECT(AT$5&amp;$I9),"")</f>
        <v>33</v>
      </c>
      <c r="AU9" s="58">
        <f ca="1">IF(AU$3,INDIRECT(AU$5&amp;$I9),"")</f>
        <v>38</v>
      </c>
      <c r="AV9" s="58">
        <f ca="1">IF(AV$3,INDIRECT(AV$5&amp;$I9),"")</f>
        <v>42</v>
      </c>
      <c r="AW9" s="58">
        <f ca="1">IF(AW$3,INDIRECT(AW$5&amp;$I9),"")</f>
        <v>36</v>
      </c>
    </row>
    <row r="10" spans="3:49">
      <c r="D10" s="59"/>
      <c r="E10" s="59"/>
      <c r="F10" s="61"/>
      <c r="G10" s="61"/>
      <c r="H10" s="59"/>
    </row>
    <row r="11" spans="3:49">
      <c r="C11" s="58" t="s">
        <v>38</v>
      </c>
      <c r="D11" s="60">
        <f t="shared" ref="D11:D12" ca="1" si="3">AVERAGE(J11:AW11)</f>
        <v>4.7592571567188956E-2</v>
      </c>
      <c r="E11" s="60">
        <f t="shared" ref="E11:E12" ca="1" si="4">STDEV(J11:AW11)</f>
        <v>2.4822489793523726E-2</v>
      </c>
      <c r="F11" s="60">
        <f ca="1">MIN(J11:AW11)</f>
        <v>1.2989353055190778E-2</v>
      </c>
      <c r="G11" s="60">
        <f ca="1">MAX(J11:AW11)</f>
        <v>0.11321584501910431</v>
      </c>
      <c r="H11" s="59">
        <f t="shared" ref="H11:H12" ca="1" si="5">(G11-F11)/E11</f>
        <v>4.0377292043468973</v>
      </c>
      <c r="I11" s="58" t="s">
        <v>40</v>
      </c>
      <c r="J11" s="60">
        <f ca="1">IF(J$3,INDIRECT(J$5&amp;$I11),"")</f>
        <v>5.5552627802767596E-2</v>
      </c>
      <c r="K11" s="60">
        <f ca="1">IF(K$3,INDIRECT(K$5&amp;$I11),"")</f>
        <v>5.1024796709321918E-2</v>
      </c>
      <c r="L11" s="60">
        <f ca="1">IF(L$3,INDIRECT(L$5&amp;$I11),"")</f>
        <v>3.1231753827666409E-2</v>
      </c>
      <c r="M11" s="60" t="str">
        <f ca="1">IF(M$3,INDIRECT(M$5&amp;$I11),"")</f>
        <v/>
      </c>
      <c r="N11" s="60">
        <f ca="1">IF(N$3,INDIRECT(N$5&amp;$I11),"")</f>
        <v>3.2622712746061655E-2</v>
      </c>
      <c r="O11" s="60">
        <f ca="1">IF(O$3,INDIRECT(O$5&amp;$I11),"")</f>
        <v>3.2392872573388298E-2</v>
      </c>
      <c r="P11" s="60">
        <f ca="1">IF(P$3,INDIRECT(P$5&amp;$I11),"")</f>
        <v>1.2989353055190778E-2</v>
      </c>
      <c r="Q11" s="60">
        <f ca="1">IF(Q$3,INDIRECT(Q$5&amp;$I11),"")</f>
        <v>7.2255235660748651E-2</v>
      </c>
      <c r="R11" s="60">
        <f ca="1">IF(R$3,INDIRECT(R$5&amp;$I11),"")</f>
        <v>3.5073384386373863E-2</v>
      </c>
      <c r="S11" s="60">
        <f ca="1">IF(S$3,INDIRECT(S$5&amp;$I11),"")</f>
        <v>4.7313953555888855E-2</v>
      </c>
      <c r="T11" s="60">
        <f ca="1">IF(T$3,INDIRECT(T$5&amp;$I11),"")</f>
        <v>1.5110693588322843E-2</v>
      </c>
      <c r="U11" s="60">
        <f ca="1">IF(U$3,INDIRECT(U$5&amp;$I11),"")</f>
        <v>6.7155501417291319E-2</v>
      </c>
      <c r="V11" s="60">
        <f ca="1">IF(V$3,INDIRECT(V$5&amp;$I11),"")</f>
        <v>5.6687858585004136E-2</v>
      </c>
      <c r="W11" s="60">
        <f ca="1">IF(W$3,INDIRECT(W$5&amp;$I11),"")</f>
        <v>1.8543879961165688E-2</v>
      </c>
      <c r="X11" s="60">
        <f ca="1">IF(X$3,INDIRECT(X$5&amp;$I11),"")</f>
        <v>4.1096830808233675E-2</v>
      </c>
      <c r="Y11" s="60">
        <f ca="1">IF(Y$3,INDIRECT(Y$5&amp;$I11),"")</f>
        <v>5.7025110098604337E-2</v>
      </c>
      <c r="Z11" s="60" t="str">
        <f ca="1">IF(Z$3,INDIRECT(Z$5&amp;$I11),"")</f>
        <v/>
      </c>
      <c r="AA11" s="60">
        <f ca="1">IF(AA$3,INDIRECT(AA$5&amp;$I11),"")</f>
        <v>7.4684839219810062E-2</v>
      </c>
      <c r="AB11" s="60" t="str">
        <f ca="1">IF(AB$3,INDIRECT(AB$5&amp;$I11),"")</f>
        <v/>
      </c>
      <c r="AC11" s="60">
        <f ca="1">IF(AC$3,INDIRECT(AC$5&amp;$I11),"")</f>
        <v>4.8715888848806177E-2</v>
      </c>
      <c r="AD11" s="60" t="str">
        <f ca="1">IF(AD$3,INDIRECT(AD$5&amp;$I11),"")</f>
        <v/>
      </c>
      <c r="AE11" s="60">
        <f ca="1">IF(AE$3,INDIRECT(AE$5&amp;$I11),"")</f>
        <v>2.0507345073099481E-2</v>
      </c>
      <c r="AF11" s="60">
        <f ca="1">IF(AF$3,INDIRECT(AF$5&amp;$I11),"")</f>
        <v>3.4923364190860062E-2</v>
      </c>
      <c r="AG11" s="60" t="str">
        <f ca="1">IF(AG$3,INDIRECT(AG$5&amp;$I11),"")</f>
        <v/>
      </c>
      <c r="AH11" s="60">
        <f ca="1">IF(AH$3,INDIRECT(AH$5&amp;$I11),"")</f>
        <v>5.1680299937876484E-2</v>
      </c>
      <c r="AI11" s="60">
        <f ca="1">IF(AI$3,INDIRECT(AI$5&amp;$I11),"")</f>
        <v>5.9443609980765477E-2</v>
      </c>
      <c r="AJ11" s="60">
        <f ca="1">IF(AJ$3,INDIRECT(AJ$5&amp;$I11),"")</f>
        <v>0.11321584501910431</v>
      </c>
      <c r="AK11" s="60">
        <f ca="1">IF(AK$3,INDIRECT(AK$5&amp;$I11),"")</f>
        <v>2.1137704963823389E-2</v>
      </c>
      <c r="AL11" s="60">
        <f ca="1">IF(AL$3,INDIRECT(AL$5&amp;$I11),"")</f>
        <v>7.4157982517737864E-2</v>
      </c>
      <c r="AM11" s="60">
        <f ca="1">IF(AM$3,INDIRECT(AM$5&amp;$I11),"")</f>
        <v>8.155790090432502E-2</v>
      </c>
      <c r="AN11" s="60">
        <f ca="1">IF(AN$3,INDIRECT(AN$5&amp;$I11),"")</f>
        <v>2.172944841859259E-2</v>
      </c>
      <c r="AO11" s="60">
        <f ca="1">IF(AO$3,INDIRECT(AO$5&amp;$I11),"")</f>
        <v>3.3721840888370158E-2</v>
      </c>
      <c r="AP11" s="60">
        <f ca="1">IF(AP$3,INDIRECT(AP$5&amp;$I11),"")</f>
        <v>2.143911197627113E-2</v>
      </c>
      <c r="AQ11" s="60">
        <f ca="1">IF(AQ$3,INDIRECT(AQ$5&amp;$I11),"")</f>
        <v>2.3710441602998067E-2</v>
      </c>
      <c r="AR11" s="60">
        <f ca="1">IF(AR$3,INDIRECT(AR$5&amp;$I11),"")</f>
        <v>1.9905741639372865E-2</v>
      </c>
      <c r="AS11" s="60">
        <f ca="1">IF(AS$3,INDIRECT(AS$5&amp;$I11),"")</f>
        <v>7.4709343988023535E-2</v>
      </c>
      <c r="AT11" s="60">
        <f ca="1">IF(AT$3,INDIRECT(AT$5&amp;$I11),"")</f>
        <v>6.7988089344784175E-2</v>
      </c>
      <c r="AU11" s="60">
        <f ca="1">IF(AU$3,INDIRECT(AU$5&amp;$I11),"")</f>
        <v>8.7094659883740322E-2</v>
      </c>
      <c r="AV11" s="60">
        <f ca="1">IF(AV$3,INDIRECT(AV$5&amp;$I11),"")</f>
        <v>2.8716713438031949E-2</v>
      </c>
      <c r="AW11" s="60">
        <f ca="1">IF(AW$3,INDIRECT(AW$5&amp;$I11),"")</f>
        <v>8.0623268239190526E-2</v>
      </c>
    </row>
    <row r="12" spans="3:49">
      <c r="C12" s="58" t="s">
        <v>39</v>
      </c>
      <c r="D12" s="60">
        <f t="shared" ca="1" si="3"/>
        <v>9.5014271203231346E-2</v>
      </c>
      <c r="E12" s="60">
        <f t="shared" ca="1" si="4"/>
        <v>3.6837308825774802E-2</v>
      </c>
      <c r="F12" s="60">
        <f ca="1">MIN(J12:AW12)</f>
        <v>3.2450674974039417E-2</v>
      </c>
      <c r="G12" s="60">
        <f ca="1">MAX(J12:AW12)</f>
        <v>0.16696588868940765</v>
      </c>
      <c r="H12" s="59">
        <f t="shared" ca="1" si="5"/>
        <v>3.65160262796529</v>
      </c>
      <c r="I12" s="58" t="s">
        <v>41</v>
      </c>
      <c r="J12" s="60">
        <f ca="1">IF(J$3,INDIRECT(J$5&amp;$I12),"")</f>
        <v>5.7235421166306644E-2</v>
      </c>
      <c r="K12" s="60">
        <f ca="1">IF(K$3,INDIRECT(K$5&amp;$I12),"")</f>
        <v>0.16696588868940765</v>
      </c>
      <c r="L12" s="60">
        <f ca="1">IF(L$3,INDIRECT(L$5&amp;$I12),"")</f>
        <v>4.7311827956989294E-2</v>
      </c>
      <c r="M12" s="60" t="str">
        <f ca="1">IF(M$3,INDIRECT(M$5&amp;$I12),"")</f>
        <v/>
      </c>
      <c r="N12" s="60">
        <f ca="1">IF(N$3,INDIRECT(N$5&amp;$I12),"")</f>
        <v>7.9798705966930283E-2</v>
      </c>
      <c r="O12" s="60">
        <f ca="1">IF(O$3,INDIRECT(O$5&amp;$I12),"")</f>
        <v>5.9712230215827278E-2</v>
      </c>
      <c r="P12" s="60">
        <f ca="1">IF(P$3,INDIRECT(P$5&amp;$I12),"")</f>
        <v>0.11056511056511054</v>
      </c>
      <c r="Q12" s="60">
        <f ca="1">IF(Q$3,INDIRECT(Q$5&amp;$I12),"")</f>
        <v>0.12286212914485162</v>
      </c>
      <c r="R12" s="60">
        <f ca="1">IF(R$3,INDIRECT(R$5&amp;$I12),"")</f>
        <v>9.9545930841774322E-2</v>
      </c>
      <c r="S12" s="60">
        <f ca="1">IF(S$3,INDIRECT(S$5&amp;$I12),"")</f>
        <v>0.11301609517144862</v>
      </c>
      <c r="T12" s="60">
        <f ca="1">IF(T$3,INDIRECT(T$5&amp;$I12),"")</f>
        <v>0.11328671328671325</v>
      </c>
      <c r="U12" s="60">
        <f ca="1">IF(U$3,INDIRECT(U$5&amp;$I12),"")</f>
        <v>0.10241174414540366</v>
      </c>
      <c r="V12" s="60">
        <f ca="1">IF(V$3,INDIRECT(V$5&amp;$I12),"")</f>
        <v>8.6032741205154917E-2</v>
      </c>
      <c r="W12" s="60">
        <f ca="1">IF(W$3,INDIRECT(W$5&amp;$I12),"")</f>
        <v>3.2450674974039417E-2</v>
      </c>
      <c r="X12" s="60">
        <f ca="1">IF(X$3,INDIRECT(X$5&amp;$I12),"")</f>
        <v>7.6896190143306509E-2</v>
      </c>
      <c r="Y12" s="60">
        <f ca="1">IF(Y$3,INDIRECT(Y$5&amp;$I12),"")</f>
        <v>4.7502619629758991E-2</v>
      </c>
      <c r="Z12" s="60" t="str">
        <f ca="1">IF(Z$3,INDIRECT(Z$5&amp;$I12),"")</f>
        <v/>
      </c>
      <c r="AA12" s="60">
        <f ca="1">IF(AA$3,INDIRECT(AA$5&amp;$I12),"")</f>
        <v>0.12909979064898813</v>
      </c>
      <c r="AB12" s="60" t="str">
        <f ca="1">IF(AB$3,INDIRECT(AB$5&amp;$I12),"")</f>
        <v/>
      </c>
      <c r="AC12" s="60">
        <f ca="1">IF(AC$3,INDIRECT(AC$5&amp;$I12),"")</f>
        <v>7.7164804469273762E-2</v>
      </c>
      <c r="AD12" s="60" t="str">
        <f ca="1">IF(AD$3,INDIRECT(AD$5&amp;$I12),"")</f>
        <v/>
      </c>
      <c r="AE12" s="60">
        <f ca="1">IF(AE$3,INDIRECT(AE$5&amp;$I12),"")</f>
        <v>8.2139112198531983E-2</v>
      </c>
      <c r="AF12" s="60">
        <f ca="1">IF(AF$3,INDIRECT(AF$5&amp;$I12),"")</f>
        <v>0.16032134125043662</v>
      </c>
      <c r="AG12" s="60" t="str">
        <f ca="1">IF(AG$3,INDIRECT(AG$5&amp;$I12),"")</f>
        <v/>
      </c>
      <c r="AH12" s="60">
        <f ca="1">IF(AH$3,INDIRECT(AH$5&amp;$I12),"")</f>
        <v>0.10486111111111107</v>
      </c>
      <c r="AI12" s="60">
        <f ca="1">IF(AI$3,INDIRECT(AI$5&amp;$I12),"")</f>
        <v>0.15432742440041713</v>
      </c>
      <c r="AJ12" s="60">
        <f ca="1">IF(AJ$3,INDIRECT(AJ$5&amp;$I12),"")</f>
        <v>9.7569444444444486E-2</v>
      </c>
      <c r="AK12" s="60">
        <f ca="1">IF(AK$3,INDIRECT(AK$5&amp;$I12),"")</f>
        <v>7.7777777777777724E-2</v>
      </c>
      <c r="AL12" s="60">
        <f ca="1">IF(AL$3,INDIRECT(AL$5&amp;$I12),"")</f>
        <v>0.12981603609857684</v>
      </c>
      <c r="AM12" s="60">
        <f ca="1">IF(AM$3,INDIRECT(AM$5&amp;$I12),"")</f>
        <v>0.11353409484250609</v>
      </c>
      <c r="AN12" s="60">
        <f ca="1">IF(AN$3,INDIRECT(AN$5&amp;$I12),"")</f>
        <v>3.5367545076282925E-2</v>
      </c>
      <c r="AO12" s="60">
        <f ca="1">IF(AO$3,INDIRECT(AO$5&amp;$I12),"")</f>
        <v>3.8501560874089513E-2</v>
      </c>
      <c r="AP12" s="60">
        <f ca="1">IF(AP$3,INDIRECT(AP$5&amp;$I12),"")</f>
        <v>8.1024930747922386E-2</v>
      </c>
      <c r="AQ12" s="60">
        <f ca="1">IF(AQ$3,INDIRECT(AQ$5&amp;$I12),"")</f>
        <v>4.5753899480069249E-2</v>
      </c>
      <c r="AR12" s="60">
        <f ca="1">IF(AR$3,INDIRECT(AR$5&amp;$I12),"")</f>
        <v>9.5039889004509215E-2</v>
      </c>
      <c r="AS12" s="60">
        <f ca="1">IF(AS$3,INDIRECT(AS$5&amp;$I12),"")</f>
        <v>0.11350225616105525</v>
      </c>
      <c r="AT12" s="60">
        <f ca="1">IF(AT$3,INDIRECT(AT$5&amp;$I12),"")</f>
        <v>0.12616660905634292</v>
      </c>
      <c r="AU12" s="60">
        <f ca="1">IF(AU$3,INDIRECT(AU$5&amp;$I12),"")</f>
        <v>0.10079944386513739</v>
      </c>
      <c r="AV12" s="60">
        <f ca="1">IF(AV$3,INDIRECT(AV$5&amp;$I12),"")</f>
        <v>8.047173083593484E-2</v>
      </c>
      <c r="AW12" s="60">
        <f ca="1">IF(AW$3,INDIRECT(AW$5&amp;$I12),"")</f>
        <v>0.16666666666666663</v>
      </c>
    </row>
    <row r="13" spans="3:49" ht="15.75" thickBot="1"/>
    <row r="14" spans="3:49">
      <c r="C14" s="81" t="str">
        <f>A29</f>
        <v>Single CCM</v>
      </c>
      <c r="D14" s="66"/>
      <c r="E14" s="66">
        <v>0</v>
      </c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7"/>
    </row>
    <row r="15" spans="3:49">
      <c r="C15" s="82"/>
      <c r="D15" s="68"/>
      <c r="E15" s="68">
        <v>1</v>
      </c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9"/>
    </row>
    <row r="16" spans="3:49">
      <c r="C16" s="82"/>
      <c r="D16" s="68"/>
      <c r="E16" s="68">
        <f>E14</f>
        <v>0</v>
      </c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9"/>
    </row>
    <row r="17" spans="1:49">
      <c r="C17" s="82"/>
      <c r="D17" s="68"/>
      <c r="E17" s="68">
        <v>3</v>
      </c>
      <c r="F17" s="70">
        <f ca="1">(F18-F19)/5</f>
        <v>1.4367390640456754E-2</v>
      </c>
      <c r="G17" s="80" t="str">
        <f ca="1">C11&amp;" = "&amp;INT((D11+1.5*E11)*1000)/10&amp;"%"</f>
        <v>Lux Accuracy = 8.4%</v>
      </c>
      <c r="H17" s="80"/>
      <c r="I17" s="80"/>
      <c r="J17" s="68"/>
      <c r="K17" s="68"/>
      <c r="L17" s="68"/>
      <c r="M17" s="70">
        <f ca="1">(M18-M19)/5</f>
        <v>2.3563911893570828E-2</v>
      </c>
      <c r="N17" s="84" t="str">
        <f ca="1">C12&amp;"="&amp;INT((D12+1.5*E12)*1000)/10&amp;"%"</f>
        <v>CCT Accuracy=15%</v>
      </c>
      <c r="O17" s="84"/>
      <c r="P17" s="84"/>
      <c r="Q17" s="68"/>
      <c r="R17" s="68"/>
      <c r="S17" s="68"/>
      <c r="T17" s="68"/>
      <c r="U17" s="71">
        <f ca="1">(U18-U19)/5</f>
        <v>1.053531988656518</v>
      </c>
      <c r="V17" s="84" t="str">
        <f ca="1">C38&amp;"="&amp;INT((D38)*10)/10</f>
        <v>Card Gain=16.1</v>
      </c>
      <c r="W17" s="84"/>
      <c r="X17" s="84"/>
      <c r="Y17" s="68"/>
      <c r="Z17" s="68"/>
      <c r="AA17" s="69"/>
    </row>
    <row r="18" spans="1:49">
      <c r="C18" s="82"/>
      <c r="D18" s="68"/>
      <c r="E18" s="68">
        <v>4</v>
      </c>
      <c r="F18" s="70">
        <f ca="1">D11+1.5*E11</f>
        <v>8.4826306257474546E-2</v>
      </c>
      <c r="G18" s="68"/>
      <c r="H18" s="68"/>
      <c r="I18" s="68"/>
      <c r="J18" s="68"/>
      <c r="K18" s="68"/>
      <c r="L18" s="68"/>
      <c r="M18" s="70">
        <f ca="1">D12+1.5*E12</f>
        <v>0.15027023444189355</v>
      </c>
      <c r="N18" s="68"/>
      <c r="O18" s="68"/>
      <c r="P18" s="68"/>
      <c r="Q18" s="68"/>
      <c r="R18" s="68"/>
      <c r="S18" s="68"/>
      <c r="T18" s="68"/>
      <c r="U18" s="71">
        <f ca="1">D38+1.5*E38</f>
        <v>18.784489722358124</v>
      </c>
      <c r="V18" s="68"/>
      <c r="W18" s="68"/>
      <c r="X18" s="68"/>
      <c r="Y18" s="68"/>
      <c r="Z18" s="68"/>
      <c r="AA18" s="69"/>
    </row>
    <row r="19" spans="1:49">
      <c r="C19" s="82"/>
      <c r="D19" s="68"/>
      <c r="E19" s="68"/>
      <c r="F19" s="70">
        <f ca="1">F11</f>
        <v>1.2989353055190778E-2</v>
      </c>
      <c r="G19" s="68">
        <f ca="1">histo($J$11:$AW$11,$F$19:$F$24,F19)</f>
        <v>1</v>
      </c>
      <c r="H19" s="68"/>
      <c r="I19" s="68"/>
      <c r="J19" s="68"/>
      <c r="K19" s="68"/>
      <c r="L19" s="68"/>
      <c r="M19" s="70">
        <f ca="1">F12</f>
        <v>3.2450674974039417E-2</v>
      </c>
      <c r="N19" s="68">
        <f ca="1">histo($J$12:$AW$12,$M$19:$M$24,M19)</f>
        <v>1</v>
      </c>
      <c r="O19" s="68"/>
      <c r="P19" s="68"/>
      <c r="Q19" s="68"/>
      <c r="R19" s="68"/>
      <c r="S19" s="68"/>
      <c r="T19" s="68"/>
      <c r="U19" s="71">
        <f ca="1">D38-1.5*E38</f>
        <v>13.516829779075534</v>
      </c>
      <c r="V19" s="68">
        <f ca="1">histo($J$38:$AW$38,$U$19:$U$24,U19)</f>
        <v>3</v>
      </c>
      <c r="W19" s="68"/>
      <c r="X19" s="68"/>
      <c r="Y19" s="68"/>
      <c r="Z19" s="68"/>
      <c r="AA19" s="69"/>
    </row>
    <row r="20" spans="1:49">
      <c r="C20" s="82"/>
      <c r="D20" s="68"/>
      <c r="E20" s="68"/>
      <c r="F20" s="70">
        <f ca="1">F19+F$17</f>
        <v>2.7356743695647532E-2</v>
      </c>
      <c r="G20" s="68">
        <f t="shared" ref="G20:G24" ca="1" si="6">histo($J$11:$AW$11,$F$19:$F$24,F20)</f>
        <v>8</v>
      </c>
      <c r="H20" s="68"/>
      <c r="I20" s="68"/>
      <c r="J20" s="68"/>
      <c r="K20" s="68"/>
      <c r="L20" s="68"/>
      <c r="M20" s="70">
        <f ca="1">M19+M$17</f>
        <v>5.6014586867610246E-2</v>
      </c>
      <c r="N20" s="68">
        <f t="shared" ref="N20:N24" ca="1" si="7">histo($J$12:$AW$12,$M$19:$M$24,M20)</f>
        <v>5</v>
      </c>
      <c r="O20" s="68"/>
      <c r="P20" s="68"/>
      <c r="Q20" s="68"/>
      <c r="R20" s="68"/>
      <c r="S20" s="68"/>
      <c r="T20" s="68"/>
      <c r="U20" s="71">
        <f ca="1">U19+U$17</f>
        <v>14.570361767732052</v>
      </c>
      <c r="V20" s="68">
        <f t="shared" ref="V20:V24" ca="1" si="8">histo($J$38:$AW$38,$U$19:$U$24,U20)</f>
        <v>3</v>
      </c>
      <c r="W20" s="68"/>
      <c r="X20" s="68"/>
      <c r="Y20" s="68"/>
      <c r="Z20" s="68"/>
      <c r="AA20" s="69"/>
    </row>
    <row r="21" spans="1:49">
      <c r="C21" s="82"/>
      <c r="D21" s="68"/>
      <c r="E21" s="68"/>
      <c r="F21" s="70">
        <f ca="1">F20+F$17</f>
        <v>4.1724134336104286E-2</v>
      </c>
      <c r="G21" s="68">
        <f t="shared" ca="1" si="6"/>
        <v>8</v>
      </c>
      <c r="H21" s="68"/>
      <c r="I21" s="68"/>
      <c r="J21" s="68"/>
      <c r="K21" s="68"/>
      <c r="L21" s="68"/>
      <c r="M21" s="70">
        <f ca="1">M20+M$17</f>
        <v>7.9578498761181074E-2</v>
      </c>
      <c r="N21" s="68">
        <f t="shared" ca="1" si="7"/>
        <v>5</v>
      </c>
      <c r="O21" s="68"/>
      <c r="P21" s="68"/>
      <c r="Q21" s="68"/>
      <c r="R21" s="68"/>
      <c r="S21" s="68"/>
      <c r="T21" s="68"/>
      <c r="U21" s="71">
        <f ca="1">U20+U$17</f>
        <v>15.62389375638857</v>
      </c>
      <c r="V21" s="68">
        <f t="shared" ca="1" si="8"/>
        <v>8</v>
      </c>
      <c r="W21" s="68"/>
      <c r="X21" s="68"/>
      <c r="Y21" s="68"/>
      <c r="Z21" s="68"/>
      <c r="AA21" s="69"/>
    </row>
    <row r="22" spans="1:49">
      <c r="C22" s="82"/>
      <c r="D22" s="68"/>
      <c r="E22" s="68"/>
      <c r="F22" s="70">
        <f ca="1">F21+F$17</f>
        <v>5.6091524976561044E-2</v>
      </c>
      <c r="G22" s="68">
        <f t="shared" ca="1" si="6"/>
        <v>5</v>
      </c>
      <c r="H22" s="68"/>
      <c r="I22" s="68"/>
      <c r="J22" s="68"/>
      <c r="K22" s="68"/>
      <c r="L22" s="68"/>
      <c r="M22" s="70">
        <f ca="1">M21+M$17</f>
        <v>0.10314241065475191</v>
      </c>
      <c r="N22" s="68">
        <f t="shared" ca="1" si="7"/>
        <v>10</v>
      </c>
      <c r="O22" s="68"/>
      <c r="P22" s="68"/>
      <c r="Q22" s="68"/>
      <c r="R22" s="68"/>
      <c r="S22" s="68"/>
      <c r="T22" s="68"/>
      <c r="U22" s="71">
        <f ca="1">U21+U$17</f>
        <v>16.677425745045088</v>
      </c>
      <c r="V22" s="68">
        <f t="shared" ca="1" si="8"/>
        <v>7</v>
      </c>
      <c r="W22" s="68"/>
      <c r="X22" s="68"/>
      <c r="Y22" s="68"/>
      <c r="Z22" s="68"/>
      <c r="AA22" s="69"/>
    </row>
    <row r="23" spans="1:49">
      <c r="C23" s="82"/>
      <c r="D23" s="68"/>
      <c r="E23" s="68"/>
      <c r="F23" s="70">
        <f ca="1">F22+F$17</f>
        <v>7.0458915617017795E-2</v>
      </c>
      <c r="G23" s="68">
        <f t="shared" ca="1" si="6"/>
        <v>5</v>
      </c>
      <c r="H23" s="68"/>
      <c r="I23" s="68"/>
      <c r="J23" s="70"/>
      <c r="K23" s="68"/>
      <c r="L23" s="68"/>
      <c r="M23" s="70">
        <f ca="1">M22+M$17</f>
        <v>0.12670632254832273</v>
      </c>
      <c r="N23" s="68">
        <f t="shared" ca="1" si="7"/>
        <v>8</v>
      </c>
      <c r="O23" s="68"/>
      <c r="P23" s="68"/>
      <c r="Q23" s="68"/>
      <c r="R23" s="68"/>
      <c r="S23" s="68"/>
      <c r="T23" s="68"/>
      <c r="U23" s="71">
        <f ca="1">U22+U$17</f>
        <v>17.730957733701608</v>
      </c>
      <c r="V23" s="68">
        <f t="shared" ca="1" si="8"/>
        <v>4</v>
      </c>
      <c r="W23" s="68"/>
      <c r="X23" s="68"/>
      <c r="Y23" s="68"/>
      <c r="Z23" s="68"/>
      <c r="AA23" s="69"/>
    </row>
    <row r="24" spans="1:49">
      <c r="C24" s="82"/>
      <c r="D24" s="68"/>
      <c r="E24" s="68"/>
      <c r="F24" s="70">
        <f ca="1">F23+F$17</f>
        <v>8.4826306257474546E-2</v>
      </c>
      <c r="G24" s="68">
        <f t="shared" ca="1" si="6"/>
        <v>8</v>
      </c>
      <c r="H24" s="68"/>
      <c r="I24" s="68"/>
      <c r="J24" s="70"/>
      <c r="K24" s="68"/>
      <c r="L24" s="68"/>
      <c r="M24" s="70">
        <f ca="1">M23+M$17</f>
        <v>0.15027023444189355</v>
      </c>
      <c r="N24" s="68">
        <f t="shared" ca="1" si="7"/>
        <v>6</v>
      </c>
      <c r="O24" s="68"/>
      <c r="P24" s="68"/>
      <c r="Q24" s="68"/>
      <c r="R24" s="68"/>
      <c r="S24" s="68"/>
      <c r="T24" s="68"/>
      <c r="U24" s="71">
        <f ca="1">U23+U$17</f>
        <v>18.784489722358124</v>
      </c>
      <c r="V24" s="68">
        <f t="shared" ca="1" si="8"/>
        <v>10</v>
      </c>
      <c r="W24" s="68"/>
      <c r="X24" s="68"/>
      <c r="Y24" s="68"/>
      <c r="Z24" s="68"/>
      <c r="AA24" s="69"/>
    </row>
    <row r="25" spans="1:49">
      <c r="C25" s="82"/>
      <c r="D25" s="68"/>
      <c r="E25" s="68"/>
      <c r="F25" s="68"/>
      <c r="G25" s="68"/>
      <c r="H25" s="68"/>
      <c r="I25" s="68"/>
      <c r="J25" s="70"/>
      <c r="K25" s="68"/>
      <c r="L25" s="68"/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9"/>
    </row>
    <row r="26" spans="1:49">
      <c r="C26" s="82"/>
      <c r="D26" s="68"/>
      <c r="E26" s="68"/>
      <c r="F26" s="68"/>
      <c r="G26" s="68"/>
      <c r="H26" s="68"/>
      <c r="I26" s="68"/>
      <c r="J26" s="70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9"/>
    </row>
    <row r="27" spans="1:49" ht="15.75" thickBot="1">
      <c r="C27" s="83"/>
      <c r="D27" s="72"/>
      <c r="E27" s="72"/>
      <c r="F27" s="72"/>
      <c r="G27" s="72"/>
      <c r="H27" s="72"/>
      <c r="I27" s="72"/>
      <c r="J27" s="73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4"/>
    </row>
    <row r="28" spans="1:49">
      <c r="J28" s="60"/>
    </row>
    <row r="29" spans="1:49">
      <c r="A29" s="78" t="s">
        <v>55</v>
      </c>
      <c r="B29" s="58" t="s">
        <v>6</v>
      </c>
      <c r="C29" s="79" t="s">
        <v>3</v>
      </c>
      <c r="D29" s="62">
        <f ca="1">AVERAGE(J29:AW29)</f>
        <v>0.21932187981122797</v>
      </c>
      <c r="E29" s="62">
        <f ca="1">STDEV(J29:AW29)</f>
        <v>6.2929318879881777E-2</v>
      </c>
      <c r="F29" s="62">
        <f ca="1">MIN(J29:AW29)</f>
        <v>0.13088852988980632</v>
      </c>
      <c r="G29" s="62">
        <f ca="1">MAX(J29:AW29)</f>
        <v>0.3847572935895936</v>
      </c>
      <c r="H29" s="59">
        <f t="shared" ref="H29:H37" ca="1" si="9">(G29-F29)/E29</f>
        <v>4.034188963404592</v>
      </c>
      <c r="I29" s="58" t="s">
        <v>44</v>
      </c>
      <c r="J29" s="62">
        <f ca="1">IF(J$3,INDIRECT(J$5&amp;$I29),"")</f>
        <v>0.20737571245053002</v>
      </c>
      <c r="K29" s="62">
        <f ca="1">IF(K$3,INDIRECT(K$5&amp;$I29),"")</f>
        <v>0.18824103892864683</v>
      </c>
      <c r="L29" s="62">
        <f ca="1">IF(L$3,INDIRECT(L$5&amp;$I29),"")</f>
        <v>0.30866162711085549</v>
      </c>
      <c r="M29" s="62" t="str">
        <f ca="1">IF(M$3,INDIRECT(M$5&amp;$I29),"")</f>
        <v/>
      </c>
      <c r="N29" s="62">
        <f ca="1">IF(N$3,INDIRECT(N$5&amp;$I29),"")</f>
        <v>0.21291127240489047</v>
      </c>
      <c r="O29" s="62">
        <f ca="1">IF(O$3,INDIRECT(O$5&amp;$I29),"")</f>
        <v>0.22687047210786129</v>
      </c>
      <c r="P29" s="62">
        <f ca="1">IF(P$3,INDIRECT(P$5&amp;$I29),"")</f>
        <v>0.17658486540992138</v>
      </c>
      <c r="Q29" s="62">
        <f ca="1">IF(Q$3,INDIRECT(Q$5&amp;$I29),"")</f>
        <v>0.18274017636722781</v>
      </c>
      <c r="R29" s="62">
        <f ca="1">IF(R$3,INDIRECT(R$5&amp;$I29),"")</f>
        <v>0.21309775581125476</v>
      </c>
      <c r="S29" s="62">
        <f ca="1">IF(S$3,INDIRECT(S$5&amp;$I29),"")</f>
        <v>0.29188631163103912</v>
      </c>
      <c r="T29" s="62">
        <f ca="1">IF(T$3,INDIRECT(T$5&amp;$I29),"")</f>
        <v>0.33037917336703904</v>
      </c>
      <c r="U29" s="62">
        <f ca="1">IF(U$3,INDIRECT(U$5&amp;$I29),"")</f>
        <v>0.34496009181505821</v>
      </c>
      <c r="V29" s="62">
        <f ca="1">IF(V$3,INDIRECT(V$5&amp;$I29),"")</f>
        <v>0.34665274729338963</v>
      </c>
      <c r="W29" s="62">
        <f ca="1">IF(W$3,INDIRECT(W$5&amp;$I29),"")</f>
        <v>0.3847572935895936</v>
      </c>
      <c r="X29" s="62">
        <f ca="1">IF(X$3,INDIRECT(X$5&amp;$I29),"")</f>
        <v>0.3281885138970333</v>
      </c>
      <c r="Y29" s="62">
        <f ca="1">IF(Y$3,INDIRECT(Y$5&amp;$I29),"")</f>
        <v>0.17696815399702906</v>
      </c>
      <c r="Z29" s="62" t="str">
        <f ca="1">IF(Z$3,INDIRECT(Z$5&amp;$I29),"")</f>
        <v/>
      </c>
      <c r="AA29" s="62">
        <f ca="1">IF(AA$3,INDIRECT(AA$5&amp;$I29),"")</f>
        <v>0.1665367872711134</v>
      </c>
      <c r="AB29" s="62" t="str">
        <f ca="1">IF(AB$3,INDIRECT(AB$5&amp;$I29),"")</f>
        <v/>
      </c>
      <c r="AC29" s="62">
        <f ca="1">IF(AC$3,INDIRECT(AC$5&amp;$I29),"")</f>
        <v>0.13088852988980632</v>
      </c>
      <c r="AD29" s="62" t="str">
        <f ca="1">IF(AD$3,INDIRECT(AD$5&amp;$I29),"")</f>
        <v/>
      </c>
      <c r="AE29" s="62">
        <f ca="1">IF(AE$3,INDIRECT(AE$5&amp;$I29),"")</f>
        <v>0.22284914944844864</v>
      </c>
      <c r="AF29" s="62">
        <f ca="1">IF(AF$3,INDIRECT(AF$5&amp;$I29),"")</f>
        <v>0.17294008873064318</v>
      </c>
      <c r="AG29" s="62" t="str">
        <f ca="1">IF(AG$3,INDIRECT(AG$5&amp;$I29),"")</f>
        <v/>
      </c>
      <c r="AH29" s="62">
        <f ca="1">IF(AH$3,INDIRECT(AH$5&amp;$I29),"")</f>
        <v>0.18958784333704162</v>
      </c>
      <c r="AI29" s="62">
        <f ca="1">IF(AI$3,INDIRECT(AI$5&amp;$I29),"")</f>
        <v>0.15875694779049884</v>
      </c>
      <c r="AJ29" s="62">
        <f ca="1">IF(AJ$3,INDIRECT(AJ$5&amp;$I29),"")</f>
        <v>0.16135946780638308</v>
      </c>
      <c r="AK29" s="62">
        <f ca="1">IF(AK$3,INDIRECT(AK$5&amp;$I29),"")</f>
        <v>0.16367230092035115</v>
      </c>
      <c r="AL29" s="62">
        <f ca="1">IF(AL$3,INDIRECT(AL$5&amp;$I29),"")</f>
        <v>0.1822607070278516</v>
      </c>
      <c r="AM29" s="62">
        <f ca="1">IF(AM$3,INDIRECT(AM$5&amp;$I29),"")</f>
        <v>0.21697772401992585</v>
      </c>
      <c r="AN29" s="62">
        <f ca="1">IF(AN$3,INDIRECT(AN$5&amp;$I29),"")</f>
        <v>0.22743115783681042</v>
      </c>
      <c r="AO29" s="62">
        <f ca="1">IF(AO$3,INDIRECT(AO$5&amp;$I29),"")</f>
        <v>0.21016576436112425</v>
      </c>
      <c r="AP29" s="62">
        <f ca="1">IF(AP$3,INDIRECT(AP$5&amp;$I29),"")</f>
        <v>0.18927625981754334</v>
      </c>
      <c r="AQ29" s="62">
        <f ca="1">IF(AQ$3,INDIRECT(AQ$5&amp;$I29),"")</f>
        <v>0.20072840059045036</v>
      </c>
      <c r="AR29" s="62">
        <f ca="1">IF(AR$3,INDIRECT(AR$5&amp;$I29),"")</f>
        <v>0.19879804914911778</v>
      </c>
      <c r="AS29" s="62">
        <f ca="1">IF(AS$3,INDIRECT(AS$5&amp;$I29),"")</f>
        <v>0.19623420929154506</v>
      </c>
      <c r="AT29" s="62">
        <f ca="1">IF(AT$3,INDIRECT(AT$5&amp;$I29),"")</f>
        <v>0.1725802597925141</v>
      </c>
      <c r="AU29" s="62">
        <f ca="1">IF(AU$3,INDIRECT(AU$5&amp;$I29),"")</f>
        <v>0.20300885560485771</v>
      </c>
      <c r="AV29" s="62">
        <f ca="1">IF(AV$3,INDIRECT(AV$5&amp;$I29),"")</f>
        <v>0.21310596961547965</v>
      </c>
      <c r="AW29" s="62">
        <f ca="1">IF(AW$3,INDIRECT(AW$5&amp;$I29),"")</f>
        <v>0.17883211491010317</v>
      </c>
    </row>
    <row r="30" spans="1:49">
      <c r="A30" s="78"/>
      <c r="B30" s="58" t="s">
        <v>7</v>
      </c>
      <c r="C30" s="79"/>
      <c r="D30" s="62">
        <f t="shared" ref="D30:D37" ca="1" si="10">AVERAGE(J30:AW30)</f>
        <v>1.0359546542436717</v>
      </c>
      <c r="E30" s="62">
        <f t="shared" ref="E30:E37" ca="1" si="11">STDEV(J30:AW30)</f>
        <v>1.4671238036773868E-2</v>
      </c>
      <c r="F30" s="62">
        <f t="shared" ref="F30:F37" ca="1" si="12">MIN(J30:AW30)</f>
        <v>1.0050040418682351</v>
      </c>
      <c r="G30" s="62">
        <f t="shared" ref="G30:G37" ca="1" si="13">MAX(J30:AW30)</f>
        <v>1.0644261586678643</v>
      </c>
      <c r="H30" s="59">
        <f t="shared" ca="1" si="9"/>
        <v>4.0502455655539071</v>
      </c>
      <c r="I30" s="58" t="s">
        <v>45</v>
      </c>
      <c r="J30" s="62">
        <f ca="1">IF(J$3,INDIRECT(J$5&amp;$I30),"")</f>
        <v>1.0100027206721589</v>
      </c>
      <c r="K30" s="62">
        <f ca="1">IF(K$3,INDIRECT(K$5&amp;$I30),"")</f>
        <v>1.0386384754884574</v>
      </c>
      <c r="L30" s="62">
        <f ca="1">IF(L$3,INDIRECT(L$5&amp;$I30),"")</f>
        <v>1.0104380655273466</v>
      </c>
      <c r="M30" s="62" t="str">
        <f ca="1">IF(M$3,INDIRECT(M$5&amp;$I30),"")</f>
        <v/>
      </c>
      <c r="N30" s="62">
        <f ca="1">IF(N$3,INDIRECT(N$5&amp;$I30),"")</f>
        <v>1.0388764088506832</v>
      </c>
      <c r="O30" s="62">
        <f ca="1">IF(O$3,INDIRECT(O$5&amp;$I30),"")</f>
        <v>1.0111105529708175</v>
      </c>
      <c r="P30" s="62">
        <f ca="1">IF(P$3,INDIRECT(P$5&amp;$I30),"")</f>
        <v>1.0586701068669788</v>
      </c>
      <c r="Q30" s="62">
        <f ca="1">IF(Q$3,INDIRECT(Q$5&amp;$I30),"")</f>
        <v>1.0423312201999642</v>
      </c>
      <c r="R30" s="62">
        <f ca="1">IF(R$3,INDIRECT(R$5&amp;$I30),"")</f>
        <v>1.0383928536520817</v>
      </c>
      <c r="S30" s="62">
        <f ca="1">IF(S$3,INDIRECT(S$5&amp;$I30),"")</f>
        <v>1.038167685983318</v>
      </c>
      <c r="T30" s="62">
        <f ca="1">IF(T$3,INDIRECT(T$5&amp;$I30),"")</f>
        <v>1.0353294238089377</v>
      </c>
      <c r="U30" s="62">
        <f ca="1">IF(U$3,INDIRECT(U$5&amp;$I30),"")</f>
        <v>1.0427352058443073</v>
      </c>
      <c r="V30" s="62">
        <f ca="1">IF(V$3,INDIRECT(V$5&amp;$I30),"")</f>
        <v>1.0390291611286111</v>
      </c>
      <c r="W30" s="62">
        <f ca="1">IF(W$3,INDIRECT(W$5&amp;$I30),"")</f>
        <v>1.0264772687945631</v>
      </c>
      <c r="X30" s="62">
        <f ca="1">IF(X$3,INDIRECT(X$5&amp;$I30),"")</f>
        <v>1.0516450450448798</v>
      </c>
      <c r="Y30" s="62">
        <f ca="1">IF(Y$3,INDIRECT(Y$5&amp;$I30),"")</f>
        <v>1.0400424394052159</v>
      </c>
      <c r="Z30" s="62" t="str">
        <f ca="1">IF(Z$3,INDIRECT(Z$5&amp;$I30),"")</f>
        <v/>
      </c>
      <c r="AA30" s="62">
        <f ca="1">IF(AA$3,INDIRECT(AA$5&amp;$I30),"")</f>
        <v>1.0375830544162434</v>
      </c>
      <c r="AB30" s="62" t="str">
        <f ca="1">IF(AB$3,INDIRECT(AB$5&amp;$I30),"")</f>
        <v/>
      </c>
      <c r="AC30" s="62">
        <f ca="1">IF(AC$3,INDIRECT(AC$5&amp;$I30),"")</f>
        <v>1.0118697460275028</v>
      </c>
      <c r="AD30" s="62" t="str">
        <f ca="1">IF(AD$3,INDIRECT(AD$5&amp;$I30),"")</f>
        <v/>
      </c>
      <c r="AE30" s="62">
        <f ca="1">IF(AE$3,INDIRECT(AE$5&amp;$I30),"")</f>
        <v>1.0286903778097094</v>
      </c>
      <c r="AF30" s="62">
        <f ca="1">IF(AF$3,INDIRECT(AF$5&amp;$I30),"")</f>
        <v>1.0127580707636805</v>
      </c>
      <c r="AG30" s="62" t="str">
        <f ca="1">IF(AG$3,INDIRECT(AG$5&amp;$I30),"")</f>
        <v/>
      </c>
      <c r="AH30" s="62">
        <f ca="1">IF(AH$3,INDIRECT(AH$5&amp;$I30),"")</f>
        <v>1.0369271574557992</v>
      </c>
      <c r="AI30" s="62">
        <f ca="1">IF(AI$3,INDIRECT(AI$5&amp;$I30),"")</f>
        <v>1.0338847932378692</v>
      </c>
      <c r="AJ30" s="62">
        <f ca="1">IF(AJ$3,INDIRECT(AJ$5&amp;$I30),"")</f>
        <v>1.0340535601568599</v>
      </c>
      <c r="AK30" s="62">
        <f ca="1">IF(AK$3,INDIRECT(AK$5&amp;$I30),"")</f>
        <v>1.0384987198364468</v>
      </c>
      <c r="AL30" s="62">
        <f ca="1">IF(AL$3,INDIRECT(AL$5&amp;$I30),"")</f>
        <v>1.0463488828530232</v>
      </c>
      <c r="AM30" s="62">
        <f ca="1">IF(AM$3,INDIRECT(AM$5&amp;$I30),"")</f>
        <v>1.0566243916684173</v>
      </c>
      <c r="AN30" s="62">
        <f ca="1">IF(AN$3,INDIRECT(AN$5&amp;$I30),"")</f>
        <v>1.0236769408127717</v>
      </c>
      <c r="AO30" s="62">
        <f ca="1">IF(AO$3,INDIRECT(AO$5&amp;$I30),"")</f>
        <v>1.034178074189035</v>
      </c>
      <c r="AP30" s="62">
        <f ca="1">IF(AP$3,INDIRECT(AP$5&amp;$I30),"")</f>
        <v>1.0344383218218784</v>
      </c>
      <c r="AQ30" s="62">
        <f ca="1">IF(AQ$3,INDIRECT(AQ$5&amp;$I30),"")</f>
        <v>1.0536262683709288</v>
      </c>
      <c r="AR30" s="62">
        <f ca="1">IF(AR$3,INDIRECT(AR$5&amp;$I30),"")</f>
        <v>1.0495395564837564</v>
      </c>
      <c r="AS30" s="62">
        <f ca="1">IF(AS$3,INDIRECT(AS$5&amp;$I30),"")</f>
        <v>1.0460220419832658</v>
      </c>
      <c r="AT30" s="62">
        <f ca="1">IF(AT$3,INDIRECT(AT$5&amp;$I30),"")</f>
        <v>1.0431816125024258</v>
      </c>
      <c r="AU30" s="62">
        <f ca="1">IF(AU$3,INDIRECT(AU$5&amp;$I30),"")</f>
        <v>1.045194493364475</v>
      </c>
      <c r="AV30" s="62">
        <f ca="1">IF(AV$3,INDIRECT(AV$5&amp;$I30),"")</f>
        <v>1.0050040418682351</v>
      </c>
      <c r="AW30" s="62">
        <f ca="1">IF(AW$3,INDIRECT(AW$5&amp;$I30),"")</f>
        <v>1.0644261586678643</v>
      </c>
    </row>
    <row r="31" spans="1:49">
      <c r="A31" s="78"/>
      <c r="B31" s="58" t="s">
        <v>8</v>
      </c>
      <c r="C31" s="79"/>
      <c r="D31" s="62">
        <f t="shared" ca="1" si="10"/>
        <v>-0.38306628657916597</v>
      </c>
      <c r="E31" s="62">
        <f t="shared" ca="1" si="11"/>
        <v>8.7760278764673669E-2</v>
      </c>
      <c r="F31" s="62">
        <f t="shared" ca="1" si="12"/>
        <v>-0.52033950125014683</v>
      </c>
      <c r="G31" s="62">
        <f t="shared" ca="1" si="13"/>
        <v>-0.13152445111389571</v>
      </c>
      <c r="H31" s="59">
        <f t="shared" ca="1" si="9"/>
        <v>4.4304217763351232</v>
      </c>
      <c r="I31" s="58" t="s">
        <v>46</v>
      </c>
      <c r="J31" s="62">
        <f ca="1">IF(J$3,INDIRECT(J$5&amp;$I31),"")</f>
        <v>-0.3070605210986378</v>
      </c>
      <c r="K31" s="62">
        <f ca="1">IF(K$3,INDIRECT(K$5&amp;$I31),"")</f>
        <v>-0.4168851662950252</v>
      </c>
      <c r="L31" s="62">
        <f ca="1">IF(L$3,INDIRECT(L$5&amp;$I31),"")</f>
        <v>-0.28514963224336026</v>
      </c>
      <c r="M31" s="62" t="str">
        <f ca="1">IF(M$3,INDIRECT(M$5&amp;$I31),"")</f>
        <v/>
      </c>
      <c r="N31" s="62">
        <f ca="1">IF(N$3,INDIRECT(N$5&amp;$I31),"")</f>
        <v>-0.46595236574066795</v>
      </c>
      <c r="O31" s="62">
        <f ca="1">IF(O$3,INDIRECT(O$5&amp;$I31),"")</f>
        <v>-0.44191710256466943</v>
      </c>
      <c r="P31" s="62">
        <f ca="1">IF(P$3,INDIRECT(P$5&amp;$I31),"")</f>
        <v>-0.47730258291635214</v>
      </c>
      <c r="Q31" s="62">
        <f ca="1">IF(Q$3,INDIRECT(Q$5&amp;$I31),"")</f>
        <v>-0.41999699862450468</v>
      </c>
      <c r="R31" s="62">
        <f ca="1">IF(R$3,INDIRECT(R$5&amp;$I31),"")</f>
        <v>-0.48459110700836838</v>
      </c>
      <c r="S31" s="62">
        <f ca="1">IF(S$3,INDIRECT(S$5&amp;$I31),"")</f>
        <v>-0.34999941319003397</v>
      </c>
      <c r="T31" s="62">
        <f ca="1">IF(T$3,INDIRECT(T$5&amp;$I31),"")</f>
        <v>-0.34091524658323397</v>
      </c>
      <c r="U31" s="62">
        <f ca="1">IF(U$3,INDIRECT(U$5&amp;$I31),"")</f>
        <v>-0.33517765227219387</v>
      </c>
      <c r="V31" s="62">
        <f ca="1">IF(V$3,INDIRECT(V$5&amp;$I31),"")</f>
        <v>-0.32446400498973688</v>
      </c>
      <c r="W31" s="62">
        <f ca="1">IF(W$3,INDIRECT(W$5&amp;$I31),"")</f>
        <v>-0.42410180612158316</v>
      </c>
      <c r="X31" s="62">
        <f ca="1">IF(X$3,INDIRECT(X$5&amp;$I31),"")</f>
        <v>-0.3028201421914844</v>
      </c>
      <c r="Y31" s="62">
        <f ca="1">IF(Y$3,INDIRECT(Y$5&amp;$I31),"")</f>
        <v>-0.52033950125014683</v>
      </c>
      <c r="Z31" s="62" t="str">
        <f ca="1">IF(Z$3,INDIRECT(Z$5&amp;$I31),"")</f>
        <v/>
      </c>
      <c r="AA31" s="62">
        <f ca="1">IF(AA$3,INDIRECT(AA$5&amp;$I31),"")</f>
        <v>-0.47036392798211091</v>
      </c>
      <c r="AB31" s="62" t="str">
        <f ca="1">IF(AB$3,INDIRECT(AB$5&amp;$I31),"")</f>
        <v/>
      </c>
      <c r="AC31" s="62">
        <f ca="1">IF(AC$3,INDIRECT(AC$5&amp;$I31),"")</f>
        <v>-0.17704357120263192</v>
      </c>
      <c r="AD31" s="62" t="str">
        <f ca="1">IF(AD$3,INDIRECT(AD$5&amp;$I31),"")</f>
        <v/>
      </c>
      <c r="AE31" s="62">
        <f ca="1">IF(AE$3,INDIRECT(AE$5&amp;$I31),"")</f>
        <v>-0.46446465764073858</v>
      </c>
      <c r="AF31" s="62">
        <f ca="1">IF(AF$3,INDIRECT(AF$5&amp;$I31),"")</f>
        <v>-0.34878934250392141</v>
      </c>
      <c r="AG31" s="62" t="str">
        <f ca="1">IF(AG$3,INDIRECT(AG$5&amp;$I31),"")</f>
        <v/>
      </c>
      <c r="AH31" s="62">
        <f ca="1">IF(AH$3,INDIRECT(AH$5&amp;$I31),"")</f>
        <v>-0.36776363790185906</v>
      </c>
      <c r="AI31" s="62">
        <f ca="1">IF(AI$3,INDIRECT(AI$5&amp;$I31),"")</f>
        <v>-0.41842341353981083</v>
      </c>
      <c r="AJ31" s="62">
        <f ca="1">IF(AJ$3,INDIRECT(AJ$5&amp;$I31),"")</f>
        <v>-0.40258946840863186</v>
      </c>
      <c r="AK31" s="62">
        <f ca="1">IF(AK$3,INDIRECT(AK$5&amp;$I31),"")</f>
        <v>-0.47996418906891886</v>
      </c>
      <c r="AL31" s="62">
        <f ca="1">IF(AL$3,INDIRECT(AL$5&amp;$I31),"")</f>
        <v>-0.41349638392876431</v>
      </c>
      <c r="AM31" s="62">
        <f ca="1">IF(AM$3,INDIRECT(AM$5&amp;$I31),"")</f>
        <v>-0.39980134901991227</v>
      </c>
      <c r="AN31" s="62">
        <f ca="1">IF(AN$3,INDIRECT(AN$5&amp;$I31),"")</f>
        <v>-0.44753432947855148</v>
      </c>
      <c r="AO31" s="62">
        <f ca="1">IF(AO$3,INDIRECT(AO$5&amp;$I31),"")</f>
        <v>-0.4266267554505544</v>
      </c>
      <c r="AP31" s="62">
        <f ca="1">IF(AP$3,INDIRECT(AP$5&amp;$I31),"")</f>
        <v>-0.37318074138650775</v>
      </c>
      <c r="AQ31" s="62">
        <f ca="1">IF(AQ$3,INDIRECT(AQ$5&amp;$I31),"")</f>
        <v>-0.41628924490027902</v>
      </c>
      <c r="AR31" s="62">
        <f ca="1">IF(AR$3,INDIRECT(AR$5&amp;$I31),"")</f>
        <v>-0.38076030062189997</v>
      </c>
      <c r="AS31" s="62">
        <f ca="1">IF(AS$3,INDIRECT(AS$5&amp;$I31),"")</f>
        <v>-0.25876794359021627</v>
      </c>
      <c r="AT31" s="62">
        <f ca="1">IF(AT$3,INDIRECT(AT$5&amp;$I31),"")</f>
        <v>-0.46914555355739557</v>
      </c>
      <c r="AU31" s="62">
        <f ca="1">IF(AU$3,INDIRECT(AU$5&amp;$I31),"")</f>
        <v>-0.26141701447977483</v>
      </c>
      <c r="AV31" s="62">
        <f ca="1">IF(AV$3,INDIRECT(AV$5&amp;$I31),"")</f>
        <v>-0.4027005114044373</v>
      </c>
      <c r="AW31" s="62">
        <f ca="1">IF(AW$3,INDIRECT(AW$5&amp;$I31),"")</f>
        <v>-0.13152445111389571</v>
      </c>
    </row>
    <row r="32" spans="1:49">
      <c r="A32" s="78"/>
      <c r="B32" s="58" t="str">
        <f>B29</f>
        <v>R</v>
      </c>
      <c r="C32" s="79" t="s">
        <v>4</v>
      </c>
      <c r="D32" s="62">
        <f t="shared" ca="1" si="10"/>
        <v>6.1097440677060168E-2</v>
      </c>
      <c r="E32" s="62">
        <f t="shared" ca="1" si="11"/>
        <v>5.4164919896025163E-2</v>
      </c>
      <c r="F32" s="62">
        <f t="shared" ca="1" si="12"/>
        <v>-2.9162127890344555E-2</v>
      </c>
      <c r="G32" s="62">
        <f t="shared" ca="1" si="13"/>
        <v>0.19766858331912923</v>
      </c>
      <c r="H32" s="59">
        <f t="shared" ca="1" si="9"/>
        <v>4.1877789470546141</v>
      </c>
      <c r="I32" s="58" t="s">
        <v>47</v>
      </c>
      <c r="J32" s="62">
        <f ca="1">IF(J$3,INDIRECT(J$5&amp;$I32),"")</f>
        <v>3.1740787466537426E-2</v>
      </c>
      <c r="K32" s="62">
        <f ca="1">IF(K$3,INDIRECT(K$5&amp;$I32),"")</f>
        <v>5.2967031715155308E-2</v>
      </c>
      <c r="L32" s="62">
        <f ca="1">IF(L$3,INDIRECT(L$5&amp;$I32),"")</f>
        <v>0.12588621294424096</v>
      </c>
      <c r="M32" s="62" t="str">
        <f ca="1">IF(M$3,INDIRECT(M$5&amp;$I32),"")</f>
        <v/>
      </c>
      <c r="N32" s="62">
        <f ca="1">IF(N$3,INDIRECT(N$5&amp;$I32),"")</f>
        <v>3.8303710543148586E-2</v>
      </c>
      <c r="O32" s="62">
        <f ca="1">IF(O$3,INDIRECT(O$5&amp;$I32),"")</f>
        <v>6.8803918118337817E-2</v>
      </c>
      <c r="P32" s="62">
        <f ca="1">IF(P$3,INDIRECT(P$5&amp;$I32),"")</f>
        <v>5.1613678451638459E-2</v>
      </c>
      <c r="Q32" s="62">
        <f ca="1">IF(Q$3,INDIRECT(Q$5&amp;$I32),"")</f>
        <v>4.2584624731148227E-2</v>
      </c>
      <c r="R32" s="62">
        <f ca="1">IF(R$3,INDIRECT(R$5&amp;$I32),"")</f>
        <v>6.3987429297808013E-2</v>
      </c>
      <c r="S32" s="62">
        <f ca="1">IF(S$3,INDIRECT(S$5&amp;$I32),"")</f>
        <v>0.1275379378215703</v>
      </c>
      <c r="T32" s="62">
        <f ca="1">IF(T$3,INDIRECT(T$5&amp;$I32),"")</f>
        <v>0.14876412974435144</v>
      </c>
      <c r="U32" s="62">
        <f ca="1">IF(U$3,INDIRECT(U$5&amp;$I32),"")</f>
        <v>0.18587992526780378</v>
      </c>
      <c r="V32" s="62">
        <f ca="1">IF(V$3,INDIRECT(V$5&amp;$I32),"")</f>
        <v>0.16563917808449766</v>
      </c>
      <c r="W32" s="62">
        <f ca="1">IF(W$3,INDIRECT(W$5&amp;$I32),"")</f>
        <v>0.19766858331912923</v>
      </c>
      <c r="X32" s="62">
        <f ca="1">IF(X$3,INDIRECT(X$5&amp;$I32),"")</f>
        <v>0.15679659644048213</v>
      </c>
      <c r="Y32" s="62">
        <f ca="1">IF(Y$3,INDIRECT(Y$5&amp;$I32),"")</f>
        <v>4.2984378298262564E-2</v>
      </c>
      <c r="Z32" s="62" t="str">
        <f ca="1">IF(Z$3,INDIRECT(Z$5&amp;$I32),"")</f>
        <v/>
      </c>
      <c r="AA32" s="62">
        <f ca="1">IF(AA$3,INDIRECT(AA$5&amp;$I32),"")</f>
        <v>3.5340275982742995E-2</v>
      </c>
      <c r="AB32" s="62" t="str">
        <f ca="1">IF(AB$3,INDIRECT(AB$5&amp;$I32),"")</f>
        <v/>
      </c>
      <c r="AC32" s="62">
        <f ca="1">IF(AC$3,INDIRECT(AC$5&amp;$I32),"")</f>
        <v>-2.9162127890344555E-2</v>
      </c>
      <c r="AD32" s="62" t="str">
        <f ca="1">IF(AD$3,INDIRECT(AD$5&amp;$I32),"")</f>
        <v/>
      </c>
      <c r="AE32" s="62">
        <f ca="1">IF(AE$3,INDIRECT(AE$5&amp;$I32),"")</f>
        <v>6.0788000020225705E-2</v>
      </c>
      <c r="AF32" s="62">
        <f ca="1">IF(AF$3,INDIRECT(AF$5&amp;$I32),"")</f>
        <v>3.591407208128089E-2</v>
      </c>
      <c r="AG32" s="62" t="str">
        <f ca="1">IF(AG$3,INDIRECT(AG$5&amp;$I32),"")</f>
        <v/>
      </c>
      <c r="AH32" s="62">
        <f ca="1">IF(AH$3,INDIRECT(AH$5&amp;$I32),"")</f>
        <v>2.1314635361909428E-2</v>
      </c>
      <c r="AI32" s="62">
        <f ca="1">IF(AI$3,INDIRECT(AI$5&amp;$I32),"")</f>
        <v>2.8420893824948435E-2</v>
      </c>
      <c r="AJ32" s="62">
        <f ca="1">IF(AJ$3,INDIRECT(AJ$5&amp;$I32),"")</f>
        <v>1.6292153690069172E-2</v>
      </c>
      <c r="AK32" s="62">
        <f ca="1">IF(AK$3,INDIRECT(AK$5&amp;$I32),"")</f>
        <v>2.5448646994633412E-2</v>
      </c>
      <c r="AL32" s="62">
        <f ca="1">IF(AL$3,INDIRECT(AL$5&amp;$I32),"")</f>
        <v>4.0991088297957612E-2</v>
      </c>
      <c r="AM32" s="62">
        <f ca="1">IF(AM$3,INDIRECT(AM$5&amp;$I32),"")</f>
        <v>5.1292555510027711E-2</v>
      </c>
      <c r="AN32" s="62">
        <f ca="1">IF(AN$3,INDIRECT(AN$5&amp;$I32),"")</f>
        <v>6.0520441644105312E-2</v>
      </c>
      <c r="AO32" s="62">
        <f ca="1">IF(AO$3,INDIRECT(AO$5&amp;$I32),"")</f>
        <v>6.1257963090647995E-2</v>
      </c>
      <c r="AP32" s="62">
        <f ca="1">IF(AP$3,INDIRECT(AP$5&amp;$I32),"")</f>
        <v>3.0610822229971617E-2</v>
      </c>
      <c r="AQ32" s="62">
        <f ca="1">IF(AQ$3,INDIRECT(AQ$5&amp;$I32),"")</f>
        <v>3.8820701091700244E-2</v>
      </c>
      <c r="AR32" s="62">
        <f ca="1">IF(AR$3,INDIRECT(AR$5&amp;$I32),"")</f>
        <v>4.1239061854754781E-2</v>
      </c>
      <c r="AS32" s="62">
        <f ca="1">IF(AS$3,INDIRECT(AS$5&amp;$I32),"")</f>
        <v>1.9480808455267371E-2</v>
      </c>
      <c r="AT32" s="62">
        <f ca="1">IF(AT$3,INDIRECT(AT$5&amp;$I32),"")</f>
        <v>4.3433358939637796E-2</v>
      </c>
      <c r="AU32" s="62">
        <f ca="1">IF(AU$3,INDIRECT(AU$5&amp;$I32),"")</f>
        <v>1.1088097738421447E-2</v>
      </c>
      <c r="AV32" s="62">
        <f ca="1">IF(AV$3,INDIRECT(AV$5&amp;$I32),"")</f>
        <v>5.0221804260826466E-2</v>
      </c>
      <c r="AW32" s="62">
        <f ca="1">IF(AW$3,INDIRECT(AW$5&amp;$I32),"")</f>
        <v>-6.0609517257899171E-3</v>
      </c>
    </row>
    <row r="33" spans="1:49">
      <c r="A33" s="78"/>
      <c r="B33" s="58" t="str">
        <f t="shared" ref="B33:B37" si="14">B30</f>
        <v>G</v>
      </c>
      <c r="C33" s="79"/>
      <c r="D33" s="62">
        <f t="shared" ca="1" si="10"/>
        <v>1</v>
      </c>
      <c r="E33" s="62"/>
      <c r="F33" s="62">
        <f t="shared" ca="1" si="12"/>
        <v>1</v>
      </c>
      <c r="G33" s="62">
        <f t="shared" ca="1" si="13"/>
        <v>1</v>
      </c>
      <c r="H33" s="59"/>
      <c r="I33" s="58" t="s">
        <v>48</v>
      </c>
      <c r="J33" s="62">
        <f ca="1">IF(J$3,INDIRECT(J$5&amp;$I33),"")</f>
        <v>1</v>
      </c>
      <c r="K33" s="62">
        <f ca="1">IF(K$3,INDIRECT(K$5&amp;$I33),"")</f>
        <v>1</v>
      </c>
      <c r="L33" s="62">
        <f ca="1">IF(L$3,INDIRECT(L$5&amp;$I33),"")</f>
        <v>1</v>
      </c>
      <c r="M33" s="62" t="str">
        <f ca="1">IF(M$3,INDIRECT(M$5&amp;$I33),"")</f>
        <v/>
      </c>
      <c r="N33" s="62">
        <f ca="1">IF(N$3,INDIRECT(N$5&amp;$I33),"")</f>
        <v>1</v>
      </c>
      <c r="O33" s="62">
        <f ca="1">IF(O$3,INDIRECT(O$5&amp;$I33),"")</f>
        <v>1</v>
      </c>
      <c r="P33" s="62">
        <f ca="1">IF(P$3,INDIRECT(P$5&amp;$I33),"")</f>
        <v>1</v>
      </c>
      <c r="Q33" s="62">
        <f ca="1">IF(Q$3,INDIRECT(Q$5&amp;$I33),"")</f>
        <v>1</v>
      </c>
      <c r="R33" s="62">
        <f ca="1">IF(R$3,INDIRECT(R$5&amp;$I33),"")</f>
        <v>1</v>
      </c>
      <c r="S33" s="62">
        <f ca="1">IF(S$3,INDIRECT(S$5&amp;$I33),"")</f>
        <v>1</v>
      </c>
      <c r="T33" s="62">
        <f ca="1">IF(T$3,INDIRECT(T$5&amp;$I33),"")</f>
        <v>1</v>
      </c>
      <c r="U33" s="62">
        <f ca="1">IF(U$3,INDIRECT(U$5&amp;$I33),"")</f>
        <v>1</v>
      </c>
      <c r="V33" s="62">
        <f ca="1">IF(V$3,INDIRECT(V$5&amp;$I33),"")</f>
        <v>1</v>
      </c>
      <c r="W33" s="62">
        <f ca="1">IF(W$3,INDIRECT(W$5&amp;$I33),"")</f>
        <v>1</v>
      </c>
      <c r="X33" s="62">
        <f ca="1">IF(X$3,INDIRECT(X$5&amp;$I33),"")</f>
        <v>1</v>
      </c>
      <c r="Y33" s="62">
        <f ca="1">IF(Y$3,INDIRECT(Y$5&amp;$I33),"")</f>
        <v>1</v>
      </c>
      <c r="Z33" s="62" t="str">
        <f ca="1">IF(Z$3,INDIRECT(Z$5&amp;$I33),"")</f>
        <v/>
      </c>
      <c r="AA33" s="62">
        <f ca="1">IF(AA$3,INDIRECT(AA$5&amp;$I33),"")</f>
        <v>1</v>
      </c>
      <c r="AB33" s="62" t="str">
        <f ca="1">IF(AB$3,INDIRECT(AB$5&amp;$I33),"")</f>
        <v/>
      </c>
      <c r="AC33" s="62">
        <f ca="1">IF(AC$3,INDIRECT(AC$5&amp;$I33),"")</f>
        <v>1</v>
      </c>
      <c r="AD33" s="62" t="str">
        <f ca="1">IF(AD$3,INDIRECT(AD$5&amp;$I33),"")</f>
        <v/>
      </c>
      <c r="AE33" s="62">
        <f ca="1">IF(AE$3,INDIRECT(AE$5&amp;$I33),"")</f>
        <v>1</v>
      </c>
      <c r="AF33" s="62">
        <f ca="1">IF(AF$3,INDIRECT(AF$5&amp;$I33),"")</f>
        <v>1</v>
      </c>
      <c r="AG33" s="62" t="str">
        <f ca="1">IF(AG$3,INDIRECT(AG$5&amp;$I33),"")</f>
        <v/>
      </c>
      <c r="AH33" s="62">
        <f ca="1">IF(AH$3,INDIRECT(AH$5&amp;$I33),"")</f>
        <v>1</v>
      </c>
      <c r="AI33" s="62">
        <f ca="1">IF(AI$3,INDIRECT(AI$5&amp;$I33),"")</f>
        <v>1</v>
      </c>
      <c r="AJ33" s="62">
        <f ca="1">IF(AJ$3,INDIRECT(AJ$5&amp;$I33),"")</f>
        <v>1</v>
      </c>
      <c r="AK33" s="62">
        <f ca="1">IF(AK$3,INDIRECT(AK$5&amp;$I33),"")</f>
        <v>1</v>
      </c>
      <c r="AL33" s="62">
        <f ca="1">IF(AL$3,INDIRECT(AL$5&amp;$I33),"")</f>
        <v>1</v>
      </c>
      <c r="AM33" s="62">
        <f ca="1">IF(AM$3,INDIRECT(AM$5&amp;$I33),"")</f>
        <v>1</v>
      </c>
      <c r="AN33" s="62">
        <f ca="1">IF(AN$3,INDIRECT(AN$5&amp;$I33),"")</f>
        <v>1</v>
      </c>
      <c r="AO33" s="62">
        <f ca="1">IF(AO$3,INDIRECT(AO$5&amp;$I33),"")</f>
        <v>1</v>
      </c>
      <c r="AP33" s="62">
        <f ca="1">IF(AP$3,INDIRECT(AP$5&amp;$I33),"")</f>
        <v>1</v>
      </c>
      <c r="AQ33" s="62">
        <f ca="1">IF(AQ$3,INDIRECT(AQ$5&amp;$I33),"")</f>
        <v>1</v>
      </c>
      <c r="AR33" s="62">
        <f ca="1">IF(AR$3,INDIRECT(AR$5&amp;$I33),"")</f>
        <v>1</v>
      </c>
      <c r="AS33" s="62">
        <f ca="1">IF(AS$3,INDIRECT(AS$5&amp;$I33),"")</f>
        <v>1</v>
      </c>
      <c r="AT33" s="62">
        <f ca="1">IF(AT$3,INDIRECT(AT$5&amp;$I33),"")</f>
        <v>1</v>
      </c>
      <c r="AU33" s="62">
        <f ca="1">IF(AU$3,INDIRECT(AU$5&amp;$I33),"")</f>
        <v>1</v>
      </c>
      <c r="AV33" s="62">
        <f ca="1">IF(AV$3,INDIRECT(AV$5&amp;$I33),"")</f>
        <v>1</v>
      </c>
      <c r="AW33" s="62">
        <f ca="1">IF(AW$3,INDIRECT(AW$5&amp;$I33),"")</f>
        <v>1</v>
      </c>
    </row>
    <row r="34" spans="1:49">
      <c r="A34" s="78"/>
      <c r="B34" s="58" t="str">
        <f t="shared" si="14"/>
        <v>B</v>
      </c>
      <c r="C34" s="79"/>
      <c r="D34" s="62">
        <f t="shared" ca="1" si="10"/>
        <v>-6.6929017380808128E-2</v>
      </c>
      <c r="E34" s="62">
        <f t="shared" ca="1" si="11"/>
        <v>0.11264183901088129</v>
      </c>
      <c r="F34" s="62">
        <f t="shared" ca="1" si="12"/>
        <v>-0.23051176609775037</v>
      </c>
      <c r="G34" s="62">
        <f t="shared" ca="1" si="13"/>
        <v>0.2546127081530688</v>
      </c>
      <c r="H34" s="59">
        <f t="shared" ca="1" si="9"/>
        <v>4.30678758896999</v>
      </c>
      <c r="I34" s="58" t="s">
        <v>49</v>
      </c>
      <c r="J34" s="62">
        <f ca="1">IF(J$3,INDIRECT(J$5&amp;$I34),"")</f>
        <v>-1.6103987425907473E-2</v>
      </c>
      <c r="K34" s="62">
        <f ca="1">IF(K$3,INDIRECT(K$5&amp;$I34),"")</f>
        <v>-0.14116532897622336</v>
      </c>
      <c r="L34" s="62">
        <f ca="1">IF(L$3,INDIRECT(L$5&amp;$I34),"")</f>
        <v>3.4517742879310587E-2</v>
      </c>
      <c r="M34" s="62" t="str">
        <f ca="1">IF(M$3,INDIRECT(M$5&amp;$I34),"")</f>
        <v/>
      </c>
      <c r="N34" s="62">
        <f ca="1">IF(N$3,INDIRECT(N$5&amp;$I34),"")</f>
        <v>-0.15965536125727314</v>
      </c>
      <c r="O34" s="62">
        <f ca="1">IF(O$3,INDIRECT(O$5&amp;$I34),"")</f>
        <v>-0.17340273468761069</v>
      </c>
      <c r="P34" s="62">
        <f ca="1">IF(P$3,INDIRECT(P$5&amp;$I34),"")</f>
        <v>-0.17039235119963964</v>
      </c>
      <c r="Q34" s="62">
        <f ca="1">IF(Q$3,INDIRECT(Q$5&amp;$I34),"")</f>
        <v>-0.12569485371283609</v>
      </c>
      <c r="R34" s="62">
        <f ca="1">IF(R$3,INDIRECT(R$5&amp;$I34),"")</f>
        <v>-0.19003310026789247</v>
      </c>
      <c r="S34" s="62">
        <f ca="1">IF(S$3,INDIRECT(S$5&amp;$I34),"")</f>
        <v>-1.7645353725455233E-2</v>
      </c>
      <c r="T34" s="62">
        <f ca="1">IF(T$3,INDIRECT(T$5&amp;$I34),"")</f>
        <v>1.5423084163978303E-2</v>
      </c>
      <c r="U34" s="62">
        <f ca="1">IF(U$3,INDIRECT(U$5&amp;$I34),"")</f>
        <v>6.8932631255803835E-4</v>
      </c>
      <c r="V34" s="62">
        <f ca="1">IF(V$3,INDIRECT(V$5&amp;$I34),"")</f>
        <v>2.8763171587297881E-2</v>
      </c>
      <c r="W34" s="62">
        <f ca="1">IF(W$3,INDIRECT(W$5&amp;$I34),"")</f>
        <v>-6.2545953502772783E-2</v>
      </c>
      <c r="X34" s="62">
        <f ca="1">IF(X$3,INDIRECT(X$5&amp;$I34),"")</f>
        <v>7.5379277777343018E-2</v>
      </c>
      <c r="Y34" s="62">
        <f ca="1">IF(Y$3,INDIRECT(Y$5&amp;$I34),"")</f>
        <v>-0.23051176609775037</v>
      </c>
      <c r="Z34" s="62" t="str">
        <f ca="1">IF(Z$3,INDIRECT(Z$5&amp;$I34),"")</f>
        <v/>
      </c>
      <c r="AA34" s="62">
        <f ca="1">IF(AA$3,INDIRECT(AA$5&amp;$I34),"")</f>
        <v>-0.20809939664048613</v>
      </c>
      <c r="AB34" s="62" t="str">
        <f ca="1">IF(AB$3,INDIRECT(AB$5&amp;$I34),"")</f>
        <v/>
      </c>
      <c r="AC34" s="62">
        <f ca="1">IF(AC$3,INDIRECT(AC$5&amp;$I34),"")</f>
        <v>0.12387436041574038</v>
      </c>
      <c r="AD34" s="62" t="str">
        <f ca="1">IF(AD$3,INDIRECT(AD$5&amp;$I34),"")</f>
        <v/>
      </c>
      <c r="AE34" s="62">
        <f ca="1">IF(AE$3,INDIRECT(AE$5&amp;$I34),"")</f>
        <v>-0.15841961899807722</v>
      </c>
      <c r="AF34" s="62">
        <f ca="1">IF(AF$3,INDIRECT(AF$5&amp;$I34),"")</f>
        <v>-8.7343361288530749E-2</v>
      </c>
      <c r="AG34" s="62" t="str">
        <f ca="1">IF(AG$3,INDIRECT(AG$5&amp;$I34),"")</f>
        <v/>
      </c>
      <c r="AH34" s="62">
        <f ca="1">IF(AH$3,INDIRECT(AH$5&amp;$I34),"")</f>
        <v>-3.2359259692638802E-2</v>
      </c>
      <c r="AI34" s="62">
        <f ca="1">IF(AI$3,INDIRECT(AI$5&amp;$I34),"")</f>
        <v>-0.13392048628738235</v>
      </c>
      <c r="AJ34" s="62">
        <f ca="1">IF(AJ$3,INDIRECT(AJ$5&amp;$I34),"")</f>
        <v>-0.11201652181060147</v>
      </c>
      <c r="AK34" s="62">
        <f ca="1">IF(AK$3,INDIRECT(AK$5&amp;$I34),"")</f>
        <v>-0.20265896036220185</v>
      </c>
      <c r="AL34" s="62">
        <f ca="1">IF(AL$3,INDIRECT(AL$5&amp;$I34),"")</f>
        <v>-0.11128108719948196</v>
      </c>
      <c r="AM34" s="62">
        <f ca="1">IF(AM$3,INDIRECT(AM$5&amp;$I34),"")</f>
        <v>-4.0468936678688339E-2</v>
      </c>
      <c r="AN34" s="62">
        <f ca="1">IF(AN$3,INDIRECT(AN$5&amp;$I34),"")</f>
        <v>-0.13869188946912114</v>
      </c>
      <c r="AO34" s="62">
        <f ca="1">IF(AO$3,INDIRECT(AO$5&amp;$I34),"")</f>
        <v>-0.12631775374208279</v>
      </c>
      <c r="AP34" s="62">
        <f ca="1">IF(AP$3,INDIRECT(AP$5&amp;$I34),"")</f>
        <v>-3.9803466670888001E-2</v>
      </c>
      <c r="AQ34" s="62">
        <f ca="1">IF(AQ$3,INDIRECT(AQ$5&amp;$I34),"")</f>
        <v>-7.5065432232071155E-2</v>
      </c>
      <c r="AR34" s="62">
        <f ca="1">IF(AR$3,INDIRECT(AR$5&amp;$I34),"")</f>
        <v>-4.1351274521700482E-2</v>
      </c>
      <c r="AS34" s="62">
        <f ca="1">IF(AS$3,INDIRECT(AS$5&amp;$I34),"")</f>
        <v>0.11792337416981549</v>
      </c>
      <c r="AT34" s="62">
        <f ca="1">IF(AT$3,INDIRECT(AT$5&amp;$I34),"")</f>
        <v>-0.18864803371137964</v>
      </c>
      <c r="AU34" s="62">
        <f ca="1">IF(AU$3,INDIRECT(AU$5&amp;$I34),"")</f>
        <v>0.11681157886916482</v>
      </c>
      <c r="AV34" s="62">
        <f ca="1">IF(AV$3,INDIRECT(AV$5&amp;$I34),"")</f>
        <v>-0.12691396249786793</v>
      </c>
      <c r="AW34" s="62">
        <f ca="1">IF(AW$3,INDIRECT(AW$5&amp;$I34),"")</f>
        <v>0.2546127081530688</v>
      </c>
    </row>
    <row r="35" spans="1:49">
      <c r="A35" s="78"/>
      <c r="B35" s="58" t="str">
        <f>B32</f>
        <v>R</v>
      </c>
      <c r="C35" s="79" t="s">
        <v>5</v>
      </c>
      <c r="D35" s="62">
        <f t="shared" ca="1" si="10"/>
        <v>-0.49499042426915058</v>
      </c>
      <c r="E35" s="62">
        <f t="shared" ca="1" si="11"/>
        <v>6.0732720313187813E-2</v>
      </c>
      <c r="F35" s="62">
        <f t="shared" ca="1" si="12"/>
        <v>-0.64133717911903698</v>
      </c>
      <c r="G35" s="62">
        <f t="shared" ca="1" si="13"/>
        <v>-0.38093203810396248</v>
      </c>
      <c r="H35" s="59">
        <f t="shared" ca="1" si="9"/>
        <v>4.2877239760085111</v>
      </c>
      <c r="I35" s="58" t="s">
        <v>50</v>
      </c>
      <c r="J35" s="62">
        <f ca="1">IF(J$3,INDIRECT(J$5&amp;$I35),"")</f>
        <v>-0.56261010373452647</v>
      </c>
      <c r="K35" s="62">
        <f ca="1">IF(K$3,INDIRECT(K$5&amp;$I35),"")</f>
        <v>-0.4136548918825218</v>
      </c>
      <c r="L35" s="62">
        <f ca="1">IF(L$3,INDIRECT(L$5&amp;$I35),"")</f>
        <v>-0.52958955166293253</v>
      </c>
      <c r="M35" s="62" t="str">
        <f ca="1">IF(M$3,INDIRECT(M$5&amp;$I35),"")</f>
        <v/>
      </c>
      <c r="N35" s="62">
        <f ca="1">IF(N$3,INDIRECT(N$5&amp;$I35),"")</f>
        <v>-0.53936342789530067</v>
      </c>
      <c r="O35" s="62">
        <f ca="1">IF(O$3,INDIRECT(O$5&amp;$I35),"")</f>
        <v>-0.47965661803698512</v>
      </c>
      <c r="P35" s="62">
        <f ca="1">IF(P$3,INDIRECT(P$5&amp;$I35),"")</f>
        <v>-0.38093203810396248</v>
      </c>
      <c r="Q35" s="62">
        <f ca="1">IF(Q$3,INDIRECT(Q$5&amp;$I35),"")</f>
        <v>-0.44044009301872877</v>
      </c>
      <c r="R35" s="62">
        <f ca="1">IF(R$3,INDIRECT(R$5&amp;$I35),"")</f>
        <v>-0.46391690073437913</v>
      </c>
      <c r="S35" s="62">
        <f ca="1">IF(S$3,INDIRECT(S$5&amp;$I35),"")</f>
        <v>-0.48394406638728749</v>
      </c>
      <c r="T35" s="62">
        <f ca="1">IF(T$3,INDIRECT(T$5&amp;$I35),"")</f>
        <v>-0.53229945180295291</v>
      </c>
      <c r="U35" s="62">
        <f ca="1">IF(U$3,INDIRECT(U$5&amp;$I35),"")</f>
        <v>-0.4356170760989736</v>
      </c>
      <c r="V35" s="62">
        <f ca="1">IF(V$3,INDIRECT(V$5&amp;$I35),"")</f>
        <v>-0.51419493021460527</v>
      </c>
      <c r="W35" s="62">
        <f ca="1">IF(W$3,INDIRECT(W$5&amp;$I35),"")</f>
        <v>-0.5214077421159713</v>
      </c>
      <c r="X35" s="62">
        <f ca="1">IF(X$3,INDIRECT(X$5&amp;$I35),"")</f>
        <v>-0.4856658209869143</v>
      </c>
      <c r="Y35" s="62">
        <f ca="1">IF(Y$3,INDIRECT(Y$5&amp;$I35),"")</f>
        <v>-0.41899680096027708</v>
      </c>
      <c r="Z35" s="62" t="str">
        <f ca="1">IF(Z$3,INDIRECT(Z$5&amp;$I35),"")</f>
        <v/>
      </c>
      <c r="AA35" s="62">
        <f ca="1">IF(AA$3,INDIRECT(AA$5&amp;$I35),"")</f>
        <v>-0.4181430065631932</v>
      </c>
      <c r="AB35" s="62" t="str">
        <f ca="1">IF(AB$3,INDIRECT(AB$5&amp;$I35),"")</f>
        <v/>
      </c>
      <c r="AC35" s="62">
        <f ca="1">IF(AC$3,INDIRECT(AC$5&amp;$I35),"")</f>
        <v>-0.54365252463719282</v>
      </c>
      <c r="AD35" s="62" t="str">
        <f ca="1">IF(AD$3,INDIRECT(AD$5&amp;$I35),"")</f>
        <v/>
      </c>
      <c r="AE35" s="62">
        <f ca="1">IF(AE$3,INDIRECT(AE$5&amp;$I35),"")</f>
        <v>-0.50352285434638888</v>
      </c>
      <c r="AF35" s="62">
        <f ca="1">IF(AF$3,INDIRECT(AF$5&amp;$I35),"")</f>
        <v>-0.43361262939489958</v>
      </c>
      <c r="AG35" s="62" t="str">
        <f ca="1">IF(AG$3,INDIRECT(AG$5&amp;$I35),"")</f>
        <v/>
      </c>
      <c r="AH35" s="62">
        <f ca="1">IF(AH$3,INDIRECT(AH$5&amp;$I35),"")</f>
        <v>-0.5547329170796802</v>
      </c>
      <c r="AI35" s="62">
        <f ca="1">IF(AI$3,INDIRECT(AI$5&amp;$I35),"")</f>
        <v>-0.42342903584996905</v>
      </c>
      <c r="AJ35" s="62">
        <f ca="1">IF(AJ$3,INDIRECT(AJ$5&amp;$I35),"")</f>
        <v>-0.47901146703992992</v>
      </c>
      <c r="AK35" s="62">
        <f ca="1">IF(AK$3,INDIRECT(AK$5&amp;$I35),"")</f>
        <v>-0.45390262308489604</v>
      </c>
      <c r="AL35" s="62">
        <f ca="1">IF(AL$3,INDIRECT(AL$5&amp;$I35),"")</f>
        <v>-0.45258473987276648</v>
      </c>
      <c r="AM35" s="62">
        <f ca="1">IF(AM$3,INDIRECT(AM$5&amp;$I35),"")</f>
        <v>-0.52837168717061866</v>
      </c>
      <c r="AN35" s="62">
        <f ca="1">IF(AN$3,INDIRECT(AN$5&amp;$I35),"")</f>
        <v>-0.53281297606585376</v>
      </c>
      <c r="AO35" s="62">
        <f ca="1">IF(AO$3,INDIRECT(AO$5&amp;$I35),"")</f>
        <v>-0.46702133917856758</v>
      </c>
      <c r="AP35" s="62">
        <f ca="1">IF(AP$3,INDIRECT(AP$5&amp;$I35),"")</f>
        <v>-0.51674613232278443</v>
      </c>
      <c r="AQ35" s="62">
        <f ca="1">IF(AQ$3,INDIRECT(AQ$5&amp;$I35),"")</f>
        <v>-0.52274332735564932</v>
      </c>
      <c r="AR35" s="62">
        <f ca="1">IF(AR$3,INDIRECT(AR$5&amp;$I35),"")</f>
        <v>-0.50384296327241529</v>
      </c>
      <c r="AS35" s="62">
        <f ca="1">IF(AS$3,INDIRECT(AS$5&amp;$I35),"")</f>
        <v>-0.58427735846388951</v>
      </c>
      <c r="AT35" s="62">
        <f ca="1">IF(AT$3,INDIRECT(AT$5&amp;$I35),"")</f>
        <v>-0.41431687294600444</v>
      </c>
      <c r="AU35" s="62">
        <f ca="1">IF(AU$3,INDIRECT(AU$5&amp;$I35),"")</f>
        <v>-0.64133717911903698</v>
      </c>
      <c r="AV35" s="62">
        <f ca="1">IF(AV$3,INDIRECT(AV$5&amp;$I35),"")</f>
        <v>-0.5279332082011271</v>
      </c>
      <c r="AW35" s="62">
        <f ca="1">IF(AW$3,INDIRECT(AW$5&amp;$I35),"")</f>
        <v>-0.62038049381908744</v>
      </c>
    </row>
    <row r="36" spans="1:49">
      <c r="A36" s="78"/>
      <c r="B36" s="58" t="str">
        <f t="shared" si="14"/>
        <v>G</v>
      </c>
      <c r="C36" s="79"/>
      <c r="D36" s="62">
        <f t="shared" ca="1" si="10"/>
        <v>0.34240871654755228</v>
      </c>
      <c r="E36" s="62">
        <f t="shared" ca="1" si="11"/>
        <v>5.0336643729818956E-2</v>
      </c>
      <c r="F36" s="62">
        <f t="shared" ca="1" si="12"/>
        <v>0.24503585134064085</v>
      </c>
      <c r="G36" s="62">
        <f t="shared" ca="1" si="13"/>
        <v>0.453996217896179</v>
      </c>
      <c r="H36" s="59">
        <f t="shared" ca="1" si="9"/>
        <v>4.1512574353810558</v>
      </c>
      <c r="I36" s="58" t="s">
        <v>51</v>
      </c>
      <c r="J36" s="62">
        <f ca="1">IF(J$3,INDIRECT(J$5&amp;$I36),"")</f>
        <v>0.42426884197183579</v>
      </c>
      <c r="K36" s="62">
        <f ca="1">IF(K$3,INDIRECT(K$5&amp;$I36),"")</f>
        <v>0.31488862743801271</v>
      </c>
      <c r="L36" s="62">
        <f ca="1">IF(L$3,INDIRECT(L$5&amp;$I36),"")</f>
        <v>0.40590643457892306</v>
      </c>
      <c r="M36" s="62" t="str">
        <f ca="1">IF(M$3,INDIRECT(M$5&amp;$I36),"")</f>
        <v/>
      </c>
      <c r="N36" s="62">
        <f ca="1">IF(N$3,INDIRECT(N$5&amp;$I36),"")</f>
        <v>0.30619786773956043</v>
      </c>
      <c r="O36" s="62">
        <f ca="1">IF(O$3,INDIRECT(O$5&amp;$I36),"")</f>
        <v>0.40355706911823702</v>
      </c>
      <c r="P36" s="62">
        <f ca="1">IF(P$3,INDIRECT(P$5&amp;$I36),"")</f>
        <v>0.26189753094633855</v>
      </c>
      <c r="Q36" s="62">
        <f ca="1">IF(Q$3,INDIRECT(Q$5&amp;$I36),"")</f>
        <v>0.32480539680276937</v>
      </c>
      <c r="R36" s="62">
        <f ca="1">IF(R$3,INDIRECT(R$5&amp;$I36),"")</f>
        <v>0.34618969874369349</v>
      </c>
      <c r="S36" s="62">
        <f ca="1">IF(S$3,INDIRECT(S$5&amp;$I36),"")</f>
        <v>0.34065726912789385</v>
      </c>
      <c r="T36" s="62">
        <f ca="1">IF(T$3,INDIRECT(T$5&amp;$I36),"")</f>
        <v>0.35475853704792076</v>
      </c>
      <c r="U36" s="62">
        <f ca="1">IF(U$3,INDIRECT(U$5&amp;$I36),"")</f>
        <v>0.31909856755442434</v>
      </c>
      <c r="V36" s="62">
        <f ca="1">IF(V$3,INDIRECT(V$5&amp;$I36),"")</f>
        <v>0.33733473302151346</v>
      </c>
      <c r="W36" s="62">
        <f ca="1">IF(W$3,INDIRECT(W$5&amp;$I36),"")</f>
        <v>0.38138675936271638</v>
      </c>
      <c r="X36" s="62">
        <f ca="1">IF(X$3,INDIRECT(X$5&amp;$I36),"")</f>
        <v>0.28696042541083533</v>
      </c>
      <c r="Y36" s="62">
        <f ca="1">IF(Y$3,INDIRECT(Y$5&amp;$I36),"")</f>
        <v>0.3294861137868571</v>
      </c>
      <c r="Z36" s="62" t="str">
        <f ca="1">IF(Z$3,INDIRECT(Z$5&amp;$I36),"")</f>
        <v/>
      </c>
      <c r="AA36" s="62">
        <f ca="1">IF(AA$3,INDIRECT(AA$5&amp;$I36),"")</f>
        <v>0.34982654830159221</v>
      </c>
      <c r="AB36" s="62" t="str">
        <f ca="1">IF(AB$3,INDIRECT(AB$5&amp;$I36),"")</f>
        <v/>
      </c>
      <c r="AC36" s="62">
        <f ca="1">IF(AC$3,INDIRECT(AC$5&amp;$I36),"")</f>
        <v>0.43089108287225386</v>
      </c>
      <c r="AD36" s="62" t="str">
        <f ca="1">IF(AD$3,INDIRECT(AD$5&amp;$I36),"")</f>
        <v/>
      </c>
      <c r="AE36" s="62">
        <f ca="1">IF(AE$3,INDIRECT(AE$5&amp;$I36),"")</f>
        <v>0.36918403868301769</v>
      </c>
      <c r="AF36" s="62">
        <f ca="1">IF(AF$3,INDIRECT(AF$5&amp;$I36),"")</f>
        <v>0.42906255398013571</v>
      </c>
      <c r="AG36" s="62" t="str">
        <f ca="1">IF(AG$3,INDIRECT(AG$5&amp;$I36),"")</f>
        <v/>
      </c>
      <c r="AH36" s="62">
        <f ca="1">IF(AH$3,INDIRECT(AH$5&amp;$I36),"")</f>
        <v>0.35001313549892732</v>
      </c>
      <c r="AI36" s="62">
        <f ca="1">IF(AI$3,INDIRECT(AI$5&amp;$I36),"")</f>
        <v>0.35736497989858002</v>
      </c>
      <c r="AJ36" s="62">
        <f ca="1">IF(AJ$3,INDIRECT(AJ$5&amp;$I36),"")</f>
        <v>0.35941217558961619</v>
      </c>
      <c r="AK36" s="62">
        <f ca="1">IF(AK$3,INDIRECT(AK$5&amp;$I36),"")</f>
        <v>0.33223825328083156</v>
      </c>
      <c r="AL36" s="62">
        <f ca="1">IF(AL$3,INDIRECT(AL$5&amp;$I36),"")</f>
        <v>0.31491520703924419</v>
      </c>
      <c r="AM36" s="62">
        <f ca="1">IF(AM$3,INDIRECT(AM$5&amp;$I36),"")</f>
        <v>0.27755019974358447</v>
      </c>
      <c r="AN36" s="62">
        <f ca="1">IF(AN$3,INDIRECT(AN$5&amp;$I36),"")</f>
        <v>0.39540995156055114</v>
      </c>
      <c r="AO36" s="62">
        <f ca="1">IF(AO$3,INDIRECT(AO$5&amp;$I36),"")</f>
        <v>0.34167289155104397</v>
      </c>
      <c r="AP36" s="62">
        <f ca="1">IF(AP$3,INDIRECT(AP$5&amp;$I36),"")</f>
        <v>0.34655316749671417</v>
      </c>
      <c r="AQ36" s="62">
        <f ca="1">IF(AQ$3,INDIRECT(AQ$5&amp;$I36),"")</f>
        <v>0.27423013586909573</v>
      </c>
      <c r="AR36" s="62">
        <f ca="1">IF(AR$3,INDIRECT(AR$5&amp;$I36),"")</f>
        <v>0.29138477571706156</v>
      </c>
      <c r="AS36" s="62">
        <f ca="1">IF(AS$3,INDIRECT(AS$5&amp;$I36),"")</f>
        <v>0.30967184420396526</v>
      </c>
      <c r="AT36" s="62">
        <f ca="1">IF(AT$3,INDIRECT(AT$5&amp;$I36),"")</f>
        <v>0.29727503241517295</v>
      </c>
      <c r="AU36" s="62">
        <f ca="1">IF(AU$3,INDIRECT(AU$5&amp;$I36),"")</f>
        <v>0.32122316357459257</v>
      </c>
      <c r="AV36" s="62">
        <f ca="1">IF(AV$3,INDIRECT(AV$5&amp;$I36),"")</f>
        <v>0.453996217896179</v>
      </c>
      <c r="AW36" s="62">
        <f ca="1">IF(AW$3,INDIRECT(AW$5&amp;$I36),"")</f>
        <v>0.24503585134064085</v>
      </c>
    </row>
    <row r="37" spans="1:49">
      <c r="A37" s="78"/>
      <c r="B37" s="58" t="str">
        <f t="shared" si="14"/>
        <v>B</v>
      </c>
      <c r="C37" s="79"/>
      <c r="D37" s="62">
        <f t="shared" ca="1" si="10"/>
        <v>1.1035797545888582</v>
      </c>
      <c r="E37" s="62">
        <f t="shared" ca="1" si="11"/>
        <v>0.17151194135473655</v>
      </c>
      <c r="F37" s="62">
        <f t="shared" ca="1" si="12"/>
        <v>0.82889382306579706</v>
      </c>
      <c r="G37" s="62">
        <f t="shared" ca="1" si="13"/>
        <v>1.5115079904066659</v>
      </c>
      <c r="H37" s="59">
        <f t="shared" ca="1" si="9"/>
        <v>3.9799804138944728</v>
      </c>
      <c r="I37" s="58" t="s">
        <v>52</v>
      </c>
      <c r="J37" s="62">
        <f ca="1">IF(J$3,INDIRECT(J$5&amp;$I37),"")</f>
        <v>1.0434142984881578</v>
      </c>
      <c r="K37" s="62">
        <f ca="1">IF(K$3,INDIRECT(K$5&amp;$I37),"")</f>
        <v>0.94047540159681531</v>
      </c>
      <c r="L37" s="62">
        <f ca="1">IF(L$3,INDIRECT(L$5&amp;$I37),"")</f>
        <v>1.1803506296029334</v>
      </c>
      <c r="M37" s="62" t="str">
        <f ca="1">IF(M$3,INDIRECT(M$5&amp;$I37),"")</f>
        <v/>
      </c>
      <c r="N37" s="62">
        <f ca="1">IF(N$3,INDIRECT(N$5&amp;$I37),"")</f>
        <v>1.0345135119810638</v>
      </c>
      <c r="O37" s="62">
        <f ca="1">IF(O$3,INDIRECT(O$5&amp;$I37),"")</f>
        <v>0.90582262419843484</v>
      </c>
      <c r="P37" s="62">
        <f ca="1">IF(P$3,INDIRECT(P$5&amp;$I37),"")</f>
        <v>1.0207527595958292</v>
      </c>
      <c r="Q37" s="62">
        <f ca="1">IF(Q$3,INDIRECT(Q$5&amp;$I37),"")</f>
        <v>0.98750860091051185</v>
      </c>
      <c r="R37" s="62">
        <f ca="1">IF(R$3,INDIRECT(R$5&amp;$I37),"")</f>
        <v>0.95082764373925754</v>
      </c>
      <c r="S37" s="62">
        <f ca="1">IF(S$3,INDIRECT(S$5&amp;$I37),"")</f>
        <v>1.1767498948276076</v>
      </c>
      <c r="T37" s="62">
        <f ca="1">IF(T$3,INDIRECT(T$5&amp;$I37),"")</f>
        <v>1.2743730934253044</v>
      </c>
      <c r="U37" s="62">
        <f ca="1">IF(U$3,INDIRECT(U$5&amp;$I37),"")</f>
        <v>1.2078336977594468</v>
      </c>
      <c r="V37" s="62">
        <f ca="1">IF(V$3,INDIRECT(V$5&amp;$I37),"")</f>
        <v>1.2604270476455361</v>
      </c>
      <c r="W37" s="62">
        <f ca="1">IF(W$3,INDIRECT(W$5&amp;$I37),"")</f>
        <v>1.2477545401097785</v>
      </c>
      <c r="X37" s="62">
        <f ca="1">IF(X$3,INDIRECT(X$5&amp;$I37),"")</f>
        <v>1.3810222864373267</v>
      </c>
      <c r="Y37" s="62">
        <f ca="1">IF(Y$3,INDIRECT(Y$5&amp;$I37),"")</f>
        <v>0.92695880821105436</v>
      </c>
      <c r="Z37" s="62" t="str">
        <f ca="1">IF(Z$3,INDIRECT(Z$5&amp;$I37),"")</f>
        <v/>
      </c>
      <c r="AA37" s="62">
        <f ca="1">IF(AA$3,INDIRECT(AA$5&amp;$I37),"")</f>
        <v>0.82889382306579706</v>
      </c>
      <c r="AB37" s="62" t="str">
        <f ca="1">IF(AB$3,INDIRECT(AB$5&amp;$I37),"")</f>
        <v/>
      </c>
      <c r="AC37" s="62">
        <f ca="1">IF(AC$3,INDIRECT(AC$5&amp;$I37),"")</f>
        <v>1.1351253099202807</v>
      </c>
      <c r="AD37" s="62" t="str">
        <f ca="1">IF(AD$3,INDIRECT(AD$5&amp;$I37),"")</f>
        <v/>
      </c>
      <c r="AE37" s="62">
        <f ca="1">IF(AE$3,INDIRECT(AE$5&amp;$I37),"")</f>
        <v>1.0118424267413548</v>
      </c>
      <c r="AF37" s="62">
        <f ca="1">IF(AF$3,INDIRECT(AF$5&amp;$I37),"")</f>
        <v>0.89367358191266166</v>
      </c>
      <c r="AG37" s="62" t="str">
        <f ca="1">IF(AG$3,INDIRECT(AG$5&amp;$I37),"")</f>
        <v/>
      </c>
      <c r="AH37" s="62">
        <f ca="1">IF(AH$3,INDIRECT(AH$5&amp;$I37),"")</f>
        <v>1.1833096326386883</v>
      </c>
      <c r="AI37" s="62">
        <f ca="1">IF(AI$3,INDIRECT(AI$5&amp;$I37),"")</f>
        <v>0.9628556881130369</v>
      </c>
      <c r="AJ37" s="62">
        <f ca="1">IF(AJ$3,INDIRECT(AJ$5&amp;$I37),"")</f>
        <v>0.98684900238308881</v>
      </c>
      <c r="AK37" s="62">
        <f ca="1">IF(AK$3,INDIRECT(AK$5&amp;$I37),"")</f>
        <v>0.91126291427437933</v>
      </c>
      <c r="AL37" s="62">
        <f ca="1">IF(AL$3,INDIRECT(AL$5&amp;$I37),"")</f>
        <v>1.0300920091437586</v>
      </c>
      <c r="AM37" s="62">
        <f ca="1">IF(AM$3,INDIRECT(AM$5&amp;$I37),"")</f>
        <v>1.2647423662767774</v>
      </c>
      <c r="AN37" s="62">
        <f ca="1">IF(AN$3,INDIRECT(AN$5&amp;$I37),"")</f>
        <v>1.0342969307385323</v>
      </c>
      <c r="AO37" s="62">
        <f ca="1">IF(AO$3,INDIRECT(AO$5&amp;$I37),"")</f>
        <v>1.0330434574400917</v>
      </c>
      <c r="AP37" s="62">
        <f ca="1">IF(AP$3,INDIRECT(AP$5&amp;$I37),"")</f>
        <v>1.1844849630594445</v>
      </c>
      <c r="AQ37" s="62">
        <f ca="1">IF(AQ$3,INDIRECT(AQ$5&amp;$I37),"")</f>
        <v>1.2004411459226028</v>
      </c>
      <c r="AR37" s="62">
        <f ca="1">IF(AR$3,INDIRECT(AR$5&amp;$I37),"")</f>
        <v>1.202691634802681</v>
      </c>
      <c r="AS37" s="62">
        <f ca="1">IF(AS$3,INDIRECT(AS$5&amp;$I37),"")</f>
        <v>1.4141780058854392</v>
      </c>
      <c r="AT37" s="62">
        <f ca="1">IF(AT$3,INDIRECT(AT$5&amp;$I37),"")</f>
        <v>0.95402020633806039</v>
      </c>
      <c r="AU37" s="62">
        <f ca="1">IF(AU$3,INDIRECT(AU$5&amp;$I37),"")</f>
        <v>1.4065992753123973</v>
      </c>
      <c r="AV37" s="62">
        <f ca="1">IF(AV$3,INDIRECT(AV$5&amp;$I37),"")</f>
        <v>0.93659620770525598</v>
      </c>
      <c r="AW37" s="62">
        <f ca="1">IF(AW$3,INDIRECT(AW$5&amp;$I37),"")</f>
        <v>1.5115079904066659</v>
      </c>
    </row>
    <row r="38" spans="1:49">
      <c r="A38" s="56"/>
      <c r="C38" s="55" t="s">
        <v>87</v>
      </c>
      <c r="D38" s="62">
        <f t="shared" ref="D38:D41" ca="1" si="15">AVERAGE(J38:AW38)</f>
        <v>16.15065975071683</v>
      </c>
      <c r="E38" s="62">
        <f t="shared" ref="E38:E41" ca="1" si="16">STDEV(J38:AW38)</f>
        <v>1.7558866477608639</v>
      </c>
      <c r="F38" s="62">
        <f t="shared" ref="F38:F41" ca="1" si="17">MIN(J38:AW38)</f>
        <v>12.923491520184612</v>
      </c>
      <c r="G38" s="62">
        <f t="shared" ref="G38:G41" ca="1" si="18">MAX(J38:AW38)</f>
        <v>19.182289884649517</v>
      </c>
      <c r="H38" s="59">
        <f t="shared" ref="H38:H41" ca="1" si="19">(G38-F38)/E38</f>
        <v>3.56446606188744</v>
      </c>
      <c r="I38" s="58" t="s">
        <v>91</v>
      </c>
      <c r="J38" s="62">
        <f ca="1">IF(J$3,INDIRECT(J$5&amp;$I38),"")</f>
        <v>19.182289884649517</v>
      </c>
      <c r="K38" s="62">
        <f ca="1">IF(K$3,INDIRECT(K$5&amp;$I38),"")</f>
        <v>17.117453113054793</v>
      </c>
      <c r="L38" s="62">
        <f ca="1">IF(L$3,INDIRECT(L$5&amp;$I38),"")</f>
        <v>15.08985746388821</v>
      </c>
      <c r="M38" s="62" t="str">
        <f ca="1">IF(M$3,INDIRECT(M$5&amp;$I38),"")</f>
        <v/>
      </c>
      <c r="N38" s="62">
        <f ca="1">IF(N$3,INDIRECT(N$5&amp;$I38),"")</f>
        <v>18.015982926097188</v>
      </c>
      <c r="O38" s="62">
        <f ca="1">IF(O$3,INDIRECT(O$5&amp;$I38),"")</f>
        <v>17.275708132491552</v>
      </c>
      <c r="P38" s="62">
        <f ca="1">IF(P$3,INDIRECT(P$5&amp;$I38),"")</f>
        <v>16.640018987795717</v>
      </c>
      <c r="Q38" s="62">
        <f ca="1">IF(Q$3,INDIRECT(Q$5&amp;$I38),"")</f>
        <v>18.451461664831232</v>
      </c>
      <c r="R38" s="62">
        <f ca="1">IF(R$3,INDIRECT(R$5&amp;$I38),"")</f>
        <v>17.787182502041951</v>
      </c>
      <c r="S38" s="62">
        <f ca="1">IF(S$3,INDIRECT(S$5&amp;$I38),"")</f>
        <v>15.423335566886276</v>
      </c>
      <c r="T38" s="62">
        <f ca="1">IF(T$3,INDIRECT(T$5&amp;$I38),"")</f>
        <v>13.615254285432169</v>
      </c>
      <c r="U38" s="62">
        <f ca="1">IF(U$3,INDIRECT(U$5&amp;$I38),"")</f>
        <v>14.71564928784762</v>
      </c>
      <c r="V38" s="62">
        <f ca="1">IF(V$3,INDIRECT(V$5&amp;$I38),"")</f>
        <v>14.089332747499013</v>
      </c>
      <c r="W38" s="62">
        <f ca="1">IF(W$3,INDIRECT(W$5&amp;$I38),"")</f>
        <v>13.952066990762034</v>
      </c>
      <c r="X38" s="62">
        <f ca="1">IF(X$3,INDIRECT(X$5&amp;$I38),"")</f>
        <v>14.685690643830183</v>
      </c>
      <c r="Y38" s="62">
        <f ca="1">IF(Y$3,INDIRECT(Y$5&amp;$I38),"")</f>
        <v>17.041400172560284</v>
      </c>
      <c r="Z38" s="62" t="str">
        <f ca="1">IF(Z$3,INDIRECT(Z$5&amp;$I38),"")</f>
        <v/>
      </c>
      <c r="AA38" s="62">
        <f ca="1">IF(AA$3,INDIRECT(AA$5&amp;$I38),"")</f>
        <v>18.179713424137027</v>
      </c>
      <c r="AB38" s="62" t="str">
        <f ca="1">IF(AB$3,INDIRECT(AB$5&amp;$I38),"")</f>
        <v/>
      </c>
      <c r="AC38" s="62">
        <f ca="1">IF(AC$3,INDIRECT(AC$5&amp;$I38),"")</f>
        <v>15.321421691176852</v>
      </c>
      <c r="AD38" s="62" t="str">
        <f ca="1">IF(AD$3,INDIRECT(AD$5&amp;$I38),"")</f>
        <v/>
      </c>
      <c r="AE38" s="62">
        <f ca="1">IF(AE$3,INDIRECT(AE$5&amp;$I38),"")</f>
        <v>16.233765022614246</v>
      </c>
      <c r="AF38" s="62">
        <f ca="1">IF(AF$3,INDIRECT(AF$5&amp;$I38),"")</f>
        <v>15.681619561421103</v>
      </c>
      <c r="AG38" s="62" t="str">
        <f ca="1">IF(AG$3,INDIRECT(AG$5&amp;$I38),"")</f>
        <v/>
      </c>
      <c r="AH38" s="62">
        <f ca="1">IF(AH$3,INDIRECT(AH$5&amp;$I38),"")</f>
        <v>16.277417238459623</v>
      </c>
      <c r="AI38" s="62">
        <f ca="1">IF(AI$3,INDIRECT(AI$5&amp;$I38),"")</f>
        <v>17.332576973772738</v>
      </c>
      <c r="AJ38" s="62">
        <f ca="1">IF(AJ$3,INDIRECT(AJ$5&amp;$I38),"")</f>
        <v>17.749935606430221</v>
      </c>
      <c r="AK38" s="62">
        <f ca="1">IF(AK$3,INDIRECT(AK$5&amp;$I38),"")</f>
        <v>18.689594888951039</v>
      </c>
      <c r="AL38" s="62">
        <f ca="1">IF(AL$3,INDIRECT(AL$5&amp;$I38),"")</f>
        <v>16.155922960122865</v>
      </c>
      <c r="AM38" s="62">
        <f ca="1">IF(AM$3,INDIRECT(AM$5&amp;$I38),"")</f>
        <v>14.839662675282719</v>
      </c>
      <c r="AN38" s="62">
        <f ca="1">IF(AN$3,INDIRECT(AN$5&amp;$I38),"")</f>
        <v>17.863640072829785</v>
      </c>
      <c r="AO38" s="62">
        <f ca="1">IF(AO$3,INDIRECT(AO$5&amp;$I38),"")</f>
        <v>16.120340421154619</v>
      </c>
      <c r="AP38" s="62">
        <f ca="1">IF(AP$3,INDIRECT(AP$5&amp;$I38),"")</f>
        <v>15.023638266346008</v>
      </c>
      <c r="AQ38" s="62">
        <f ca="1">IF(AQ$3,INDIRECT(AQ$5&amp;$I38),"")</f>
        <v>16.006968219149517</v>
      </c>
      <c r="AR38" s="62">
        <f ca="1">IF(AR$3,INDIRECT(AR$5&amp;$I38),"")</f>
        <v>14.942852992949449</v>
      </c>
      <c r="AS38" s="62">
        <f ca="1">IF(AS$3,INDIRECT(AS$5&amp;$I38),"")</f>
        <v>13.230164441376354</v>
      </c>
      <c r="AT38" s="62">
        <f ca="1">IF(AT$3,INDIRECT(AT$5&amp;$I38),"")</f>
        <v>18.649613714114313</v>
      </c>
      <c r="AU38" s="62">
        <f ca="1">IF(AU$3,INDIRECT(AU$5&amp;$I38),"")</f>
        <v>13.176339733092341</v>
      </c>
      <c r="AV38" s="62">
        <f ca="1">IF(AV$3,INDIRECT(AV$5&amp;$I38),"")</f>
        <v>17.791727481855823</v>
      </c>
      <c r="AW38" s="62">
        <f ca="1">IF(AW$3,INDIRECT(AW$5&amp;$I38),"")</f>
        <v>12.923491520184612</v>
      </c>
    </row>
    <row r="39" spans="1:49">
      <c r="A39" s="56"/>
      <c r="C39" s="55" t="s">
        <v>88</v>
      </c>
      <c r="D39" s="62">
        <f t="shared" ca="1" si="15"/>
        <v>1</v>
      </c>
      <c r="E39" s="62"/>
      <c r="F39" s="62">
        <f t="shared" ca="1" si="17"/>
        <v>1</v>
      </c>
      <c r="G39" s="62">
        <f t="shared" ca="1" si="18"/>
        <v>1</v>
      </c>
      <c r="H39" s="59"/>
      <c r="I39" s="58" t="s">
        <v>92</v>
      </c>
      <c r="J39" s="62">
        <f ca="1">IF(J$3,INDIRECT(J$5&amp;$I39),"")</f>
        <v>1</v>
      </c>
      <c r="K39" s="62">
        <f ca="1">IF(K$3,INDIRECT(K$5&amp;$I39),"")</f>
        <v>1</v>
      </c>
      <c r="L39" s="62">
        <f ca="1">IF(L$3,INDIRECT(L$5&amp;$I39),"")</f>
        <v>1</v>
      </c>
      <c r="M39" s="62" t="str">
        <f ca="1">IF(M$3,INDIRECT(M$5&amp;$I39),"")</f>
        <v/>
      </c>
      <c r="N39" s="62">
        <f ca="1">IF(N$3,INDIRECT(N$5&amp;$I39),"")</f>
        <v>1</v>
      </c>
      <c r="O39" s="62">
        <f ca="1">IF(O$3,INDIRECT(O$5&amp;$I39),"")</f>
        <v>1</v>
      </c>
      <c r="P39" s="62">
        <f ca="1">IF(P$3,INDIRECT(P$5&amp;$I39),"")</f>
        <v>1</v>
      </c>
      <c r="Q39" s="62">
        <f ca="1">IF(Q$3,INDIRECT(Q$5&amp;$I39),"")</f>
        <v>1</v>
      </c>
      <c r="R39" s="62">
        <f ca="1">IF(R$3,INDIRECT(R$5&amp;$I39),"")</f>
        <v>1</v>
      </c>
      <c r="S39" s="62">
        <f ca="1">IF(S$3,INDIRECT(S$5&amp;$I39),"")</f>
        <v>1</v>
      </c>
      <c r="T39" s="62">
        <f ca="1">IF(T$3,INDIRECT(T$5&amp;$I39),"")</f>
        <v>1</v>
      </c>
      <c r="U39" s="62">
        <f ca="1">IF(U$3,INDIRECT(U$5&amp;$I39),"")</f>
        <v>1</v>
      </c>
      <c r="V39" s="62">
        <f ca="1">IF(V$3,INDIRECT(V$5&amp;$I39),"")</f>
        <v>1</v>
      </c>
      <c r="W39" s="62">
        <f ca="1">IF(W$3,INDIRECT(W$5&amp;$I39),"")</f>
        <v>1</v>
      </c>
      <c r="X39" s="62">
        <f ca="1">IF(X$3,INDIRECT(X$5&amp;$I39),"")</f>
        <v>1</v>
      </c>
      <c r="Y39" s="62">
        <f ca="1">IF(Y$3,INDIRECT(Y$5&amp;$I39),"")</f>
        <v>1</v>
      </c>
      <c r="Z39" s="62" t="str">
        <f ca="1">IF(Z$3,INDIRECT(Z$5&amp;$I39),"")</f>
        <v/>
      </c>
      <c r="AA39" s="62">
        <f ca="1">IF(AA$3,INDIRECT(AA$5&amp;$I39),"")</f>
        <v>1</v>
      </c>
      <c r="AB39" s="62" t="str">
        <f ca="1">IF(AB$3,INDIRECT(AB$5&amp;$I39),"")</f>
        <v/>
      </c>
      <c r="AC39" s="62">
        <f ca="1">IF(AC$3,INDIRECT(AC$5&amp;$I39),"")</f>
        <v>1</v>
      </c>
      <c r="AD39" s="62" t="str">
        <f ca="1">IF(AD$3,INDIRECT(AD$5&amp;$I39),"")</f>
        <v/>
      </c>
      <c r="AE39" s="62">
        <f ca="1">IF(AE$3,INDIRECT(AE$5&amp;$I39),"")</f>
        <v>1</v>
      </c>
      <c r="AF39" s="62">
        <f ca="1">IF(AF$3,INDIRECT(AF$5&amp;$I39),"")</f>
        <v>1</v>
      </c>
      <c r="AG39" s="62" t="str">
        <f ca="1">IF(AG$3,INDIRECT(AG$5&amp;$I39),"")</f>
        <v/>
      </c>
      <c r="AH39" s="62">
        <f ca="1">IF(AH$3,INDIRECT(AH$5&amp;$I39),"")</f>
        <v>1</v>
      </c>
      <c r="AI39" s="62">
        <f ca="1">IF(AI$3,INDIRECT(AI$5&amp;$I39),"")</f>
        <v>1</v>
      </c>
      <c r="AJ39" s="62">
        <f ca="1">IF(AJ$3,INDIRECT(AJ$5&amp;$I39),"")</f>
        <v>1</v>
      </c>
      <c r="AK39" s="62">
        <f ca="1">IF(AK$3,INDIRECT(AK$5&amp;$I39),"")</f>
        <v>1</v>
      </c>
      <c r="AL39" s="62">
        <f ca="1">IF(AL$3,INDIRECT(AL$5&amp;$I39),"")</f>
        <v>1</v>
      </c>
      <c r="AM39" s="62">
        <f ca="1">IF(AM$3,INDIRECT(AM$5&amp;$I39),"")</f>
        <v>1</v>
      </c>
      <c r="AN39" s="62">
        <f ca="1">IF(AN$3,INDIRECT(AN$5&amp;$I39),"")</f>
        <v>1</v>
      </c>
      <c r="AO39" s="62">
        <f ca="1">IF(AO$3,INDIRECT(AO$5&amp;$I39),"")</f>
        <v>1</v>
      </c>
      <c r="AP39" s="62">
        <f ca="1">IF(AP$3,INDIRECT(AP$5&amp;$I39),"")</f>
        <v>1</v>
      </c>
      <c r="AQ39" s="62">
        <f ca="1">IF(AQ$3,INDIRECT(AQ$5&amp;$I39),"")</f>
        <v>1</v>
      </c>
      <c r="AR39" s="62">
        <f ca="1">IF(AR$3,INDIRECT(AR$5&amp;$I39),"")</f>
        <v>1</v>
      </c>
      <c r="AS39" s="62">
        <f ca="1">IF(AS$3,INDIRECT(AS$5&amp;$I39),"")</f>
        <v>1</v>
      </c>
      <c r="AT39" s="62">
        <f ca="1">IF(AT$3,INDIRECT(AT$5&amp;$I39),"")</f>
        <v>1</v>
      </c>
      <c r="AU39" s="62">
        <f ca="1">IF(AU$3,INDIRECT(AU$5&amp;$I39),"")</f>
        <v>1</v>
      </c>
      <c r="AV39" s="62">
        <f ca="1">IF(AV$3,INDIRECT(AV$5&amp;$I39),"")</f>
        <v>1</v>
      </c>
      <c r="AW39" s="62">
        <f ca="1">IF(AW$3,INDIRECT(AW$5&amp;$I39),"")</f>
        <v>1</v>
      </c>
    </row>
    <row r="40" spans="1:49">
      <c r="A40" s="56"/>
      <c r="C40" s="55" t="s">
        <v>89</v>
      </c>
      <c r="D40" s="62">
        <f t="shared" ca="1" si="15"/>
        <v>0.91684014886502452</v>
      </c>
      <c r="E40" s="62">
        <f t="shared" ca="1" si="16"/>
        <v>4.130533785910738E-2</v>
      </c>
      <c r="F40" s="62">
        <f t="shared" ca="1" si="17"/>
        <v>0.84028582464271917</v>
      </c>
      <c r="G40" s="62">
        <f t="shared" ca="1" si="18"/>
        <v>1.0062472110664884</v>
      </c>
      <c r="H40" s="59">
        <f t="shared" ca="1" si="19"/>
        <v>4.0179162070980743</v>
      </c>
      <c r="I40" s="58" t="s">
        <v>93</v>
      </c>
      <c r="J40" s="62">
        <f ca="1">IF(J$3,INDIRECT(J$5&amp;$I40),"")</f>
        <v>0.85861358956760447</v>
      </c>
      <c r="K40" s="62">
        <f ca="1">IF(K$3,INDIRECT(K$5&amp;$I40),"")</f>
        <v>0.89405580266882334</v>
      </c>
      <c r="L40" s="62">
        <f ca="1">IF(L$3,INDIRECT(L$5&amp;$I40),"")</f>
        <v>0.8891832229580573</v>
      </c>
      <c r="M40" s="62" t="str">
        <f ca="1">IF(M$3,INDIRECT(M$5&amp;$I40),"")</f>
        <v/>
      </c>
      <c r="N40" s="62">
        <f ca="1">IF(N$3,INDIRECT(N$5&amp;$I40),"")</f>
        <v>0.91525805724588716</v>
      </c>
      <c r="O40" s="62">
        <f ca="1">IF(O$3,INDIRECT(O$5&amp;$I40),"")</f>
        <v>0.9094918101637971</v>
      </c>
      <c r="P40" s="62">
        <f ca="1">IF(P$3,INDIRECT(P$5&amp;$I40),"")</f>
        <v>0.92005130397605817</v>
      </c>
      <c r="Q40" s="62">
        <f ca="1">IF(Q$3,INDIRECT(Q$5&amp;$I40),"")</f>
        <v>0.90033222591362139</v>
      </c>
      <c r="R40" s="62">
        <f ca="1">IF(R$3,INDIRECT(R$5&amp;$I40),"")</f>
        <v>0.9262048192771084</v>
      </c>
      <c r="S40" s="62">
        <f ca="1">IF(S$3,INDIRECT(S$5&amp;$I40),"")</f>
        <v>0.93355555555555558</v>
      </c>
      <c r="T40" s="62">
        <f ca="1">IF(T$3,INDIRECT(T$5&amp;$I40),"")</f>
        <v>0.9471578947368422</v>
      </c>
      <c r="U40" s="62">
        <f ca="1">IF(U$3,INDIRECT(U$5&amp;$I40),"")</f>
        <v>0.92876901798063649</v>
      </c>
      <c r="V40" s="62">
        <f ca="1">IF(V$3,INDIRECT(V$5&amp;$I40),"")</f>
        <v>0.96217919855920764</v>
      </c>
      <c r="W40" s="62">
        <f ca="1">IF(W$3,INDIRECT(W$5&amp;$I40),"")</f>
        <v>0.97282730743319112</v>
      </c>
      <c r="X40" s="62">
        <f ca="1">IF(X$3,INDIRECT(X$5&amp;$I40),"")</f>
        <v>0.90638590066376745</v>
      </c>
      <c r="Y40" s="62">
        <f ca="1">IF(Y$3,INDIRECT(Y$5&amp;$I40),"")</f>
        <v>0.89250877877487322</v>
      </c>
      <c r="Z40" s="62" t="str">
        <f ca="1">IF(Z$3,INDIRECT(Z$5&amp;$I40),"")</f>
        <v/>
      </c>
      <c r="AA40" s="62">
        <f ca="1">IF(AA$3,INDIRECT(AA$5&amp;$I40),"")</f>
        <v>0.88982059282371273</v>
      </c>
      <c r="AB40" s="62" t="str">
        <f ca="1">IF(AB$3,INDIRECT(AB$5&amp;$I40),"")</f>
        <v/>
      </c>
      <c r="AC40" s="62">
        <f ca="1">IF(AC$3,INDIRECT(AC$5&amp;$I40),"")</f>
        <v>0.84028582464271917</v>
      </c>
      <c r="AD40" s="62" t="str">
        <f ca="1">IF(AD$3,INDIRECT(AD$5&amp;$I40),"")</f>
        <v/>
      </c>
      <c r="AE40" s="62">
        <f ca="1">IF(AE$3,INDIRECT(AE$5&amp;$I40),"")</f>
        <v>0.90689164464322036</v>
      </c>
      <c r="AF40" s="62">
        <f ca="1">IF(AF$3,INDIRECT(AF$5&amp;$I40),"")</f>
        <v>1.0062472110664884</v>
      </c>
      <c r="AG40" s="62" t="str">
        <f ca="1">IF(AG$3,INDIRECT(AG$5&amp;$I40),"")</f>
        <v/>
      </c>
      <c r="AH40" s="62">
        <f ca="1">IF(AH$3,INDIRECT(AH$5&amp;$I40),"")</f>
        <v>0.97287271041038692</v>
      </c>
      <c r="AI40" s="62">
        <f ca="1">IF(AI$3,INDIRECT(AI$5&amp;$I40),"")</f>
        <v>0.90477182746405493</v>
      </c>
      <c r="AJ40" s="62">
        <f ca="1">IF(AJ$3,INDIRECT(AJ$5&amp;$I40),"")</f>
        <v>0.93222924384397476</v>
      </c>
      <c r="AK40" s="62">
        <f ca="1">IF(AK$3,INDIRECT(AK$5&amp;$I40),"")</f>
        <v>0.99498632634457607</v>
      </c>
      <c r="AL40" s="62">
        <f ca="1">IF(AL$3,INDIRECT(AL$5&amp;$I40),"")</f>
        <v>0.86703975299112335</v>
      </c>
      <c r="AM40" s="62">
        <f ca="1">IF(AM$3,INDIRECT(AM$5&amp;$I40),"")</f>
        <v>0.98824833702882475</v>
      </c>
      <c r="AN40" s="62">
        <f ca="1">IF(AN$3,INDIRECT(AN$5&amp;$I40),"")</f>
        <v>0.9403988348644412</v>
      </c>
      <c r="AO40" s="62">
        <f ca="1">IF(AO$3,INDIRECT(AO$5&amp;$I40),"")</f>
        <v>0.84568864611783079</v>
      </c>
      <c r="AP40" s="62">
        <f ca="1">IF(AP$3,INDIRECT(AP$5&amp;$I40),"")</f>
        <v>0.8701447067783703</v>
      </c>
      <c r="AQ40" s="62">
        <f ca="1">IF(AQ$3,INDIRECT(AQ$5&amp;$I40),"")</f>
        <v>0.92769528728211759</v>
      </c>
      <c r="AR40" s="62">
        <f ca="1">IF(AR$3,INDIRECT(AR$5&amp;$I40),"")</f>
        <v>0.86861455108359142</v>
      </c>
      <c r="AS40" s="62">
        <f ca="1">IF(AS$3,INDIRECT(AS$5&amp;$I40),"")</f>
        <v>0.93575025176233639</v>
      </c>
      <c r="AT40" s="62">
        <f ca="1">IF(AT$3,INDIRECT(AT$5&amp;$I40),"")</f>
        <v>0.91674167416741681</v>
      </c>
      <c r="AU40" s="62">
        <f ca="1">IF(AU$3,INDIRECT(AU$5&amp;$I40),"")</f>
        <v>0.94858509366281385</v>
      </c>
      <c r="AV40" s="62">
        <f ca="1">IF(AV$3,INDIRECT(AV$5&amp;$I40),"")</f>
        <v>0.87205943045810974</v>
      </c>
      <c r="AW40" s="62">
        <f ca="1">IF(AW$3,INDIRECT(AW$5&amp;$I40),"")</f>
        <v>0.90375877736472532</v>
      </c>
    </row>
    <row r="41" spans="1:49">
      <c r="A41" s="56"/>
      <c r="C41" s="55" t="s">
        <v>90</v>
      </c>
      <c r="D41" s="62">
        <f t="shared" ca="1" si="15"/>
        <v>1.0144377054497447</v>
      </c>
      <c r="E41" s="62">
        <f t="shared" ca="1" si="16"/>
        <v>8.7537443485657784E-2</v>
      </c>
      <c r="F41" s="62">
        <f t="shared" ca="1" si="17"/>
        <v>0.7642772411455685</v>
      </c>
      <c r="G41" s="62">
        <f t="shared" ca="1" si="18"/>
        <v>1.1569255404323457</v>
      </c>
      <c r="H41" s="59">
        <f t="shared" ca="1" si="19"/>
        <v>4.4854896790664114</v>
      </c>
      <c r="I41" s="58" t="s">
        <v>94</v>
      </c>
      <c r="J41" s="62">
        <f ca="1">IF(J$3,INDIRECT(J$5&amp;$I41),"")</f>
        <v>1.0574809805579035</v>
      </c>
      <c r="K41" s="62">
        <f ca="1">IF(K$3,INDIRECT(K$5&amp;$I41),"")</f>
        <v>1.0394922425952045</v>
      </c>
      <c r="L41" s="62">
        <f ca="1">IF(L$3,INDIRECT(L$5&amp;$I41),"")</f>
        <v>1.0296523517382414</v>
      </c>
      <c r="M41" s="62" t="str">
        <f ca="1">IF(M$3,INDIRECT(M$5&amp;$I41),"")</f>
        <v/>
      </c>
      <c r="N41" s="62">
        <f ca="1">IF(N$3,INDIRECT(N$5&amp;$I41),"")</f>
        <v>0.99558715371414552</v>
      </c>
      <c r="O41" s="62">
        <f ca="1">IF(O$3,INDIRECT(O$5&amp;$I41),"")</f>
        <v>1.0638663718987968</v>
      </c>
      <c r="P41" s="62">
        <f ca="1">IF(P$3,INDIRECT(P$5&amp;$I41),"")</f>
        <v>0.97397601267255052</v>
      </c>
      <c r="Q41" s="62">
        <f ca="1">IF(Q$3,INDIRECT(Q$5&amp;$I41),"")</f>
        <v>1.0717110466649087</v>
      </c>
      <c r="R41" s="62">
        <f ca="1">IF(R$3,INDIRECT(R$5&amp;$I41),"")</f>
        <v>0.9840000000000001</v>
      </c>
      <c r="S41" s="62">
        <f ca="1">IF(S$3,INDIRECT(S$5&amp;$I41),"")</f>
        <v>0.98638177976050712</v>
      </c>
      <c r="T41" s="62">
        <f ca="1">IF(T$3,INDIRECT(T$5&amp;$I41),"")</f>
        <v>0.93514861775098757</v>
      </c>
      <c r="U41" s="62">
        <f ca="1">IF(U$3,INDIRECT(U$5&amp;$I41),"")</f>
        <v>1.0067466266866569</v>
      </c>
      <c r="V41" s="62">
        <f ca="1">IF(V$3,INDIRECT(V$5&amp;$I41),"")</f>
        <v>0.98185159660004595</v>
      </c>
      <c r="W41" s="62">
        <f ca="1">IF(W$3,INDIRECT(W$5&amp;$I41),"")</f>
        <v>0.93685121107266434</v>
      </c>
      <c r="X41" s="62">
        <f ca="1">IF(X$3,INDIRECT(X$5&amp;$I41),"")</f>
        <v>1.103678929765886</v>
      </c>
      <c r="Y41" s="62">
        <f ca="1">IF(Y$3,INDIRECT(Y$5&amp;$I41),"")</f>
        <v>1.1053394539743899</v>
      </c>
      <c r="Z41" s="62" t="str">
        <f ca="1">IF(Z$3,INDIRECT(Z$5&amp;$I41),"")</f>
        <v/>
      </c>
      <c r="AA41" s="62">
        <f ca="1">IF(AA$3,INDIRECT(AA$5&amp;$I41),"")</f>
        <v>1.0499309710078233</v>
      </c>
      <c r="AB41" s="62" t="str">
        <f ca="1">IF(AB$3,INDIRECT(AB$5&amp;$I41),"")</f>
        <v/>
      </c>
      <c r="AC41" s="62">
        <f ca="1">IF(AC$3,INDIRECT(AC$5&amp;$I41),"")</f>
        <v>1.1453013951039748</v>
      </c>
      <c r="AD41" s="62" t="str">
        <f ca="1">IF(AD$3,INDIRECT(AD$5&amp;$I41),"")</f>
        <v/>
      </c>
      <c r="AE41" s="62">
        <f ca="1">IF(AE$3,INDIRECT(AE$5&amp;$I41),"")</f>
        <v>1.1166458072590739</v>
      </c>
      <c r="AF41" s="62">
        <f ca="1">IF(AF$3,INDIRECT(AF$5&amp;$I41),"")</f>
        <v>0.7642772411455685</v>
      </c>
      <c r="AG41" s="62" t="str">
        <f ca="1">IF(AG$3,INDIRECT(AG$5&amp;$I41),"")</f>
        <v/>
      </c>
      <c r="AH41" s="62">
        <f ca="1">IF(AH$3,INDIRECT(AH$5&amp;$I41),"")</f>
        <v>0.84596774193548374</v>
      </c>
      <c r="AI41" s="62">
        <f ca="1">IF(AI$3,INDIRECT(AI$5&amp;$I41),"")</f>
        <v>1.0590243902439023</v>
      </c>
      <c r="AJ41" s="62">
        <f ca="1">IF(AJ$3,INDIRECT(AJ$5&amp;$I41),"")</f>
        <v>0.93939393939393945</v>
      </c>
      <c r="AK41" s="62">
        <f ca="1">IF(AK$3,INDIRECT(AK$5&amp;$I41),"")</f>
        <v>0.84269446052885533</v>
      </c>
      <c r="AL41" s="62">
        <f ca="1">IF(AL$3,INDIRECT(AL$5&amp;$I41),"")</f>
        <v>1.09212445308702</v>
      </c>
      <c r="AM41" s="62">
        <f ca="1">IF(AM$3,INDIRECT(AM$5&amp;$I41),"")</f>
        <v>1.0199084668192218</v>
      </c>
      <c r="AN41" s="62">
        <f ca="1">IF(AN$3,INDIRECT(AN$5&amp;$I41),"")</f>
        <v>1.0084094185487746</v>
      </c>
      <c r="AO41" s="62">
        <f ca="1">IF(AO$3,INDIRECT(AO$5&amp;$I41),"")</f>
        <v>1.1569255404323457</v>
      </c>
      <c r="AP41" s="62">
        <f ca="1">IF(AP$3,INDIRECT(AP$5&amp;$I41),"")</f>
        <v>1.0814008518693803</v>
      </c>
      <c r="AQ41" s="62">
        <f ca="1">IF(AQ$3,INDIRECT(AQ$5&amp;$I41),"")</f>
        <v>1.0230185097294733</v>
      </c>
      <c r="AR41" s="62">
        <f ca="1">IF(AR$3,INDIRECT(AR$5&amp;$I41),"")</f>
        <v>1.0780499519692603</v>
      </c>
      <c r="AS41" s="62">
        <f ca="1">IF(AS$3,INDIRECT(AS$5&amp;$I41),"")</f>
        <v>0.99699570815450622</v>
      </c>
      <c r="AT41" s="62">
        <f ca="1">IF(AT$3,INDIRECT(AT$5&amp;$I41),"")</f>
        <v>1.0280090840272522</v>
      </c>
      <c r="AU41" s="62">
        <f ca="1">IF(AU$3,INDIRECT(AU$5&amp;$I41),"")</f>
        <v>0.93793103448275861</v>
      </c>
      <c r="AV41" s="62">
        <f ca="1">IF(AV$3,INDIRECT(AV$5&amp;$I41),"")</f>
        <v>1.1245343267695582</v>
      </c>
      <c r="AW41" s="62">
        <f ca="1">IF(AW$3,INDIRECT(AW$5&amp;$I41),"")</f>
        <v>0.92301202278000416</v>
      </c>
    </row>
    <row r="42" spans="1:49">
      <c r="A42" s="56"/>
      <c r="C42" s="55"/>
      <c r="D42" s="62"/>
      <c r="E42" s="62"/>
      <c r="F42" s="62"/>
      <c r="G42" s="62"/>
      <c r="H42" s="59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>
      <c r="A43" s="56"/>
      <c r="C43" s="63" t="str">
        <f>CHAR(34) &amp; "EEpromVersion" &amp;CHAR(34)  &amp; ",2,"</f>
        <v>"EEpromVersion",2,</v>
      </c>
      <c r="E43" s="64"/>
      <c r="F43" s="64"/>
      <c r="G43" s="64"/>
      <c r="H43" s="64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>
      <c r="A44" s="56"/>
      <c r="C44" s="13" t="str">
        <f ca="1">linefmt("Compensation",INT(D9))</f>
        <v>"Compensation",36,</v>
      </c>
      <c r="E44" s="75"/>
      <c r="F44" s="75"/>
      <c r="G44" s="65"/>
      <c r="H44" s="65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>
      <c r="A45" s="56"/>
      <c r="C45" s="14" t="str">
        <f ca="1">linefmt("CardGain",D38)</f>
        <v>"CardGain",16.15066,</v>
      </c>
      <c r="E45" s="65"/>
      <c r="F45" s="65"/>
      <c r="G45" s="65"/>
      <c r="H45" s="65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>
      <c r="A46" s="56"/>
      <c r="C46" s="14" t="str">
        <f ca="1">linefmt("Range",D39,D40,D41)</f>
        <v>"Range",1,0.9168401,1.014438,</v>
      </c>
      <c r="E46" s="65"/>
      <c r="F46" s="65"/>
      <c r="G46" s="65"/>
      <c r="H46" s="65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>
      <c r="A47" s="56"/>
      <c r="C47" s="14" t="str">
        <f>linefmt("CCM" )</f>
        <v>"CCM",</v>
      </c>
      <c r="E47" s="65"/>
      <c r="F47" s="65"/>
      <c r="G47" s="65"/>
      <c r="H47" s="65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>
      <c r="A48" s="56"/>
      <c r="B48" s="58" t="s">
        <v>3</v>
      </c>
      <c r="C48" s="15" t="str">
        <f ca="1">linefmt("",D29,D30,D31)</f>
        <v>0.2193219,1.035955,-0.3830663,</v>
      </c>
      <c r="E48" s="64"/>
      <c r="F48" s="64"/>
      <c r="G48" s="64"/>
      <c r="H48" s="64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>
      <c r="A49" s="56"/>
      <c r="B49" s="58" t="s">
        <v>4</v>
      </c>
      <c r="C49" s="15" t="str">
        <f ca="1">linefmt("",D32,D33,D34)</f>
        <v>6.109744E-02,1,-6.692902E-02,</v>
      </c>
      <c r="E49" s="64"/>
      <c r="F49" s="64"/>
      <c r="G49" s="64"/>
      <c r="H49" s="64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>
      <c r="A50" s="56"/>
      <c r="B50" s="58" t="s">
        <v>5</v>
      </c>
      <c r="C50" s="16" t="str">
        <f ca="1">linefmt("",D35,D36,D37)</f>
        <v>-0.4949904,0.3424087,1.10358,</v>
      </c>
      <c r="E50" s="64"/>
      <c r="F50" s="64"/>
      <c r="G50" s="64"/>
      <c r="H50" s="64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>
      <c r="A51" s="56"/>
      <c r="C51" s="55"/>
      <c r="D51" s="62"/>
      <c r="E51" s="60"/>
      <c r="F51" s="62"/>
      <c r="G51" s="62"/>
      <c r="H51" s="59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>
      <c r="A52" s="78" t="s">
        <v>57</v>
      </c>
      <c r="B52" s="58" t="s">
        <v>6</v>
      </c>
      <c r="C52" s="79" t="s">
        <v>3</v>
      </c>
      <c r="D52" s="62">
        <f ca="1">AVERAGE(J52:AW52)</f>
        <v>0.22409275301067957</v>
      </c>
      <c r="E52" s="62">
        <f ca="1">STDEV(J52:AW52)</f>
        <v>6.3973448599469587E-2</v>
      </c>
      <c r="F52" s="62">
        <f ca="1">MIN(J52:AW52)</f>
        <v>0.15957075053675865</v>
      </c>
      <c r="G52" s="62">
        <f ca="1">MAX(J52:AW52)</f>
        <v>0.37440078451878311</v>
      </c>
      <c r="H52" s="59">
        <f t="shared" ref="H52:H55" ca="1" si="20">(G52-F52)/E52</f>
        <v>3.3581124464158658</v>
      </c>
      <c r="I52" s="58" t="s">
        <v>78</v>
      </c>
      <c r="J52" s="62">
        <f ca="1">IF(J$3,INDIRECT(J$5&amp;$I52),"")</f>
        <v>0.16222529773011637</v>
      </c>
      <c r="K52" s="62">
        <f ca="1">IF(K$3,INDIRECT(K$5&amp;$I52),"")</f>
        <v>0.21265396189543123</v>
      </c>
      <c r="L52" s="62">
        <f ca="1">IF(L$3,INDIRECT(L$5&amp;$I52),"")</f>
        <v>0.32935688699730681</v>
      </c>
      <c r="M52" s="62" t="str">
        <f ca="1">IF(M$3,INDIRECT(M$5&amp;$I52),"")</f>
        <v/>
      </c>
      <c r="N52" s="62">
        <f ca="1">IF(N$3,INDIRECT(N$5&amp;$I52),"")</f>
        <v>0.19608280597221925</v>
      </c>
      <c r="O52" s="62">
        <f ca="1">IF(O$3,INDIRECT(O$5&amp;$I52),"")</f>
        <v>0.21302412915008503</v>
      </c>
      <c r="P52" s="62">
        <f ca="1">IF(P$3,INDIRECT(P$5&amp;$I52),"")</f>
        <v>0.18400505968683595</v>
      </c>
      <c r="Q52" s="62">
        <f ca="1">IF(Q$3,INDIRECT(Q$5&amp;$I52),"")</f>
        <v>0.19661451824888379</v>
      </c>
      <c r="R52" s="62">
        <f ca="1">IF(R$3,INDIRECT(R$5&amp;$I52),"")</f>
        <v>0.21350063490189286</v>
      </c>
      <c r="S52" s="62">
        <f ca="1">IF(S$3,INDIRECT(S$5&amp;$I52),"")</f>
        <v>0.31536160623671844</v>
      </c>
      <c r="T52" s="62">
        <f ca="1">IF(T$3,INDIRECT(T$5&amp;$I52),"")</f>
        <v>0.33883023480889074</v>
      </c>
      <c r="U52" s="62">
        <f ca="1">IF(U$3,INDIRECT(U$5&amp;$I52),"")</f>
        <v>0.37440078451878311</v>
      </c>
      <c r="V52" s="62">
        <f ca="1">IF(V$3,INDIRECT(V$5&amp;$I52),"")</f>
        <v>0.35338839995324556</v>
      </c>
      <c r="W52" s="62">
        <f ca="1">IF(W$3,INDIRECT(W$5&amp;$I52),"")</f>
        <v>0.36412513230631066</v>
      </c>
      <c r="X52" s="62">
        <f ca="1">IF(X$3,INDIRECT(X$5&amp;$I52),"")</f>
        <v>0.34610505946834624</v>
      </c>
      <c r="Y52" s="62">
        <f ca="1">IF(Y$3,INDIRECT(Y$5&amp;$I52),"")</f>
        <v>0.17086596798996298</v>
      </c>
      <c r="Z52" s="62" t="str">
        <f ca="1">IF(Z$3,INDIRECT(Z$5&amp;$I52),"")</f>
        <v/>
      </c>
      <c r="AA52" s="62">
        <f ca="1">IF(AA$3,INDIRECT(AA$5&amp;$I52),"")</f>
        <v>0.18448401814120052</v>
      </c>
      <c r="AB52" s="62" t="str">
        <f ca="1">IF(AB$3,INDIRECT(AB$5&amp;$I52),"")</f>
        <v/>
      </c>
      <c r="AC52" s="62">
        <f ca="1">IF(AC$3,INDIRECT(AC$5&amp;$I52),"")</f>
        <v>0.15957075053675865</v>
      </c>
      <c r="AD52" s="62" t="str">
        <f ca="1">IF(AD$3,INDIRECT(AD$5&amp;$I52),"")</f>
        <v/>
      </c>
      <c r="AE52" s="62">
        <f ca="1">IF(AE$3,INDIRECT(AE$5&amp;$I52),"")</f>
        <v>0.2075703952004252</v>
      </c>
      <c r="AF52" s="62">
        <f ca="1">IF(AF$3,INDIRECT(AF$5&amp;$I52),"")</f>
        <v>0.2057113780798259</v>
      </c>
      <c r="AG52" s="62" t="str">
        <f ca="1">IF(AG$3,INDIRECT(AG$5&amp;$I52),"")</f>
        <v/>
      </c>
      <c r="AH52" s="62">
        <f ca="1">IF(AH$3,INDIRECT(AH$5&amp;$I52),"")</f>
        <v>0.19107373849334255</v>
      </c>
      <c r="AI52" s="62">
        <f ca="1">IF(AI$3,INDIRECT(AI$5&amp;$I52),"")</f>
        <v>0.17548797504496549</v>
      </c>
      <c r="AJ52" s="62">
        <f ca="1">IF(AJ$3,INDIRECT(AJ$5&amp;$I52),"")</f>
        <v>0.19606127090095052</v>
      </c>
      <c r="AK52" s="62">
        <f ca="1">IF(AK$3,INDIRECT(AK$5&amp;$I52),"")</f>
        <v>0.16462393884350027</v>
      </c>
      <c r="AL52" s="62">
        <f ca="1">IF(AL$3,INDIRECT(AL$5&amp;$I52),"")</f>
        <v>0.19601289884522557</v>
      </c>
      <c r="AM52" s="62">
        <f ca="1">IF(AM$3,INDIRECT(AM$5&amp;$I52),"")</f>
        <v>0.1816635695130856</v>
      </c>
      <c r="AN52" s="62">
        <f ca="1">IF(AN$3,INDIRECT(AN$5&amp;$I52),"")</f>
        <v>0.21618176430137942</v>
      </c>
      <c r="AO52" s="62">
        <f ca="1">IF(AO$3,INDIRECT(AO$5&amp;$I52),"")</f>
        <v>0.19960131806380094</v>
      </c>
      <c r="AP52" s="62">
        <f ca="1">IF(AP$3,INDIRECT(AP$5&amp;$I52),"")</f>
        <v>0.19210352394357957</v>
      </c>
      <c r="AQ52" s="62">
        <f ca="1">IF(AQ$3,INDIRECT(AQ$5&amp;$I52),"")</f>
        <v>0.19288123585402159</v>
      </c>
      <c r="AR52" s="62">
        <f ca="1">IF(AR$3,INDIRECT(AR$5&amp;$I52),"")</f>
        <v>0.20239675951749156</v>
      </c>
      <c r="AS52" s="62">
        <f ca="1">IF(AS$3,INDIRECT(AS$5&amp;$I52),"")</f>
        <v>0.19455206755089341</v>
      </c>
      <c r="AT52" s="62">
        <f ca="1">IF(AT$3,INDIRECT(AT$5&amp;$I52),"")</f>
        <v>0.19376361836269251</v>
      </c>
      <c r="AU52" s="62">
        <f ca="1">IF(AU$3,INDIRECT(AU$5&amp;$I52),"")</f>
        <v>0.20674192545040268</v>
      </c>
      <c r="AV52" s="62">
        <f ca="1">IF(AV$3,INDIRECT(AV$5&amp;$I52),"")</f>
        <v>0.2090407651800342</v>
      </c>
      <c r="AW52" s="62">
        <f ca="1">IF(AW$3,INDIRECT(AW$5&amp;$I52),"")</f>
        <v>0.20318296368518152</v>
      </c>
    </row>
    <row r="53" spans="1:49">
      <c r="A53" s="78"/>
      <c r="B53" s="58" t="s">
        <v>7</v>
      </c>
      <c r="C53" s="79"/>
      <c r="D53" s="62">
        <f t="shared" ref="D53:D60" ca="1" si="21">AVERAGE(J53:AW53)</f>
        <v>1.0292048584947233</v>
      </c>
      <c r="E53" s="62">
        <f t="shared" ref="E53:E60" ca="1" si="22">STDEV(J53:AW53)</f>
        <v>9.1029643135929952E-3</v>
      </c>
      <c r="F53" s="62">
        <f t="shared" ref="F53:F60" ca="1" si="23">MIN(J53:AW53)</f>
        <v>1.0158365995700014</v>
      </c>
      <c r="G53" s="62">
        <f t="shared" ref="G53:G60" ca="1" si="24">MAX(J53:AW53)</f>
        <v>1.0589564050155071</v>
      </c>
      <c r="H53" s="59">
        <f t="shared" ca="1" si="20"/>
        <v>4.7368971205475487</v>
      </c>
      <c r="I53" s="58" t="s">
        <v>79</v>
      </c>
      <c r="J53" s="62">
        <f ca="1">IF(J$3,INDIRECT(J$5&amp;$I53),"")</f>
        <v>1.0303152920410725</v>
      </c>
      <c r="K53" s="62">
        <f ca="1">IF(K$3,INDIRECT(K$5&amp;$I53),"")</f>
        <v>1.0266022666104944</v>
      </c>
      <c r="L53" s="62">
        <f ca="1">IF(L$3,INDIRECT(L$5&amp;$I53),"")</f>
        <v>1.0248360816605817</v>
      </c>
      <c r="M53" s="62" t="str">
        <f ca="1">IF(M$3,INDIRECT(M$5&amp;$I53),"")</f>
        <v/>
      </c>
      <c r="N53" s="62">
        <f ca="1">IF(N$3,INDIRECT(N$5&amp;$I53),"")</f>
        <v>1.0390554837680916</v>
      </c>
      <c r="O53" s="62">
        <f ca="1">IF(O$3,INDIRECT(O$5&amp;$I53),"")</f>
        <v>1.0233487119896747</v>
      </c>
      <c r="P53" s="62">
        <f ca="1">IF(P$3,INDIRECT(P$5&amp;$I53),"")</f>
        <v>1.0407396418765744</v>
      </c>
      <c r="Q53" s="62">
        <f ca="1">IF(Q$3,INDIRECT(Q$5&amp;$I53),"")</f>
        <v>1.037049746283526</v>
      </c>
      <c r="R53" s="62">
        <f ca="1">IF(R$3,INDIRECT(R$5&amp;$I53),"")</f>
        <v>1.0250353732501101</v>
      </c>
      <c r="S53" s="62">
        <f ca="1">IF(S$3,INDIRECT(S$5&amp;$I53),"")</f>
        <v>1.0241624108452716</v>
      </c>
      <c r="T53" s="62">
        <f ca="1">IF(T$3,INDIRECT(T$5&amp;$I53),"")</f>
        <v>1.0276396928404399</v>
      </c>
      <c r="U53" s="62">
        <f ca="1">IF(U$3,INDIRECT(U$5&amp;$I53),"")</f>
        <v>1.0292457404971758</v>
      </c>
      <c r="V53" s="62">
        <f ca="1">IF(V$3,INDIRECT(V$5&amp;$I53),"")</f>
        <v>1.0290410533088377</v>
      </c>
      <c r="W53" s="62">
        <f ca="1">IF(W$3,INDIRECT(W$5&amp;$I53),"")</f>
        <v>1.019645207303743</v>
      </c>
      <c r="X53" s="62">
        <f ca="1">IF(X$3,INDIRECT(X$5&amp;$I53),"")</f>
        <v>1.041992453714822</v>
      </c>
      <c r="Y53" s="62">
        <f ca="1">IF(Y$3,INDIRECT(Y$5&amp;$I53),"")</f>
        <v>1.0354079972163714</v>
      </c>
      <c r="Z53" s="62" t="str">
        <f ca="1">IF(Z$3,INDIRECT(Z$5&amp;$I53),"")</f>
        <v/>
      </c>
      <c r="AA53" s="62">
        <f ca="1">IF(AA$3,INDIRECT(AA$5&amp;$I53),"")</f>
        <v>1.0251517323109192</v>
      </c>
      <c r="AB53" s="62" t="str">
        <f ca="1">IF(AB$3,INDIRECT(AB$5&amp;$I53),"")</f>
        <v/>
      </c>
      <c r="AC53" s="62">
        <f ca="1">IF(AC$3,INDIRECT(AC$5&amp;$I53),"")</f>
        <v>1.0209930166385017</v>
      </c>
      <c r="AD53" s="62" t="str">
        <f ca="1">IF(AD$3,INDIRECT(AD$5&amp;$I53),"")</f>
        <v/>
      </c>
      <c r="AE53" s="62">
        <f ca="1">IF(AE$3,INDIRECT(AE$5&amp;$I53),"")</f>
        <v>1.0300205671616776</v>
      </c>
      <c r="AF53" s="62">
        <f ca="1">IF(AF$3,INDIRECT(AF$5&amp;$I53),"")</f>
        <v>1.0222654908820787</v>
      </c>
      <c r="AG53" s="62" t="str">
        <f ca="1">IF(AG$3,INDIRECT(AG$5&amp;$I53),"")</f>
        <v/>
      </c>
      <c r="AH53" s="62">
        <f ca="1">IF(AH$3,INDIRECT(AH$5&amp;$I53),"")</f>
        <v>1.0187529764298542</v>
      </c>
      <c r="AI53" s="62">
        <f ca="1">IF(AI$3,INDIRECT(AI$5&amp;$I53),"")</f>
        <v>1.021939180298691</v>
      </c>
      <c r="AJ53" s="62">
        <f ca="1">IF(AJ$3,INDIRECT(AJ$5&amp;$I53),"")</f>
        <v>1.019066649216799</v>
      </c>
      <c r="AK53" s="62">
        <f ca="1">IF(AK$3,INDIRECT(AK$5&amp;$I53),"")</f>
        <v>1.0325575069713129</v>
      </c>
      <c r="AL53" s="62">
        <f ca="1">IF(AL$3,INDIRECT(AL$5&amp;$I53),"")</f>
        <v>1.0343139847278053</v>
      </c>
      <c r="AM53" s="62">
        <f ca="1">IF(AM$3,INDIRECT(AM$5&amp;$I53),"")</f>
        <v>1.0589564050155071</v>
      </c>
      <c r="AN53" s="62">
        <f ca="1">IF(AN$3,INDIRECT(AN$5&amp;$I53),"")</f>
        <v>1.0158365995700014</v>
      </c>
      <c r="AO53" s="62">
        <f ca="1">IF(AO$3,INDIRECT(AO$5&amp;$I53),"")</f>
        <v>1.0377314861186151</v>
      </c>
      <c r="AP53" s="62">
        <f ca="1">IF(AP$3,INDIRECT(AP$5&amp;$I53),"")</f>
        <v>1.0210306407955394</v>
      </c>
      <c r="AQ53" s="62">
        <f ca="1">IF(AQ$3,INDIRECT(AQ$5&amp;$I53),"")</f>
        <v>1.0404970503574642</v>
      </c>
      <c r="AR53" s="62">
        <f ca="1">IF(AR$3,INDIRECT(AR$5&amp;$I53),"")</f>
        <v>1.0349190468366147</v>
      </c>
      <c r="AS53" s="62">
        <f ca="1">IF(AS$3,INDIRECT(AS$5&amp;$I53),"")</f>
        <v>1.0217082810486164</v>
      </c>
      <c r="AT53" s="62">
        <f ca="1">IF(AT$3,INDIRECT(AT$5&amp;$I53),"")</f>
        <v>1.0303287402937424</v>
      </c>
      <c r="AU53" s="62">
        <f ca="1">IF(AU$3,INDIRECT(AU$5&amp;$I53),"")</f>
        <v>1.0221917278387709</v>
      </c>
      <c r="AV53" s="62">
        <f ca="1">IF(AV$3,INDIRECT(AV$5&amp;$I53),"")</f>
        <v>1.0194152570577957</v>
      </c>
      <c r="AW53" s="62">
        <f ca="1">IF(AW$3,INDIRECT(AW$5&amp;$I53),"")</f>
        <v>1.0403765545382095</v>
      </c>
    </row>
    <row r="54" spans="1:49">
      <c r="A54" s="78"/>
      <c r="B54" s="58" t="s">
        <v>8</v>
      </c>
      <c r="C54" s="79"/>
      <c r="D54" s="62">
        <f t="shared" ca="1" si="21"/>
        <v>-0.38346603817509167</v>
      </c>
      <c r="E54" s="62">
        <f t="shared" ca="1" si="22"/>
        <v>5.3814001619935492E-2</v>
      </c>
      <c r="F54" s="62">
        <f t="shared" ca="1" si="23"/>
        <v>-0.44404270070989743</v>
      </c>
      <c r="G54" s="62">
        <f t="shared" ca="1" si="24"/>
        <v>-0.24950842311263993</v>
      </c>
      <c r="H54" s="59">
        <f t="shared" ca="1" si="20"/>
        <v>3.6149379667241086</v>
      </c>
      <c r="I54" s="58" t="s">
        <v>80</v>
      </c>
      <c r="J54" s="62">
        <f ca="1">IF(J$3,INDIRECT(J$5&amp;$I54),"")</f>
        <v>-0.26776876035674846</v>
      </c>
      <c r="K54" s="62">
        <f ca="1">IF(K$3,INDIRECT(K$5&amp;$I54),"")</f>
        <v>-0.40710147036010003</v>
      </c>
      <c r="L54" s="62">
        <f ca="1">IF(L$3,INDIRECT(L$5&amp;$I54),"")</f>
        <v>-0.39011642613777786</v>
      </c>
      <c r="M54" s="62" t="str">
        <f ca="1">IF(M$3,INDIRECT(M$5&amp;$I54),"")</f>
        <v/>
      </c>
      <c r="N54" s="62">
        <f ca="1">IF(N$3,INDIRECT(N$5&amp;$I54),"")</f>
        <v>-0.40017097216357483</v>
      </c>
      <c r="O54" s="62">
        <f ca="1">IF(O$3,INDIRECT(O$5&amp;$I54),"")</f>
        <v>-0.44175650528953492</v>
      </c>
      <c r="P54" s="62">
        <f ca="1">IF(P$3,INDIRECT(P$5&amp;$I54),"")</f>
        <v>-0.44404270070989743</v>
      </c>
      <c r="Q54" s="62">
        <f ca="1">IF(Q$3,INDIRECT(Q$5&amp;$I54),"")</f>
        <v>-0.37090126003834678</v>
      </c>
      <c r="R54" s="62">
        <f ca="1">IF(R$3,INDIRECT(R$5&amp;$I54),"")</f>
        <v>-0.43289812007762313</v>
      </c>
      <c r="S54" s="62">
        <f ca="1">IF(S$3,INDIRECT(S$5&amp;$I54),"")</f>
        <v>-0.32706186450534253</v>
      </c>
      <c r="T54" s="62">
        <f ca="1">IF(T$3,INDIRECT(T$5&amp;$I54),"")</f>
        <v>-0.31897561128648033</v>
      </c>
      <c r="U54" s="62">
        <f ca="1">IF(U$3,INDIRECT(U$5&amp;$I54),"")</f>
        <v>-0.29187772175544868</v>
      </c>
      <c r="V54" s="62">
        <f ca="1">IF(V$3,INDIRECT(V$5&amp;$I54),"")</f>
        <v>-0.27378866693468196</v>
      </c>
      <c r="W54" s="62">
        <f ca="1">IF(W$3,INDIRECT(W$5&amp;$I54),"")</f>
        <v>-0.34789117673046793</v>
      </c>
      <c r="X54" s="62">
        <f ca="1">IF(X$3,INDIRECT(X$5&amp;$I54),"")</f>
        <v>-0.24950842311263993</v>
      </c>
      <c r="Y54" s="62">
        <f ca="1">IF(Y$3,INDIRECT(Y$5&amp;$I54),"")</f>
        <v>-0.43057290128485398</v>
      </c>
      <c r="Z54" s="62" t="str">
        <f ca="1">IF(Z$3,INDIRECT(Z$5&amp;$I54),"")</f>
        <v/>
      </c>
      <c r="AA54" s="62">
        <f ca="1">IF(AA$3,INDIRECT(AA$5&amp;$I54),"")</f>
        <v>-0.43893952671490649</v>
      </c>
      <c r="AB54" s="62" t="str">
        <f ca="1">IF(AB$3,INDIRECT(AB$5&amp;$I54),"")</f>
        <v/>
      </c>
      <c r="AC54" s="62">
        <f ca="1">IF(AC$3,INDIRECT(AC$5&amp;$I54),"")</f>
        <v>-0.3360550472731445</v>
      </c>
      <c r="AD54" s="62" t="str">
        <f ca="1">IF(AD$3,INDIRECT(AD$5&amp;$I54),"")</f>
        <v/>
      </c>
      <c r="AE54" s="62">
        <f ca="1">IF(AE$3,INDIRECT(AE$5&amp;$I54),"")</f>
        <v>-0.40195878013400954</v>
      </c>
      <c r="AF54" s="62">
        <f ca="1">IF(AF$3,INDIRECT(AF$5&amp;$I54),"")</f>
        <v>-0.43174828362263462</v>
      </c>
      <c r="AG54" s="62" t="str">
        <f ca="1">IF(AG$3,INDIRECT(AG$5&amp;$I54),"")</f>
        <v/>
      </c>
      <c r="AH54" s="62">
        <f ca="1">IF(AH$3,INDIRECT(AH$5&amp;$I54),"")</f>
        <v>-0.40733646969563769</v>
      </c>
      <c r="AI54" s="62">
        <f ca="1">IF(AI$3,INDIRECT(AI$5&amp;$I54),"")</f>
        <v>-0.38741241840890778</v>
      </c>
      <c r="AJ54" s="62">
        <f ca="1">IF(AJ$3,INDIRECT(AJ$5&amp;$I54),"")</f>
        <v>-0.38779647119398436</v>
      </c>
      <c r="AK54" s="62">
        <f ca="1">IF(AK$3,INDIRECT(AK$5&amp;$I54),"")</f>
        <v>-0.4410012436917331</v>
      </c>
      <c r="AL54" s="62">
        <f ca="1">IF(AL$3,INDIRECT(AL$5&amp;$I54),"")</f>
        <v>-0.35871553302508302</v>
      </c>
      <c r="AM54" s="62">
        <f ca="1">IF(AM$3,INDIRECT(AM$5&amp;$I54),"")</f>
        <v>-0.44147138772229949</v>
      </c>
      <c r="AN54" s="62">
        <f ca="1">IF(AN$3,INDIRECT(AN$5&amp;$I54),"")</f>
        <v>-0.41780002642357322</v>
      </c>
      <c r="AO54" s="62">
        <f ca="1">IF(AO$3,INDIRECT(AO$5&amp;$I54),"")</f>
        <v>-0.43824406357624079</v>
      </c>
      <c r="AP54" s="62">
        <f ca="1">IF(AP$3,INDIRECT(AP$5&amp;$I54),"")</f>
        <v>-0.37304684947808081</v>
      </c>
      <c r="AQ54" s="62">
        <f ca="1">IF(AQ$3,INDIRECT(AQ$5&amp;$I54),"")</f>
        <v>-0.3981298993655451</v>
      </c>
      <c r="AR54" s="62">
        <f ca="1">IF(AR$3,INDIRECT(AR$5&amp;$I54),"")</f>
        <v>-0.37585244008937629</v>
      </c>
      <c r="AS54" s="62">
        <f ca="1">IF(AS$3,INDIRECT(AS$5&amp;$I54),"")</f>
        <v>-0.37307096851317439</v>
      </c>
      <c r="AT54" s="62">
        <f ca="1">IF(AT$3,INDIRECT(AT$5&amp;$I54),"")</f>
        <v>-0.431123598495399</v>
      </c>
      <c r="AU54" s="62">
        <f ca="1">IF(AU$3,INDIRECT(AU$5&amp;$I54),"")</f>
        <v>-0.38580624096276933</v>
      </c>
      <c r="AV54" s="62">
        <f ca="1">IF(AV$3,INDIRECT(AV$5&amp;$I54),"")</f>
        <v>-0.43158607596246734</v>
      </c>
      <c r="AW54" s="62">
        <f ca="1">IF(AW$3,INDIRECT(AW$5&amp;$I54),"")</f>
        <v>-0.3697834310357242</v>
      </c>
    </row>
    <row r="55" spans="1:49">
      <c r="A55" s="78"/>
      <c r="B55" s="58" t="str">
        <f>B52</f>
        <v>R</v>
      </c>
      <c r="C55" s="79" t="s">
        <v>4</v>
      </c>
      <c r="D55" s="62">
        <f t="shared" ca="1" si="21"/>
        <v>5.8643368751806868E-2</v>
      </c>
      <c r="E55" s="62">
        <f t="shared" ca="1" si="22"/>
        <v>5.2975661737510484E-2</v>
      </c>
      <c r="F55" s="62">
        <f t="shared" ca="1" si="23"/>
        <v>-1.8337085561653563E-2</v>
      </c>
      <c r="G55" s="62">
        <f t="shared" ca="1" si="24"/>
        <v>0.192265834806012</v>
      </c>
      <c r="H55" s="59">
        <f t="shared" ca="1" si="20"/>
        <v>3.9754655904287444</v>
      </c>
      <c r="I55" s="58" t="s">
        <v>81</v>
      </c>
      <c r="J55" s="62">
        <f ca="1">IF(J$3,INDIRECT(J$5&amp;$I55),"")</f>
        <v>-1.8337085561653563E-2</v>
      </c>
      <c r="K55" s="62">
        <f ca="1">IF(K$3,INDIRECT(K$5&amp;$I55),"")</f>
        <v>5.1243753268381945E-2</v>
      </c>
      <c r="L55" s="62">
        <f ca="1">IF(L$3,INDIRECT(L$5&amp;$I55),"")</f>
        <v>0.14645540854092812</v>
      </c>
      <c r="M55" s="62" t="str">
        <f ca="1">IF(M$3,INDIRECT(M$5&amp;$I55),"")</f>
        <v/>
      </c>
      <c r="N55" s="62">
        <f ca="1">IF(N$3,INDIRECT(N$5&amp;$I55),"")</f>
        <v>1.8505639759570154E-2</v>
      </c>
      <c r="O55" s="62">
        <f ca="1">IF(O$3,INDIRECT(O$5&amp;$I55),"")</f>
        <v>5.9106483012062346E-2</v>
      </c>
      <c r="P55" s="62">
        <f ca="1">IF(P$3,INDIRECT(P$5&amp;$I55),"")</f>
        <v>4.6973937164841294E-2</v>
      </c>
      <c r="Q55" s="62">
        <f ca="1">IF(Q$3,INDIRECT(Q$5&amp;$I55),"")</f>
        <v>3.1129893980143489E-2</v>
      </c>
      <c r="R55" s="62">
        <f ca="1">IF(R$3,INDIRECT(R$5&amp;$I55),"")</f>
        <v>5.2367943326197021E-2</v>
      </c>
      <c r="S55" s="62">
        <f ca="1">IF(S$3,INDIRECT(S$5&amp;$I55),"")</f>
        <v>0.12990234014075766</v>
      </c>
      <c r="T55" s="62">
        <f ca="1">IF(T$3,INDIRECT(T$5&amp;$I55),"")</f>
        <v>0.14189312636262655</v>
      </c>
      <c r="U55" s="62">
        <f ca="1">IF(U$3,INDIRECT(U$5&amp;$I55),"")</f>
        <v>0.192265834806012</v>
      </c>
      <c r="V55" s="62">
        <f ca="1">IF(V$3,INDIRECT(V$5&amp;$I55),"")</f>
        <v>0.15685486231146423</v>
      </c>
      <c r="W55" s="62">
        <f ca="1">IF(W$3,INDIRECT(W$5&amp;$I55),"")</f>
        <v>0.17622625793151311</v>
      </c>
      <c r="X55" s="62">
        <f ca="1">IF(X$3,INDIRECT(X$5&amp;$I55),"")</f>
        <v>0.1572329293579941</v>
      </c>
      <c r="Y55" s="62">
        <f ca="1">IF(Y$3,INDIRECT(Y$5&amp;$I55),"")</f>
        <v>2.7430282027017409E-2</v>
      </c>
      <c r="Z55" s="62" t="str">
        <f ca="1">IF(Z$3,INDIRECT(Z$5&amp;$I55),"")</f>
        <v/>
      </c>
      <c r="AA55" s="62">
        <f ca="1">IF(AA$3,INDIRECT(AA$5&amp;$I55),"")</f>
        <v>3.1759513668206923E-2</v>
      </c>
      <c r="AB55" s="62" t="str">
        <f ca="1">IF(AB$3,INDIRECT(AB$5&amp;$I55),"")</f>
        <v/>
      </c>
      <c r="AC55" s="62">
        <f ca="1">IF(AC$3,INDIRECT(AC$5&amp;$I55),"")</f>
        <v>5.9971916486807331E-3</v>
      </c>
      <c r="AD55" s="62" t="str">
        <f ca="1">IF(AD$3,INDIRECT(AD$5&amp;$I55),"")</f>
        <v/>
      </c>
      <c r="AE55" s="62">
        <f ca="1">IF(AE$3,INDIRECT(AE$5&amp;$I55),"")</f>
        <v>4.4456407576685487E-2</v>
      </c>
      <c r="AF55" s="62">
        <f ca="1">IF(AF$3,INDIRECT(AF$5&amp;$I55),"")</f>
        <v>4.171435517791932E-2</v>
      </c>
      <c r="AG55" s="62" t="str">
        <f ca="1">IF(AG$3,INDIRECT(AG$5&amp;$I55),"")</f>
        <v/>
      </c>
      <c r="AH55" s="62">
        <f ca="1">IF(AH$3,INDIRECT(AH$5&amp;$I55),"")</f>
        <v>2.6178451156022298E-2</v>
      </c>
      <c r="AI55" s="62">
        <f ca="1">IF(AI$3,INDIRECT(AI$5&amp;$I55),"")</f>
        <v>1.7246334692000643E-2</v>
      </c>
      <c r="AJ55" s="62">
        <f ca="1">IF(AJ$3,INDIRECT(AJ$5&amp;$I55),"")</f>
        <v>2.9061345471347404E-2</v>
      </c>
      <c r="AK55" s="62">
        <f ca="1">IF(AK$3,INDIRECT(AK$5&amp;$I55),"")</f>
        <v>1.5030780126109592E-2</v>
      </c>
      <c r="AL55" s="62">
        <f ca="1">IF(AL$3,INDIRECT(AL$5&amp;$I55),"")</f>
        <v>2.933401407412161E-2</v>
      </c>
      <c r="AM55" s="62">
        <f ca="1">IF(AM$3,INDIRECT(AM$5&amp;$I55),"")</f>
        <v>4.2768078372020228E-2</v>
      </c>
      <c r="AN55" s="62">
        <f ca="1">IF(AN$3,INDIRECT(AN$5&amp;$I55),"")</f>
        <v>4.9832068211084192E-2</v>
      </c>
      <c r="AO55" s="62">
        <f ca="1">IF(AO$3,INDIRECT(AO$5&amp;$I55),"")</f>
        <v>5.9367826293475333E-2</v>
      </c>
      <c r="AP55" s="62">
        <f ca="1">IF(AP$3,INDIRECT(AP$5&amp;$I55),"")</f>
        <v>3.08687494057296E-2</v>
      </c>
      <c r="AQ55" s="62">
        <f ca="1">IF(AQ$3,INDIRECT(AQ$5&amp;$I55),"")</f>
        <v>3.375868971820252E-2</v>
      </c>
      <c r="AR55" s="62">
        <f ca="1">IF(AR$3,INDIRECT(AR$5&amp;$I55),"")</f>
        <v>3.8801169388239881E-2</v>
      </c>
      <c r="AS55" s="62">
        <f ca="1">IF(AS$3,INDIRECT(AS$5&amp;$I55),"")</f>
        <v>3.3180505947641326E-2</v>
      </c>
      <c r="AT55" s="62">
        <f ca="1">IF(AT$3,INDIRECT(AT$5&amp;$I55),"")</f>
        <v>4.0296894533709569E-2</v>
      </c>
      <c r="AU55" s="62">
        <f ca="1">IF(AU$3,INDIRECT(AU$5&amp;$I55),"")</f>
        <v>3.7498518877131008E-2</v>
      </c>
      <c r="AV55" s="62">
        <f ca="1">IF(AV$3,INDIRECT(AV$5&amp;$I55),"")</f>
        <v>5.1729113691257586E-2</v>
      </c>
      <c r="AW55" s="62">
        <f ca="1">IF(AW$3,INDIRECT(AW$5&amp;$I55),"")</f>
        <v>2.438629185579945E-2</v>
      </c>
    </row>
    <row r="56" spans="1:49">
      <c r="A56" s="78"/>
      <c r="B56" s="58" t="str">
        <f t="shared" ref="B56:B60" si="25">B53</f>
        <v>G</v>
      </c>
      <c r="C56" s="79"/>
      <c r="D56" s="62">
        <f t="shared" ca="1" si="21"/>
        <v>1</v>
      </c>
      <c r="E56" s="62">
        <f t="shared" ca="1" si="22"/>
        <v>0</v>
      </c>
      <c r="F56" s="62">
        <f t="shared" ca="1" si="23"/>
        <v>1</v>
      </c>
      <c r="G56" s="62">
        <f t="shared" ca="1" si="24"/>
        <v>1</v>
      </c>
      <c r="H56" s="59"/>
      <c r="I56" s="58" t="s">
        <v>82</v>
      </c>
      <c r="J56" s="62">
        <f ca="1">IF(J$3,INDIRECT(J$5&amp;$I56),"")</f>
        <v>1</v>
      </c>
      <c r="K56" s="62">
        <f ca="1">IF(K$3,INDIRECT(K$5&amp;$I56),"")</f>
        <v>1</v>
      </c>
      <c r="L56" s="62">
        <f ca="1">IF(L$3,INDIRECT(L$5&amp;$I56),"")</f>
        <v>1</v>
      </c>
      <c r="M56" s="62" t="str">
        <f ca="1">IF(M$3,INDIRECT(M$5&amp;$I56),"")</f>
        <v/>
      </c>
      <c r="N56" s="62">
        <f ca="1">IF(N$3,INDIRECT(N$5&amp;$I56),"")</f>
        <v>1</v>
      </c>
      <c r="O56" s="62">
        <f ca="1">IF(O$3,INDIRECT(O$5&amp;$I56),"")</f>
        <v>1</v>
      </c>
      <c r="P56" s="62">
        <f ca="1">IF(P$3,INDIRECT(P$5&amp;$I56),"")</f>
        <v>1</v>
      </c>
      <c r="Q56" s="62">
        <f ca="1">IF(Q$3,INDIRECT(Q$5&amp;$I56),"")</f>
        <v>1</v>
      </c>
      <c r="R56" s="62">
        <f ca="1">IF(R$3,INDIRECT(R$5&amp;$I56),"")</f>
        <v>1</v>
      </c>
      <c r="S56" s="62">
        <f ca="1">IF(S$3,INDIRECT(S$5&amp;$I56),"")</f>
        <v>1</v>
      </c>
      <c r="T56" s="62">
        <f ca="1">IF(T$3,INDIRECT(T$5&amp;$I56),"")</f>
        <v>1</v>
      </c>
      <c r="U56" s="62">
        <f ca="1">IF(U$3,INDIRECT(U$5&amp;$I56),"")</f>
        <v>1</v>
      </c>
      <c r="V56" s="62">
        <f ca="1">IF(V$3,INDIRECT(V$5&amp;$I56),"")</f>
        <v>1</v>
      </c>
      <c r="W56" s="62">
        <f ca="1">IF(W$3,INDIRECT(W$5&amp;$I56),"")</f>
        <v>1</v>
      </c>
      <c r="X56" s="62">
        <f ca="1">IF(X$3,INDIRECT(X$5&amp;$I56),"")</f>
        <v>1</v>
      </c>
      <c r="Y56" s="62">
        <f ca="1">IF(Y$3,INDIRECT(Y$5&amp;$I56),"")</f>
        <v>1</v>
      </c>
      <c r="Z56" s="62" t="str">
        <f ca="1">IF(Z$3,INDIRECT(Z$5&amp;$I56),"")</f>
        <v/>
      </c>
      <c r="AA56" s="62">
        <f ca="1">IF(AA$3,INDIRECT(AA$5&amp;$I56),"")</f>
        <v>1</v>
      </c>
      <c r="AB56" s="62" t="str">
        <f ca="1">IF(AB$3,INDIRECT(AB$5&amp;$I56),"")</f>
        <v/>
      </c>
      <c r="AC56" s="62">
        <f ca="1">IF(AC$3,INDIRECT(AC$5&amp;$I56),"")</f>
        <v>1</v>
      </c>
      <c r="AD56" s="62" t="str">
        <f ca="1">IF(AD$3,INDIRECT(AD$5&amp;$I56),"")</f>
        <v/>
      </c>
      <c r="AE56" s="62">
        <f ca="1">IF(AE$3,INDIRECT(AE$5&amp;$I56),"")</f>
        <v>1</v>
      </c>
      <c r="AF56" s="62">
        <f ca="1">IF(AF$3,INDIRECT(AF$5&amp;$I56),"")</f>
        <v>1</v>
      </c>
      <c r="AG56" s="62" t="str">
        <f ca="1">IF(AG$3,INDIRECT(AG$5&amp;$I56),"")</f>
        <v/>
      </c>
      <c r="AH56" s="62">
        <f ca="1">IF(AH$3,INDIRECT(AH$5&amp;$I56),"")</f>
        <v>1</v>
      </c>
      <c r="AI56" s="62">
        <f ca="1">IF(AI$3,INDIRECT(AI$5&amp;$I56),"")</f>
        <v>1</v>
      </c>
      <c r="AJ56" s="62">
        <f ca="1">IF(AJ$3,INDIRECT(AJ$5&amp;$I56),"")</f>
        <v>1</v>
      </c>
      <c r="AK56" s="62">
        <f ca="1">IF(AK$3,INDIRECT(AK$5&amp;$I56),"")</f>
        <v>1</v>
      </c>
      <c r="AL56" s="62">
        <f ca="1">IF(AL$3,INDIRECT(AL$5&amp;$I56),"")</f>
        <v>1</v>
      </c>
      <c r="AM56" s="62">
        <f ca="1">IF(AM$3,INDIRECT(AM$5&amp;$I56),"")</f>
        <v>1</v>
      </c>
      <c r="AN56" s="62">
        <f ca="1">IF(AN$3,INDIRECT(AN$5&amp;$I56),"")</f>
        <v>1</v>
      </c>
      <c r="AO56" s="62">
        <f ca="1">IF(AO$3,INDIRECT(AO$5&amp;$I56),"")</f>
        <v>1</v>
      </c>
      <c r="AP56" s="62">
        <f ca="1">IF(AP$3,INDIRECT(AP$5&amp;$I56),"")</f>
        <v>1</v>
      </c>
      <c r="AQ56" s="62">
        <f ca="1">IF(AQ$3,INDIRECT(AQ$5&amp;$I56),"")</f>
        <v>1</v>
      </c>
      <c r="AR56" s="62">
        <f ca="1">IF(AR$3,INDIRECT(AR$5&amp;$I56),"")</f>
        <v>1</v>
      </c>
      <c r="AS56" s="62">
        <f ca="1">IF(AS$3,INDIRECT(AS$5&amp;$I56),"")</f>
        <v>1</v>
      </c>
      <c r="AT56" s="62">
        <f ca="1">IF(AT$3,INDIRECT(AT$5&amp;$I56),"")</f>
        <v>1</v>
      </c>
      <c r="AU56" s="62">
        <f ca="1">IF(AU$3,INDIRECT(AU$5&amp;$I56),"")</f>
        <v>1</v>
      </c>
      <c r="AV56" s="62">
        <f ca="1">IF(AV$3,INDIRECT(AV$5&amp;$I56),"")</f>
        <v>1</v>
      </c>
      <c r="AW56" s="62">
        <f ca="1">IF(AW$3,INDIRECT(AW$5&amp;$I56),"")</f>
        <v>1</v>
      </c>
    </row>
    <row r="57" spans="1:49">
      <c r="A57" s="78"/>
      <c r="B57" s="58" t="str">
        <f t="shared" si="25"/>
        <v>B</v>
      </c>
      <c r="C57" s="79"/>
      <c r="D57" s="62">
        <f t="shared" ca="1" si="21"/>
        <v>-6.3084707514000221E-2</v>
      </c>
      <c r="E57" s="62">
        <f t="shared" ca="1" si="22"/>
        <v>7.7797299831298572E-2</v>
      </c>
      <c r="F57" s="62">
        <f t="shared" ca="1" si="23"/>
        <v>-0.16164031329335288</v>
      </c>
      <c r="G57" s="62">
        <f t="shared" ca="1" si="24"/>
        <v>0.15059794914325125</v>
      </c>
      <c r="H57" s="59">
        <f t="shared" ref="H57:H64" ca="1" si="26">(G57-F57)/E57</f>
        <v>4.0134845696918111</v>
      </c>
      <c r="I57" s="58" t="s">
        <v>83</v>
      </c>
      <c r="J57" s="62">
        <f ca="1">IF(J$3,INDIRECT(J$5&amp;$I57),"")</f>
        <v>5.7888769122961786E-2</v>
      </c>
      <c r="K57" s="62">
        <f ca="1">IF(K$3,INDIRECT(K$5&amp;$I57),"")</f>
        <v>-0.10315809889916924</v>
      </c>
      <c r="L57" s="62">
        <f ca="1">IF(L$3,INDIRECT(L$5&amp;$I57),"")</f>
        <v>-5.8175703151919361E-2</v>
      </c>
      <c r="M57" s="62" t="str">
        <f ca="1">IF(M$3,INDIRECT(M$5&amp;$I57),"")</f>
        <v/>
      </c>
      <c r="N57" s="62">
        <f ca="1">IF(N$3,INDIRECT(N$5&amp;$I57),"")</f>
        <v>-7.9462946789830874E-2</v>
      </c>
      <c r="O57" s="62">
        <f ca="1">IF(O$3,INDIRECT(O$5&amp;$I57),"")</f>
        <v>-0.16164031329335288</v>
      </c>
      <c r="P57" s="62">
        <f ca="1">IF(P$3,INDIRECT(P$5&amp;$I57),"")</f>
        <v>-0.14213078480509375</v>
      </c>
      <c r="Q57" s="62">
        <f ca="1">IF(Q$3,INDIRECT(Q$5&amp;$I57),"")</f>
        <v>-4.3650158012852561E-2</v>
      </c>
      <c r="R57" s="62">
        <f ca="1">IF(R$3,INDIRECT(R$5&amp;$I57),"")</f>
        <v>-0.13223936428639907</v>
      </c>
      <c r="S57" s="62">
        <f ca="1">IF(S$3,INDIRECT(S$5&amp;$I57),"")</f>
        <v>2.513457594130732E-2</v>
      </c>
      <c r="T57" s="62">
        <f ca="1">IF(T$3,INDIRECT(T$5&amp;$I57),"")</f>
        <v>4.9788415595570089E-2</v>
      </c>
      <c r="U57" s="62">
        <f ca="1">IF(U$3,INDIRECT(U$5&amp;$I57),"")</f>
        <v>7.0022657954528833E-2</v>
      </c>
      <c r="V57" s="62">
        <f ca="1">IF(V$3,INDIRECT(V$5&amp;$I57),"")</f>
        <v>9.7895901921648792E-2</v>
      </c>
      <c r="W57" s="62">
        <f ca="1">IF(W$3,INDIRECT(W$5&amp;$I57),"")</f>
        <v>1.1868472107256632E-2</v>
      </c>
      <c r="X57" s="62">
        <f ca="1">IF(X$3,INDIRECT(X$5&amp;$I57),"")</f>
        <v>0.15059794914325125</v>
      </c>
      <c r="Y57" s="62">
        <f ca="1">IF(Y$3,INDIRECT(Y$5&amp;$I57),"")</f>
        <v>-0.12545258256617539</v>
      </c>
      <c r="Z57" s="62" t="str">
        <f ca="1">IF(Z$3,INDIRECT(Z$5&amp;$I57),"")</f>
        <v/>
      </c>
      <c r="AA57" s="62">
        <f ca="1">IF(AA$3,INDIRECT(AA$5&amp;$I57),"")</f>
        <v>-0.15623329155733534</v>
      </c>
      <c r="AB57" s="62" t="str">
        <f ca="1">IF(AB$3,INDIRECT(AB$5&amp;$I57),"")</f>
        <v/>
      </c>
      <c r="AC57" s="62">
        <f ca="1">IF(AC$3,INDIRECT(AC$5&amp;$I57),"")</f>
        <v>-3.9596993606050422E-2</v>
      </c>
      <c r="AD57" s="62" t="str">
        <f ca="1">IF(AD$3,INDIRECT(AD$5&amp;$I57),"")</f>
        <v/>
      </c>
      <c r="AE57" s="62">
        <f ca="1">IF(AE$3,INDIRECT(AE$5&amp;$I57),"")</f>
        <v>-8.286477193588436E-2</v>
      </c>
      <c r="AF57" s="62">
        <f ca="1">IF(AF$3,INDIRECT(AF$5&amp;$I57),"")</f>
        <v>-0.12377598413648237</v>
      </c>
      <c r="AG57" s="62" t="str">
        <f ca="1">IF(AG$3,INDIRECT(AG$5&amp;$I57),"")</f>
        <v/>
      </c>
      <c r="AH57" s="62">
        <f ca="1">IF(AH$3,INDIRECT(AH$5&amp;$I57),"")</f>
        <v>-0.1035784076174973</v>
      </c>
      <c r="AI57" s="62">
        <f ca="1">IF(AI$3,INDIRECT(AI$5&amp;$I57),"")</f>
        <v>-7.324090273518849E-2</v>
      </c>
      <c r="AJ57" s="62">
        <f ca="1">IF(AJ$3,INDIRECT(AJ$5&amp;$I57),"")</f>
        <v>-8.154118470176254E-2</v>
      </c>
      <c r="AK57" s="62">
        <f ca="1">IF(AK$3,INDIRECT(AK$5&amp;$I57),"")</f>
        <v>-0.15513138495350712</v>
      </c>
      <c r="AL57" s="62">
        <f ca="1">IF(AL$3,INDIRECT(AL$5&amp;$I57),"")</f>
        <v>-2.927682644189002E-2</v>
      </c>
      <c r="AM57" s="62">
        <f ca="1">IF(AM$3,INDIRECT(AM$5&amp;$I57),"")</f>
        <v>-0.10933609746880867</v>
      </c>
      <c r="AN57" s="62">
        <f ca="1">IF(AN$3,INDIRECT(AN$5&amp;$I57),"")</f>
        <v>-0.11750541775402815</v>
      </c>
      <c r="AO57" s="62">
        <f ca="1">IF(AO$3,INDIRECT(AO$5&amp;$I57),"")</f>
        <v>-0.14303928665847537</v>
      </c>
      <c r="AP57" s="62">
        <f ca="1">IF(AP$3,INDIRECT(AP$5&amp;$I57),"")</f>
        <v>-5.2446810896731214E-2</v>
      </c>
      <c r="AQ57" s="62">
        <f ca="1">IF(AQ$3,INDIRECT(AQ$5&amp;$I57),"")</f>
        <v>-7.6269478092216847E-2</v>
      </c>
      <c r="AR57" s="62">
        <f ca="1">IF(AR$3,INDIRECT(AR$5&amp;$I57),"")</f>
        <v>-4.6395962980140072E-2</v>
      </c>
      <c r="AS57" s="62">
        <f ca="1">IF(AS$3,INDIRECT(AS$5&amp;$I57),"")</f>
        <v>-5.6434699978326876E-2</v>
      </c>
      <c r="AT57" s="62">
        <f ca="1">IF(AT$3,INDIRECT(AT$5&amp;$I57),"")</f>
        <v>-0.12817944886051047</v>
      </c>
      <c r="AU57" s="62">
        <f ca="1">IF(AU$3,INDIRECT(AU$5&amp;$I57),"")</f>
        <v>-7.2985530045780178E-2</v>
      </c>
      <c r="AV57" s="62">
        <f ca="1">IF(AV$3,INDIRECT(AV$5&amp;$I57),"")</f>
        <v>-0.14371222778929224</v>
      </c>
      <c r="AW57" s="62">
        <f ca="1">IF(AW$3,INDIRECT(AW$5&amp;$I57),"")</f>
        <v>-3.3706844761831369E-2</v>
      </c>
    </row>
    <row r="58" spans="1:49">
      <c r="A58" s="78"/>
      <c r="B58" s="58" t="str">
        <f>B55</f>
        <v>R</v>
      </c>
      <c r="C58" s="79" t="s">
        <v>5</v>
      </c>
      <c r="D58" s="62">
        <f t="shared" ca="1" si="21"/>
        <v>-0.51943506648050186</v>
      </c>
      <c r="E58" s="62">
        <f t="shared" ca="1" si="22"/>
        <v>4.0844828988940568E-2</v>
      </c>
      <c r="F58" s="62">
        <f t="shared" ca="1" si="23"/>
        <v>-0.6092592735565332</v>
      </c>
      <c r="G58" s="62">
        <f t="shared" ca="1" si="24"/>
        <v>-0.42191842323676115</v>
      </c>
      <c r="H58" s="59">
        <f t="shared" ca="1" si="26"/>
        <v>4.5866479296681044</v>
      </c>
      <c r="I58" s="58" t="s">
        <v>84</v>
      </c>
      <c r="J58" s="62">
        <f ca="1">IF(J$3,INDIRECT(J$5&amp;$I58),"")</f>
        <v>-0.6092592735565332</v>
      </c>
      <c r="K58" s="62">
        <f ca="1">IF(K$3,INDIRECT(K$5&amp;$I58),"")</f>
        <v>-0.49731887749987191</v>
      </c>
      <c r="L58" s="62">
        <f ca="1">IF(L$3,INDIRECT(L$5&amp;$I58),"")</f>
        <v>-0.51994471471540804</v>
      </c>
      <c r="M58" s="62" t="str">
        <f ca="1">IF(M$3,INDIRECT(M$5&amp;$I58),"")</f>
        <v/>
      </c>
      <c r="N58" s="62">
        <f ca="1">IF(N$3,INDIRECT(N$5&amp;$I58),"")</f>
        <v>-0.55631888228401327</v>
      </c>
      <c r="O58" s="62">
        <f ca="1">IF(O$3,INDIRECT(O$5&amp;$I58),"")</f>
        <v>-0.46887439877907072</v>
      </c>
      <c r="P58" s="62">
        <f ca="1">IF(P$3,INDIRECT(P$5&amp;$I58),"")</f>
        <v>-0.42191842323676115</v>
      </c>
      <c r="Q58" s="62">
        <f ca="1">IF(Q$3,INDIRECT(Q$5&amp;$I58),"")</f>
        <v>-0.52886697268063221</v>
      </c>
      <c r="R58" s="62">
        <f ca="1">IF(R$3,INDIRECT(R$5&amp;$I58),"")</f>
        <v>-0.50790559270519009</v>
      </c>
      <c r="S58" s="62">
        <f ca="1">IF(S$3,INDIRECT(S$5&amp;$I58),"")</f>
        <v>-0.55116363085148501</v>
      </c>
      <c r="T58" s="62">
        <f ca="1">IF(T$3,INDIRECT(T$5&amp;$I58),"")</f>
        <v>-0.58563910973280653</v>
      </c>
      <c r="U58" s="62">
        <f ca="1">IF(U$3,INDIRECT(U$5&amp;$I58),"")</f>
        <v>-0.5071503785959679</v>
      </c>
      <c r="V58" s="62">
        <f ca="1">IF(V$3,INDIRECT(V$5&amp;$I58),"")</f>
        <v>-0.56766917721056009</v>
      </c>
      <c r="W58" s="62">
        <f ca="1">IF(W$3,INDIRECT(W$5&amp;$I58),"")</f>
        <v>-0.53300918489797389</v>
      </c>
      <c r="X58" s="62">
        <f ca="1">IF(X$3,INDIRECT(X$5&amp;$I58),"")</f>
        <v>-0.54216278764743342</v>
      </c>
      <c r="Y58" s="62">
        <f ca="1">IF(Y$3,INDIRECT(Y$5&amp;$I58),"")</f>
        <v>-0.45663468183804129</v>
      </c>
      <c r="Z58" s="62" t="str">
        <f ca="1">IF(Z$3,INDIRECT(Z$5&amp;$I58),"")</f>
        <v/>
      </c>
      <c r="AA58" s="62">
        <f ca="1">IF(AA$3,INDIRECT(AA$5&amp;$I58),"")</f>
        <v>-0.48981480213248935</v>
      </c>
      <c r="AB58" s="62" t="str">
        <f ca="1">IF(AB$3,INDIRECT(AB$5&amp;$I58),"")</f>
        <v/>
      </c>
      <c r="AC58" s="62">
        <f ca="1">IF(AC$3,INDIRECT(AC$5&amp;$I58),"")</f>
        <v>-0.50587234970069805</v>
      </c>
      <c r="AD58" s="62" t="str">
        <f ca="1">IF(AD$3,INDIRECT(AD$5&amp;$I58),"")</f>
        <v/>
      </c>
      <c r="AE58" s="62">
        <f ca="1">IF(AE$3,INDIRECT(AE$5&amp;$I58),"")</f>
        <v>-0.51482079706745243</v>
      </c>
      <c r="AF58" s="62">
        <f ca="1">IF(AF$3,INDIRECT(AF$5&amp;$I58),"")</f>
        <v>-0.52198844565291669</v>
      </c>
      <c r="AG58" s="62" t="str">
        <f ca="1">IF(AG$3,INDIRECT(AG$5&amp;$I58),"")</f>
        <v/>
      </c>
      <c r="AH58" s="62">
        <f ca="1">IF(AH$3,INDIRECT(AH$5&amp;$I58),"")</f>
        <v>-0.53999087662751344</v>
      </c>
      <c r="AI58" s="62">
        <f ca="1">IF(AI$3,INDIRECT(AI$5&amp;$I58),"")</f>
        <v>-0.52186934363722293</v>
      </c>
      <c r="AJ58" s="62">
        <f ca="1">IF(AJ$3,INDIRECT(AJ$5&amp;$I58),"")</f>
        <v>-0.54321566956813983</v>
      </c>
      <c r="AK58" s="62">
        <f ca="1">IF(AK$3,INDIRECT(AK$5&amp;$I58),"")</f>
        <v>-0.4965272136654425</v>
      </c>
      <c r="AL58" s="62">
        <f ca="1">IF(AL$3,INDIRECT(AL$5&amp;$I58),"")</f>
        <v>-0.54222072126794918</v>
      </c>
      <c r="AM58" s="62">
        <f ca="1">IF(AM$3,INDIRECT(AM$5&amp;$I58),"")</f>
        <v>-0.44353488355715914</v>
      </c>
      <c r="AN58" s="62">
        <f ca="1">IF(AN$3,INDIRECT(AN$5&amp;$I58),"")</f>
        <v>-0.5352052008202195</v>
      </c>
      <c r="AO58" s="62">
        <f ca="1">IF(AO$3,INDIRECT(AO$5&amp;$I58),"")</f>
        <v>-0.4385856549181143</v>
      </c>
      <c r="AP58" s="62">
        <f ca="1">IF(AP$3,INDIRECT(AP$5&amp;$I58),"")</f>
        <v>-0.52499392645095633</v>
      </c>
      <c r="AQ58" s="62">
        <f ca="1">IF(AQ$3,INDIRECT(AQ$5&amp;$I58),"")</f>
        <v>-0.51497124955146856</v>
      </c>
      <c r="AR58" s="62">
        <f ca="1">IF(AR$3,INDIRECT(AR$5&amp;$I58),"")</f>
        <v>-0.52491142028596904</v>
      </c>
      <c r="AS58" s="62">
        <f ca="1">IF(AS$3,INDIRECT(AS$5&amp;$I58),"")</f>
        <v>-0.52559690281351235</v>
      </c>
      <c r="AT58" s="62">
        <f ca="1">IF(AT$3,INDIRECT(AT$5&amp;$I58),"")</f>
        <v>-0.49683741888094696</v>
      </c>
      <c r="AU58" s="62">
        <f ca="1">IF(AU$3,INDIRECT(AU$5&amp;$I58),"")</f>
        <v>-0.55157243480455431</v>
      </c>
      <c r="AV58" s="62">
        <f ca="1">IF(AV$3,INDIRECT(AV$5&amp;$I58),"")</f>
        <v>-0.5072011745271191</v>
      </c>
      <c r="AW58" s="62">
        <f ca="1">IF(AW$3,INDIRECT(AW$5&amp;$I58),"")</f>
        <v>-0.58666075465597023</v>
      </c>
    </row>
    <row r="59" spans="1:49">
      <c r="A59" s="78"/>
      <c r="B59" s="58" t="str">
        <f t="shared" si="25"/>
        <v>G</v>
      </c>
      <c r="C59" s="79"/>
      <c r="D59" s="62">
        <f t="shared" ca="1" si="21"/>
        <v>0.36546010169858562</v>
      </c>
      <c r="E59" s="62">
        <f t="shared" ca="1" si="22"/>
        <v>3.5165430300221449E-2</v>
      </c>
      <c r="F59" s="62">
        <f t="shared" ca="1" si="23"/>
        <v>0.27256680916592368</v>
      </c>
      <c r="G59" s="62">
        <f t="shared" ca="1" si="24"/>
        <v>0.42179549845253683</v>
      </c>
      <c r="H59" s="59">
        <f t="shared" ca="1" si="26"/>
        <v>4.243619031889776</v>
      </c>
      <c r="I59" s="58" t="s">
        <v>85</v>
      </c>
      <c r="J59" s="62">
        <f ca="1">IF(J$3,INDIRECT(J$5&amp;$I59),"")</f>
        <v>0.35272014546487224</v>
      </c>
      <c r="K59" s="62">
        <f ca="1">IF(K$3,INDIRECT(K$5&amp;$I59),"")</f>
        <v>0.3556760414990659</v>
      </c>
      <c r="L59" s="62">
        <f ca="1">IF(L$3,INDIRECT(L$5&amp;$I59),"")</f>
        <v>0.36030004369249885</v>
      </c>
      <c r="M59" s="62" t="str">
        <f ca="1">IF(M$3,INDIRECT(M$5&amp;$I59),"")</f>
        <v/>
      </c>
      <c r="N59" s="62">
        <f ca="1">IF(N$3,INDIRECT(N$5&amp;$I59),"")</f>
        <v>0.30740028350439308</v>
      </c>
      <c r="O59" s="62">
        <f ca="1">IF(O$3,INDIRECT(O$5&amp;$I59),"")</f>
        <v>0.36542847991588318</v>
      </c>
      <c r="P59" s="62">
        <f ca="1">IF(P$3,INDIRECT(P$5&amp;$I59),"")</f>
        <v>0.32196766791972298</v>
      </c>
      <c r="Q59" s="62">
        <f ca="1">IF(Q$3,INDIRECT(Q$5&amp;$I59),"")</f>
        <v>0.34249427412935429</v>
      </c>
      <c r="R59" s="62">
        <f ca="1">IF(R$3,INDIRECT(R$5&amp;$I59),"")</f>
        <v>0.39105883866776847</v>
      </c>
      <c r="S59" s="62">
        <f ca="1">IF(S$3,INDIRECT(S$5&amp;$I59),"")</f>
        <v>0.38769466580185014</v>
      </c>
      <c r="T59" s="62">
        <f ca="1">IF(T$3,INDIRECT(T$5&amp;$I59),"")</f>
        <v>0.38065815135164022</v>
      </c>
      <c r="U59" s="62">
        <f ca="1">IF(U$3,INDIRECT(U$5&amp;$I59),"")</f>
        <v>0.36442102066968357</v>
      </c>
      <c r="V59" s="62">
        <f ca="1">IF(V$3,INDIRECT(V$5&amp;$I59),"")</f>
        <v>0.37091791289392256</v>
      </c>
      <c r="W59" s="62">
        <f ca="1">IF(W$3,INDIRECT(W$5&amp;$I59),"")</f>
        <v>0.40448607191828995</v>
      </c>
      <c r="X59" s="62">
        <f ca="1">IF(X$3,INDIRECT(X$5&amp;$I59),"")</f>
        <v>0.31888054984816538</v>
      </c>
      <c r="Y59" s="62">
        <f ca="1">IF(Y$3,INDIRECT(Y$5&amp;$I59),"")</f>
        <v>0.34527359153388554</v>
      </c>
      <c r="Z59" s="62" t="str">
        <f ca="1">IF(Z$3,INDIRECT(Z$5&amp;$I59),"")</f>
        <v/>
      </c>
      <c r="AA59" s="62">
        <f ca="1">IF(AA$3,INDIRECT(AA$5&amp;$I59),"")</f>
        <v>0.39168723017449331</v>
      </c>
      <c r="AB59" s="62" t="str">
        <f ca="1">IF(AB$3,INDIRECT(AB$5&amp;$I59),"")</f>
        <v/>
      </c>
      <c r="AC59" s="62">
        <f ca="1">IF(AC$3,INDIRECT(AC$5&amp;$I59),"")</f>
        <v>0.40029625363002519</v>
      </c>
      <c r="AD59" s="62" t="str">
        <f ca="1">IF(AD$3,INDIRECT(AD$5&amp;$I59),"")</f>
        <v/>
      </c>
      <c r="AE59" s="62">
        <f ca="1">IF(AE$3,INDIRECT(AE$5&amp;$I59),"")</f>
        <v>0.36467613924513709</v>
      </c>
      <c r="AF59" s="62">
        <f ca="1">IF(AF$3,INDIRECT(AF$5&amp;$I59),"")</f>
        <v>0.39657607566559266</v>
      </c>
      <c r="AG59" s="62" t="str">
        <f ca="1">IF(AG$3,INDIRECT(AG$5&amp;$I59),"")</f>
        <v/>
      </c>
      <c r="AH59" s="62">
        <f ca="1">IF(AH$3,INDIRECT(AH$5&amp;$I59),"")</f>
        <v>0.41145185942195478</v>
      </c>
      <c r="AI59" s="62">
        <f ca="1">IF(AI$3,INDIRECT(AI$5&amp;$I59),"")</f>
        <v>0.39810251232623906</v>
      </c>
      <c r="AJ59" s="62">
        <f ca="1">IF(AJ$3,INDIRECT(AJ$5&amp;$I59),"")</f>
        <v>0.41016367086057232</v>
      </c>
      <c r="AK59" s="62">
        <f ca="1">IF(AK$3,INDIRECT(AK$5&amp;$I59),"")</f>
        <v>0.35196561778526619</v>
      </c>
      <c r="AL59" s="62">
        <f ca="1">IF(AL$3,INDIRECT(AL$5&amp;$I59),"")</f>
        <v>0.35597261511646466</v>
      </c>
      <c r="AM59" s="62">
        <f ca="1">IF(AM$3,INDIRECT(AM$5&amp;$I59),"")</f>
        <v>0.27256680916592368</v>
      </c>
      <c r="AN59" s="62">
        <f ca="1">IF(AN$3,INDIRECT(AN$5&amp;$I59),"")</f>
        <v>0.42179549845253683</v>
      </c>
      <c r="AO59" s="62">
        <f ca="1">IF(AO$3,INDIRECT(AO$5&amp;$I59),"")</f>
        <v>0.33143326065602108</v>
      </c>
      <c r="AP59" s="62">
        <f ca="1">IF(AP$3,INDIRECT(AP$5&amp;$I59),"")</f>
        <v>0.3918126781207607</v>
      </c>
      <c r="AQ59" s="62">
        <f ca="1">IF(AQ$3,INDIRECT(AQ$5&amp;$I59),"")</f>
        <v>0.31910879834361838</v>
      </c>
      <c r="AR59" s="62">
        <f ca="1">IF(AR$3,INDIRECT(AR$5&amp;$I59),"")</f>
        <v>0.34061809489007761</v>
      </c>
      <c r="AS59" s="62">
        <f ca="1">IF(AS$3,INDIRECT(AS$5&amp;$I59),"")</f>
        <v>0.3924794404522372</v>
      </c>
      <c r="AT59" s="62">
        <f ca="1">IF(AT$3,INDIRECT(AT$5&amp;$I59),"")</f>
        <v>0.34164173923755753</v>
      </c>
      <c r="AU59" s="62">
        <f ca="1">IF(AU$3,INDIRECT(AU$5&amp;$I59),"")</f>
        <v>0.39904768203057805</v>
      </c>
      <c r="AV59" s="62">
        <f ca="1">IF(AV$3,INDIRECT(AV$5&amp;$I59),"")</f>
        <v>0.40572630898758755</v>
      </c>
      <c r="AW59" s="62">
        <f ca="1">IF(AW$3,INDIRECT(AW$5&amp;$I59),"")</f>
        <v>0.32460353607685533</v>
      </c>
    </row>
    <row r="60" spans="1:49">
      <c r="A60" s="78"/>
      <c r="B60" s="58" t="str">
        <f t="shared" si="25"/>
        <v>B</v>
      </c>
      <c r="C60" s="79"/>
      <c r="D60" s="62">
        <f t="shared" ca="1" si="21"/>
        <v>1.1181244146006941</v>
      </c>
      <c r="E60" s="62">
        <f t="shared" ca="1" si="22"/>
        <v>0.12862200141604621</v>
      </c>
      <c r="F60" s="62">
        <f t="shared" ca="1" si="23"/>
        <v>0.92255031566937895</v>
      </c>
      <c r="G60" s="62">
        <f t="shared" ca="1" si="24"/>
        <v>1.4935795933945257</v>
      </c>
      <c r="H60" s="59">
        <f t="shared" ca="1" si="26"/>
        <v>4.439592538123172</v>
      </c>
      <c r="I60" s="58" t="s">
        <v>86</v>
      </c>
      <c r="J60" s="62">
        <f ca="1">IF(J$3,INDIRECT(J$5&amp;$I60),"")</f>
        <v>1.2071586274828039</v>
      </c>
      <c r="K60" s="62">
        <f ca="1">IF(K$3,INDIRECT(K$5&amp;$I60),"")</f>
        <v>1.0495541481237769</v>
      </c>
      <c r="L60" s="62">
        <f ca="1">IF(L$3,INDIRECT(L$5&amp;$I60),"")</f>
        <v>1.1697324426827864</v>
      </c>
      <c r="M60" s="62" t="str">
        <f ca="1">IF(M$3,INDIRECT(M$5&amp;$I60),"")</f>
        <v/>
      </c>
      <c r="N60" s="62">
        <f ca="1">IF(N$3,INDIRECT(N$5&amp;$I60),"")</f>
        <v>1.1205866889369014</v>
      </c>
      <c r="O60" s="62">
        <f ca="1">IF(O$3,INDIRECT(O$5&amp;$I60),"")</f>
        <v>0.94460497414347089</v>
      </c>
      <c r="P60" s="62">
        <f ca="1">IF(P$3,INDIRECT(P$5&amp;$I60),"")</f>
        <v>1.0160260923248208</v>
      </c>
      <c r="Q60" s="62">
        <f ca="1">IF(Q$3,INDIRECT(Q$5&amp;$I60),"")</f>
        <v>1.1394083866020335</v>
      </c>
      <c r="R60" s="62">
        <f ca="1">IF(R$3,INDIRECT(R$5&amp;$I60),"")</f>
        <v>0.99907899872270256</v>
      </c>
      <c r="S60" s="62">
        <f ca="1">IF(S$3,INDIRECT(S$5&amp;$I60),"")</f>
        <v>1.2636553175942122</v>
      </c>
      <c r="T60" s="62">
        <f ca="1">IF(T$3,INDIRECT(T$5&amp;$I60),"")</f>
        <v>1.3316596583454865</v>
      </c>
      <c r="U60" s="62">
        <f ca="1">IF(U$3,INDIRECT(U$5&amp;$I60),"")</f>
        <v>1.3304052385410516</v>
      </c>
      <c r="V60" s="62">
        <f ca="1">IF(V$3,INDIRECT(V$5&amp;$I60),"")</f>
        <v>1.3558866774558669</v>
      </c>
      <c r="W60" s="62">
        <f ca="1">IF(W$3,INDIRECT(W$5&amp;$I60),"")</f>
        <v>1.2777013027502386</v>
      </c>
      <c r="X60" s="62">
        <f ca="1">IF(X$3,INDIRECT(X$5&amp;$I60),"")</f>
        <v>1.4935795933945257</v>
      </c>
      <c r="Y60" s="62">
        <f ca="1">IF(Y$3,INDIRECT(Y$5&amp;$I60),"")</f>
        <v>1.0316730606134237</v>
      </c>
      <c r="Z60" s="62" t="str">
        <f ca="1">IF(Z$3,INDIRECT(Z$5&amp;$I60),"")</f>
        <v/>
      </c>
      <c r="AA60" s="62">
        <f ca="1">IF(AA$3,INDIRECT(AA$5&amp;$I60),"")</f>
        <v>0.92255031566937895</v>
      </c>
      <c r="AB60" s="62" t="str">
        <f ca="1">IF(AB$3,INDIRECT(AB$5&amp;$I60),"")</f>
        <v/>
      </c>
      <c r="AC60" s="62">
        <f ca="1">IF(AC$3,INDIRECT(AC$5&amp;$I60),"")</f>
        <v>1.0369385263290847</v>
      </c>
      <c r="AD60" s="62" t="str">
        <f ca="1">IF(AD$3,INDIRECT(AD$5&amp;$I60),"")</f>
        <v/>
      </c>
      <c r="AE60" s="62">
        <f ca="1">IF(AE$3,INDIRECT(AE$5&amp;$I60),"")</f>
        <v>1.0949800611663929</v>
      </c>
      <c r="AF60" s="62">
        <f ca="1">IF(AF$3,INDIRECT(AF$5&amp;$I60),"")</f>
        <v>1.0320697300871091</v>
      </c>
      <c r="AG60" s="62" t="str">
        <f ca="1">IF(AG$3,INDIRECT(AG$5&amp;$I60),"")</f>
        <v/>
      </c>
      <c r="AH60" s="62">
        <f ca="1">IF(AH$3,INDIRECT(AH$5&amp;$I60),"")</f>
        <v>1.0364649927313363</v>
      </c>
      <c r="AI60" s="62">
        <f ca="1">IF(AI$3,INDIRECT(AI$5&amp;$I60),"")</f>
        <v>1.093152417960005</v>
      </c>
      <c r="AJ60" s="62">
        <f ca="1">IF(AJ$3,INDIRECT(AJ$5&amp;$I60),"")</f>
        <v>1.0528090058080632</v>
      </c>
      <c r="AK60" s="62">
        <f ca="1">IF(AK$3,INDIRECT(AK$5&amp;$I60),"")</f>
        <v>0.96410204285942569</v>
      </c>
      <c r="AL60" s="62">
        <f ca="1">IF(AL$3,INDIRECT(AL$5&amp;$I60),"")</f>
        <v>1.1631364816086498</v>
      </c>
      <c r="AM60" s="62">
        <f ca="1">IF(AM$3,INDIRECT(AM$5&amp;$I60),"")</f>
        <v>1.1322040379282512</v>
      </c>
      <c r="AN60" s="62">
        <f ca="1">IF(AN$3,INDIRECT(AN$5&amp;$I60),"")</f>
        <v>1.0150315805192851</v>
      </c>
      <c r="AO60" s="62">
        <f ca="1">IF(AO$3,INDIRECT(AO$5&amp;$I60),"")</f>
        <v>1.0042392968139453</v>
      </c>
      <c r="AP60" s="62">
        <f ca="1">IF(AP$3,INDIRECT(AP$5&amp;$I60),"")</f>
        <v>1.1340895381559779</v>
      </c>
      <c r="AQ60" s="62">
        <f ca="1">IF(AQ$3,INDIRECT(AQ$5&amp;$I60),"")</f>
        <v>1.1318091262473464</v>
      </c>
      <c r="AR60" s="62">
        <f ca="1">IF(AR$3,INDIRECT(AR$5&amp;$I60),"")</f>
        <v>1.1655988220622508</v>
      </c>
      <c r="AS60" s="62">
        <f ca="1">IF(AS$3,INDIRECT(AS$5&amp;$I60),"")</f>
        <v>1.1175705666717397</v>
      </c>
      <c r="AT60" s="62">
        <f ca="1">IF(AT$3,INDIRECT(AT$5&amp;$I60),"")</f>
        <v>1.0606215943093882</v>
      </c>
      <c r="AU60" s="62">
        <f ca="1">IF(AU$3,INDIRECT(AU$5&amp;$I60),"")</f>
        <v>1.0848037881480299</v>
      </c>
      <c r="AV60" s="62">
        <f ca="1">IF(AV$3,INDIRECT(AV$5&amp;$I60),"")</f>
        <v>0.96681154680562487</v>
      </c>
      <c r="AW60" s="62">
        <f ca="1">IF(AW$3,INDIRECT(AW$5&amp;$I60),"")</f>
        <v>1.1946598314289052</v>
      </c>
    </row>
    <row r="61" spans="1:49">
      <c r="A61" s="78" t="s">
        <v>67</v>
      </c>
      <c r="B61" s="58" t="s">
        <v>6</v>
      </c>
      <c r="C61" s="79" t="s">
        <v>3</v>
      </c>
      <c r="D61" s="62">
        <f ca="1">AVERAGE(J61:AW61)</f>
        <v>0.24400685457730686</v>
      </c>
      <c r="E61" s="62">
        <f ca="1">STDEV(J61:AW61)</f>
        <v>6.6430764876478213E-2</v>
      </c>
      <c r="F61" s="62">
        <f ca="1">MIN(J61:AW61)</f>
        <v>0.16617939018521821</v>
      </c>
      <c r="G61" s="62">
        <f ca="1">MAX(J61:AW61)</f>
        <v>0.4021049939369013</v>
      </c>
      <c r="H61" s="59">
        <f t="shared" ca="1" si="26"/>
        <v>3.551450960866771</v>
      </c>
      <c r="I61" s="58" t="s">
        <v>68</v>
      </c>
      <c r="J61" s="62">
        <f ca="1">IF(J$3,INDIRECT(J$5&amp;$I61),"")</f>
        <v>0.28001747271101673</v>
      </c>
      <c r="K61" s="62">
        <f ca="1">IF(K$3,INDIRECT(K$5&amp;$I61),"")</f>
        <v>0.23194946701330074</v>
      </c>
      <c r="L61" s="62">
        <f ca="1">IF(L$3,INDIRECT(L$5&amp;$I61),"")</f>
        <v>0.34583340873472701</v>
      </c>
      <c r="M61" s="62" t="str">
        <f ca="1">IF(M$3,INDIRECT(M$5&amp;$I61),"")</f>
        <v/>
      </c>
      <c r="N61" s="62">
        <f ca="1">IF(N$3,INDIRECT(N$5&amp;$I61),"")</f>
        <v>0.20538254966326919</v>
      </c>
      <c r="O61" s="62">
        <f ca="1">IF(O$3,INDIRECT(O$5&amp;$I61),"")</f>
        <v>0.22918412125427476</v>
      </c>
      <c r="P61" s="62">
        <f ca="1">IF(P$3,INDIRECT(P$5&amp;$I61),"")</f>
        <v>0.19175884580938449</v>
      </c>
      <c r="Q61" s="62">
        <f ca="1">IF(Q$3,INDIRECT(Q$5&amp;$I61),"")</f>
        <v>0.21144507509826313</v>
      </c>
      <c r="R61" s="62">
        <f ca="1">IF(R$3,INDIRECT(R$5&amp;$I61),"")</f>
        <v>0.23666490928501432</v>
      </c>
      <c r="S61" s="62">
        <f ca="1">IF(S$3,INDIRECT(S$5&amp;$I61),"")</f>
        <v>0.33595137930009045</v>
      </c>
      <c r="T61" s="62">
        <f ca="1">IF(T$3,INDIRECT(T$5&amp;$I61),"")</f>
        <v>0.35987130807267065</v>
      </c>
      <c r="U61" s="62">
        <f ca="1">IF(U$3,INDIRECT(U$5&amp;$I61),"")</f>
        <v>0.4021049939369013</v>
      </c>
      <c r="V61" s="62">
        <f ca="1">IF(V$3,INDIRECT(V$5&amp;$I61),"")</f>
        <v>0.38628452097278865</v>
      </c>
      <c r="W61" s="62">
        <f ca="1">IF(W$3,INDIRECT(W$5&amp;$I61),"")</f>
        <v>0.37819450186590042</v>
      </c>
      <c r="X61" s="62">
        <f ca="1">IF(X$3,INDIRECT(X$5&amp;$I61),"")</f>
        <v>0.35990232215610596</v>
      </c>
      <c r="Y61" s="62">
        <f ca="1">IF(Y$3,INDIRECT(Y$5&amp;$I61),"")</f>
        <v>0.18567089022240546</v>
      </c>
      <c r="Z61" s="62" t="str">
        <f ca="1">IF(Z$3,INDIRECT(Z$5&amp;$I61),"")</f>
        <v/>
      </c>
      <c r="AA61" s="62">
        <f ca="1">IF(AA$3,INDIRECT(AA$5&amp;$I61),"")</f>
        <v>0.20285582487327511</v>
      </c>
      <c r="AB61" s="62" t="str">
        <f ca="1">IF(AB$3,INDIRECT(AB$5&amp;$I61),"")</f>
        <v/>
      </c>
      <c r="AC61" s="62">
        <f ca="1">IF(AC$3,INDIRECT(AC$5&amp;$I61),"")</f>
        <v>0.17135383626041259</v>
      </c>
      <c r="AD61" s="62" t="str">
        <f ca="1">IF(AD$3,INDIRECT(AD$5&amp;$I61),"")</f>
        <v/>
      </c>
      <c r="AE61" s="62">
        <f ca="1">IF(AE$3,INDIRECT(AE$5&amp;$I61),"")</f>
        <v>0.21903411763807179</v>
      </c>
      <c r="AF61" s="62">
        <f ca="1">IF(AF$3,INDIRECT(AF$5&amp;$I61),"")</f>
        <v>0.21890839272741291</v>
      </c>
      <c r="AG61" s="62" t="str">
        <f ca="1">IF(AG$3,INDIRECT(AG$5&amp;$I61),"")</f>
        <v/>
      </c>
      <c r="AH61" s="62">
        <f ca="1">IF(AH$3,INDIRECT(AH$5&amp;$I61),"")</f>
        <v>0.20112215441239897</v>
      </c>
      <c r="AI61" s="62">
        <f ca="1">IF(AI$3,INDIRECT(AI$5&amp;$I61),"")</f>
        <v>0.19224827451153292</v>
      </c>
      <c r="AJ61" s="62">
        <f ca="1">IF(AJ$3,INDIRECT(AJ$5&amp;$I61),"")</f>
        <v>0.25322823426382052</v>
      </c>
      <c r="AK61" s="62">
        <f ca="1">IF(AK$3,INDIRECT(AK$5&amp;$I61),"")</f>
        <v>0.16617939018521821</v>
      </c>
      <c r="AL61" s="62">
        <f ca="1">IF(AL$3,INDIRECT(AL$5&amp;$I61),"")</f>
        <v>0.21565558151324893</v>
      </c>
      <c r="AM61" s="62">
        <f ca="1">IF(AM$3,INDIRECT(AM$5&amp;$I61),"")</f>
        <v>0.21876855391390718</v>
      </c>
      <c r="AN61" s="62">
        <f ca="1">IF(AN$3,INDIRECT(AN$5&amp;$I61),"")</f>
        <v>0.23099636755956382</v>
      </c>
      <c r="AO61" s="62">
        <f ca="1">IF(AO$3,INDIRECT(AO$5&amp;$I61),"")</f>
        <v>0.20949466417802592</v>
      </c>
      <c r="AP61" s="62">
        <f ca="1">IF(AP$3,INDIRECT(AP$5&amp;$I61),"")</f>
        <v>0.20118687404672472</v>
      </c>
      <c r="AQ61" s="62">
        <f ca="1">IF(AQ$3,INDIRECT(AQ$5&amp;$I61),"")</f>
        <v>0.19927347209188689</v>
      </c>
      <c r="AR61" s="62">
        <f ca="1">IF(AR$3,INDIRECT(AR$5&amp;$I61),"")</f>
        <v>0.20929021515360346</v>
      </c>
      <c r="AS61" s="62">
        <f ca="1">IF(AS$3,INDIRECT(AS$5&amp;$I61),"")</f>
        <v>0.20935325841105612</v>
      </c>
      <c r="AT61" s="62">
        <f ca="1">IF(AT$3,INDIRECT(AT$5&amp;$I61),"")</f>
        <v>0.20470641631415148</v>
      </c>
      <c r="AU61" s="62">
        <f ca="1">IF(AU$3,INDIRECT(AU$5&amp;$I61),"")</f>
        <v>0.22961817357521813</v>
      </c>
      <c r="AV61" s="62">
        <f ca="1">IF(AV$3,INDIRECT(AV$5&amp;$I61),"")</f>
        <v>0.23310448698551187</v>
      </c>
      <c r="AW61" s="62">
        <f ca="1">IF(AW$3,INDIRECT(AW$5&amp;$I61),"")</f>
        <v>0.2136458554945849</v>
      </c>
    </row>
    <row r="62" spans="1:49">
      <c r="A62" s="78"/>
      <c r="B62" s="58" t="s">
        <v>7</v>
      </c>
      <c r="C62" s="79"/>
      <c r="D62" s="62">
        <f t="shared" ref="D62:D69" ca="1" si="27">AVERAGE(J62:AW62)</f>
        <v>1.026227686291536</v>
      </c>
      <c r="E62" s="62">
        <f t="shared" ref="E62:E69" ca="1" si="28">STDEV(J62:AW62)</f>
        <v>7.4876712528955964E-3</v>
      </c>
      <c r="F62" s="62">
        <f t="shared" ref="F62:F69" ca="1" si="29">MIN(J62:AW62)</f>
        <v>1.0150638820327564</v>
      </c>
      <c r="G62" s="62">
        <f t="shared" ref="G62:G69" ca="1" si="30">MAX(J62:AW62)</f>
        <v>1.0416243765471023</v>
      </c>
      <c r="H62" s="59">
        <f t="shared" ca="1" si="26"/>
        <v>3.5472303226553232</v>
      </c>
      <c r="I62" s="58" t="s">
        <v>69</v>
      </c>
      <c r="J62" s="62">
        <f ca="1">IF(J$3,INDIRECT(J$5&amp;$I62),"")</f>
        <v>1.0150638820327564</v>
      </c>
      <c r="K62" s="62">
        <f ca="1">IF(K$3,INDIRECT(K$5&amp;$I62),"")</f>
        <v>1.0236276669997053</v>
      </c>
      <c r="L62" s="62">
        <f ca="1">IF(L$3,INDIRECT(L$5&amp;$I62),"")</f>
        <v>1.0194245504013795</v>
      </c>
      <c r="M62" s="62" t="str">
        <f ca="1">IF(M$3,INDIRECT(M$5&amp;$I62),"")</f>
        <v/>
      </c>
      <c r="N62" s="62">
        <f ca="1">IF(N$3,INDIRECT(N$5&amp;$I62),"")</f>
        <v>1.0416243765471023</v>
      </c>
      <c r="O62" s="62">
        <f ca="1">IF(O$3,INDIRECT(O$5&amp;$I62),"")</f>
        <v>1.0199208497975172</v>
      </c>
      <c r="P62" s="62">
        <f ca="1">IF(P$3,INDIRECT(P$5&amp;$I62),"")</f>
        <v>1.0398732325395288</v>
      </c>
      <c r="Q62" s="62">
        <f ca="1">IF(Q$3,INDIRECT(Q$5&amp;$I62),"")</f>
        <v>1.0331705539741451</v>
      </c>
      <c r="R62" s="62">
        <f ca="1">IF(R$3,INDIRECT(R$5&amp;$I62),"")</f>
        <v>1.0237559179413691</v>
      </c>
      <c r="S62" s="62">
        <f ca="1">IF(S$3,INDIRECT(S$5&amp;$I62),"")</f>
        <v>1.0213844286129274</v>
      </c>
      <c r="T62" s="62">
        <f ca="1">IF(T$3,INDIRECT(T$5&amp;$I62),"")</f>
        <v>1.0258813878751878</v>
      </c>
      <c r="U62" s="62">
        <f ca="1">IF(U$3,INDIRECT(U$5&amp;$I62),"")</f>
        <v>1.0297741191604595</v>
      </c>
      <c r="V62" s="62">
        <f ca="1">IF(V$3,INDIRECT(V$5&amp;$I62),"")</f>
        <v>1.0270889835198334</v>
      </c>
      <c r="W62" s="62">
        <f ca="1">IF(W$3,INDIRECT(W$5&amp;$I62),"")</f>
        <v>1.0212956123584658</v>
      </c>
      <c r="X62" s="62">
        <f ca="1">IF(X$3,INDIRECT(X$5&amp;$I62),"")</f>
        <v>1.0375941796610242</v>
      </c>
      <c r="Y62" s="62">
        <f ca="1">IF(Y$3,INDIRECT(Y$5&amp;$I62),"")</f>
        <v>1.0311371458412222</v>
      </c>
      <c r="Z62" s="62" t="str">
        <f ca="1">IF(Z$3,INDIRECT(Z$5&amp;$I62),"")</f>
        <v/>
      </c>
      <c r="AA62" s="62">
        <f ca="1">IF(AA$3,INDIRECT(AA$5&amp;$I62),"")</f>
        <v>1.0253900058407426</v>
      </c>
      <c r="AB62" s="62" t="str">
        <f ca="1">IF(AB$3,INDIRECT(AB$5&amp;$I62),"")</f>
        <v/>
      </c>
      <c r="AC62" s="62">
        <f ca="1">IF(AC$3,INDIRECT(AC$5&amp;$I62),"")</f>
        <v>1.0173607473469057</v>
      </c>
      <c r="AD62" s="62" t="str">
        <f ca="1">IF(AD$3,INDIRECT(AD$5&amp;$I62),"")</f>
        <v/>
      </c>
      <c r="AE62" s="62">
        <f ca="1">IF(AE$3,INDIRECT(AE$5&amp;$I62),"")</f>
        <v>1.0269920269758948</v>
      </c>
      <c r="AF62" s="62">
        <f ca="1">IF(AF$3,INDIRECT(AF$5&amp;$I62),"")</f>
        <v>1.0196184368087229</v>
      </c>
      <c r="AG62" s="62" t="str">
        <f ca="1">IF(AG$3,INDIRECT(AG$5&amp;$I62),"")</f>
        <v/>
      </c>
      <c r="AH62" s="62">
        <f ca="1">IF(AH$3,INDIRECT(AH$5&amp;$I62),"")</f>
        <v>1.0194299289911624</v>
      </c>
      <c r="AI62" s="62">
        <f ca="1">IF(AI$3,INDIRECT(AI$5&amp;$I62),"")</f>
        <v>1.0169501159797742</v>
      </c>
      <c r="AJ62" s="62">
        <f ca="1">IF(AJ$3,INDIRECT(AJ$5&amp;$I62),"")</f>
        <v>1.0209637059372736</v>
      </c>
      <c r="AK62" s="62">
        <f ca="1">IF(AK$3,INDIRECT(AK$5&amp;$I62),"")</f>
        <v>1.034315598472044</v>
      </c>
      <c r="AL62" s="62">
        <f ca="1">IF(AL$3,INDIRECT(AL$5&amp;$I62),"")</f>
        <v>1.0319612527086206</v>
      </c>
      <c r="AM62" s="62">
        <f ca="1">IF(AM$3,INDIRECT(AM$5&amp;$I62),"")</f>
        <v>1.0274066977267928</v>
      </c>
      <c r="AN62" s="62">
        <f ca="1">IF(AN$3,INDIRECT(AN$5&amp;$I62),"")</f>
        <v>1.0157952277255613</v>
      </c>
      <c r="AO62" s="62">
        <f ca="1">IF(AO$3,INDIRECT(AO$5&amp;$I62),"")</f>
        <v>1.0354617756958167</v>
      </c>
      <c r="AP62" s="62">
        <f ca="1">IF(AP$3,INDIRECT(AP$5&amp;$I62),"")</f>
        <v>1.0196188036961766</v>
      </c>
      <c r="AQ62" s="62">
        <f ca="1">IF(AQ$3,INDIRECT(AQ$5&amp;$I62),"")</f>
        <v>1.0369337660307214</v>
      </c>
      <c r="AR62" s="62">
        <f ca="1">IF(AR$3,INDIRECT(AR$5&amp;$I62),"")</f>
        <v>1.0324346750214057</v>
      </c>
      <c r="AS62" s="62">
        <f ca="1">IF(AS$3,INDIRECT(AS$5&amp;$I62),"")</f>
        <v>1.0219633777310555</v>
      </c>
      <c r="AT62" s="62">
        <f ca="1">IF(AT$3,INDIRECT(AT$5&amp;$I62),"")</f>
        <v>1.0280612236710926</v>
      </c>
      <c r="AU62" s="62">
        <f ca="1">IF(AU$3,INDIRECT(AU$5&amp;$I62),"")</f>
        <v>1.0225374054005063</v>
      </c>
      <c r="AV62" s="62">
        <f ca="1">IF(AV$3,INDIRECT(AV$5&amp;$I62),"")</f>
        <v>1.0174383521290067</v>
      </c>
      <c r="AW62" s="62">
        <f ca="1">IF(AW$3,INDIRECT(AW$5&amp;$I62),"")</f>
        <v>1.0367190090518639</v>
      </c>
    </row>
    <row r="63" spans="1:49">
      <c r="A63" s="78"/>
      <c r="B63" s="58" t="s">
        <v>8</v>
      </c>
      <c r="C63" s="79"/>
      <c r="D63" s="62">
        <f t="shared" ca="1" si="27"/>
        <v>-0.45964153460525259</v>
      </c>
      <c r="E63" s="62">
        <f t="shared" ca="1" si="28"/>
        <v>4.7574663911343962E-2</v>
      </c>
      <c r="F63" s="62">
        <f t="shared" ca="1" si="29"/>
        <v>-0.53645031812508115</v>
      </c>
      <c r="G63" s="62">
        <f t="shared" ca="1" si="30"/>
        <v>-0.33687282107975103</v>
      </c>
      <c r="H63" s="59">
        <f t="shared" ca="1" si="26"/>
        <v>4.1950374555928658</v>
      </c>
      <c r="I63" s="58" t="s">
        <v>70</v>
      </c>
      <c r="J63" s="62">
        <f ca="1">IF(J$3,INDIRECT(J$5&amp;$I63),"")</f>
        <v>-0.53645031812508115</v>
      </c>
      <c r="K63" s="62">
        <f ca="1">IF(K$3,INDIRECT(K$5&amp;$I63),"")</f>
        <v>-0.48287691434555363</v>
      </c>
      <c r="L63" s="62">
        <f ca="1">IF(L$3,INDIRECT(L$5&amp;$I63),"")</f>
        <v>-0.43086789665797448</v>
      </c>
      <c r="M63" s="62" t="str">
        <f ca="1">IF(M$3,INDIRECT(M$5&amp;$I63),"")</f>
        <v/>
      </c>
      <c r="N63" s="62">
        <f ca="1">IF(N$3,INDIRECT(N$5&amp;$I63),"")</f>
        <v>-0.47220756986094997</v>
      </c>
      <c r="O63" s="62">
        <f ca="1">IF(O$3,INDIRECT(O$5&amp;$I63),"")</f>
        <v>-0.50284036500020468</v>
      </c>
      <c r="P63" s="62">
        <f ca="1">IF(P$3,INDIRECT(P$5&amp;$I63),"")</f>
        <v>-0.52766070284145239</v>
      </c>
      <c r="Q63" s="62">
        <f ca="1">IF(Q$3,INDIRECT(Q$5&amp;$I63),"")</f>
        <v>-0.45248522830320842</v>
      </c>
      <c r="R63" s="62">
        <f ca="1">IF(R$3,INDIRECT(R$5&amp;$I63),"")</f>
        <v>-0.50802453313429907</v>
      </c>
      <c r="S63" s="62">
        <f ca="1">IF(S$3,INDIRECT(S$5&amp;$I63),"")</f>
        <v>-0.39959695203191603</v>
      </c>
      <c r="T63" s="62">
        <f ca="1">IF(T$3,INDIRECT(T$5&amp;$I63),"")</f>
        <v>-0.3868079044352688</v>
      </c>
      <c r="U63" s="62">
        <f ca="1">IF(U$3,INDIRECT(U$5&amp;$I63),"")</f>
        <v>-0.401840026524172</v>
      </c>
      <c r="V63" s="62">
        <f ca="1">IF(V$3,INDIRECT(V$5&amp;$I63),"")</f>
        <v>-0.36434662088532493</v>
      </c>
      <c r="W63" s="62">
        <f ca="1">IF(W$3,INDIRECT(W$5&amp;$I63),"")</f>
        <v>-0.41103255471933164</v>
      </c>
      <c r="X63" s="62">
        <f ca="1">IF(X$3,INDIRECT(X$5&amp;$I63),"")</f>
        <v>-0.33687282107975103</v>
      </c>
      <c r="Y63" s="62">
        <f ca="1">IF(Y$3,INDIRECT(Y$5&amp;$I63),"")</f>
        <v>-0.51481673223359514</v>
      </c>
      <c r="Z63" s="62" t="str">
        <f ca="1">IF(Z$3,INDIRECT(Z$5&amp;$I63),"")</f>
        <v/>
      </c>
      <c r="AA63" s="62">
        <f ca="1">IF(AA$3,INDIRECT(AA$5&amp;$I63),"")</f>
        <v>-0.51505816847019603</v>
      </c>
      <c r="AB63" s="62" t="str">
        <f ca="1">IF(AB$3,INDIRECT(AB$5&amp;$I63),"")</f>
        <v/>
      </c>
      <c r="AC63" s="62">
        <f ca="1">IF(AC$3,INDIRECT(AC$5&amp;$I63),"")</f>
        <v>-0.39358752450731505</v>
      </c>
      <c r="AD63" s="62" t="str">
        <f ca="1">IF(AD$3,INDIRECT(AD$5&amp;$I63),"")</f>
        <v/>
      </c>
      <c r="AE63" s="62">
        <f ca="1">IF(AE$3,INDIRECT(AE$5&amp;$I63),"")</f>
        <v>-0.46559877768574004</v>
      </c>
      <c r="AF63" s="62">
        <f ca="1">IF(AF$3,INDIRECT(AF$5&amp;$I63),"")</f>
        <v>-0.49193809956114504</v>
      </c>
      <c r="AG63" s="62" t="str">
        <f ca="1">IF(AG$3,INDIRECT(AG$5&amp;$I63),"")</f>
        <v/>
      </c>
      <c r="AH63" s="62">
        <f ca="1">IF(AH$3,INDIRECT(AH$5&amp;$I63),"")</f>
        <v>-0.467399675935184</v>
      </c>
      <c r="AI63" s="62">
        <f ca="1">IF(AI$3,INDIRECT(AI$5&amp;$I63),"")</f>
        <v>-0.45158797232454256</v>
      </c>
      <c r="AJ63" s="62">
        <f ca="1">IF(AJ$3,INDIRECT(AJ$5&amp;$I63),"")</f>
        <v>-0.47265369752846514</v>
      </c>
      <c r="AK63" s="62">
        <f ca="1">IF(AK$3,INDIRECT(AK$5&amp;$I63),"")</f>
        <v>-0.47532541868988193</v>
      </c>
      <c r="AL63" s="62">
        <f ca="1">IF(AL$3,INDIRECT(AL$5&amp;$I63),"")</f>
        <v>-0.45518127523145624</v>
      </c>
      <c r="AM63" s="62">
        <f ca="1">IF(AM$3,INDIRECT(AM$5&amp;$I63),"")</f>
        <v>-0.48948454726350299</v>
      </c>
      <c r="AN63" s="62">
        <f ca="1">IF(AN$3,INDIRECT(AN$5&amp;$I63),"")</f>
        <v>-0.47218840131317297</v>
      </c>
      <c r="AO63" s="62">
        <f ca="1">IF(AO$3,INDIRECT(AO$5&amp;$I63),"")</f>
        <v>-0.51842061222136748</v>
      </c>
      <c r="AP63" s="62">
        <f ca="1">IF(AP$3,INDIRECT(AP$5&amp;$I63),"")</f>
        <v>-0.43641522693795004</v>
      </c>
      <c r="AQ63" s="62">
        <f ca="1">IF(AQ$3,INDIRECT(AQ$5&amp;$I63),"")</f>
        <v>-0.45113661719670345</v>
      </c>
      <c r="AR63" s="62">
        <f ca="1">IF(AR$3,INDIRECT(AR$5&amp;$I63),"")</f>
        <v>-0.44270931360827215</v>
      </c>
      <c r="AS63" s="62">
        <f ca="1">IF(AS$3,INDIRECT(AS$5&amp;$I63),"")</f>
        <v>-0.44423574013681327</v>
      </c>
      <c r="AT63" s="62">
        <f ca="1">IF(AT$3,INDIRECT(AT$5&amp;$I63),"")</f>
        <v>-0.50419246860243938</v>
      </c>
      <c r="AU63" s="62">
        <f ca="1">IF(AU$3,INDIRECT(AU$5&amp;$I63),"")</f>
        <v>-0.46932981155731435</v>
      </c>
      <c r="AV63" s="62">
        <f ca="1">IF(AV$3,INDIRECT(AV$5&amp;$I63),"")</f>
        <v>-0.5009512884011682</v>
      </c>
      <c r="AW63" s="62">
        <f ca="1">IF(AW$3,INDIRECT(AW$5&amp;$I63),"")</f>
        <v>-0.4413319338331298</v>
      </c>
    </row>
    <row r="64" spans="1:49">
      <c r="A64" s="78"/>
      <c r="B64" s="58" t="str">
        <f>B61</f>
        <v>R</v>
      </c>
      <c r="C64" s="79" t="s">
        <v>4</v>
      </c>
      <c r="D64" s="62">
        <f t="shared" ca="1" si="27"/>
        <v>7.9568679341846166E-2</v>
      </c>
      <c r="E64" s="62">
        <f t="shared" ca="1" si="28"/>
        <v>5.4286383640643997E-2</v>
      </c>
      <c r="F64" s="62">
        <f t="shared" ca="1" si="29"/>
        <v>1.8297533362905474E-2</v>
      </c>
      <c r="G64" s="62">
        <f t="shared" ca="1" si="30"/>
        <v>0.21992447442305299</v>
      </c>
      <c r="H64" s="59">
        <f t="shared" ca="1" si="26"/>
        <v>3.7141346971064437</v>
      </c>
      <c r="I64" s="58" t="s">
        <v>71</v>
      </c>
      <c r="J64" s="62">
        <f ca="1">IF(J$3,INDIRECT(J$5&amp;$I64),"")</f>
        <v>0.12278476840527722</v>
      </c>
      <c r="K64" s="62">
        <f ca="1">IF(K$3,INDIRECT(K$5&amp;$I64),"")</f>
        <v>6.8411844011109668E-2</v>
      </c>
      <c r="L64" s="62">
        <f ca="1">IF(L$3,INDIRECT(L$5&amp;$I64),"")</f>
        <v>0.16121502000457241</v>
      </c>
      <c r="M64" s="62" t="str">
        <f ca="1">IF(M$3,INDIRECT(M$5&amp;$I64),"")</f>
        <v/>
      </c>
      <c r="N64" s="62">
        <f ca="1">IF(N$3,INDIRECT(N$5&amp;$I64),"")</f>
        <v>3.1267390013277205E-2</v>
      </c>
      <c r="O64" s="62">
        <f ca="1">IF(O$3,INDIRECT(O$5&amp;$I64),"")</f>
        <v>7.5405014031203837E-2</v>
      </c>
      <c r="P64" s="62">
        <f ca="1">IF(P$3,INDIRECT(P$5&amp;$I64),"")</f>
        <v>5.6801502669969674E-2</v>
      </c>
      <c r="Q64" s="62">
        <f ca="1">IF(Q$3,INDIRECT(Q$5&amp;$I64),"")</f>
        <v>4.9080247435322459E-2</v>
      </c>
      <c r="R64" s="62">
        <f ca="1">IF(R$3,INDIRECT(R$5&amp;$I64),"")</f>
        <v>7.2589598561886612E-2</v>
      </c>
      <c r="S64" s="62">
        <f ca="1">IF(S$3,INDIRECT(S$5&amp;$I64),"")</f>
        <v>0.15092568135021323</v>
      </c>
      <c r="T64" s="62">
        <f ca="1">IF(T$3,INDIRECT(T$5&amp;$I64),"")</f>
        <v>0.16304501591212492</v>
      </c>
      <c r="U64" s="62">
        <f ca="1">IF(U$3,INDIRECT(U$5&amp;$I64),"")</f>
        <v>0.21992447442305299</v>
      </c>
      <c r="V64" s="62">
        <f ca="1">IF(V$3,INDIRECT(V$5&amp;$I64),"")</f>
        <v>0.18640102742280418</v>
      </c>
      <c r="W64" s="62">
        <f ca="1">IF(W$3,INDIRECT(W$5&amp;$I64),"")</f>
        <v>0.19072564035221079</v>
      </c>
      <c r="X64" s="62">
        <f ca="1">IF(X$3,INDIRECT(X$5&amp;$I64),"")</f>
        <v>0.17541046014190614</v>
      </c>
      <c r="Y64" s="62">
        <f ca="1">IF(Y$3,INDIRECT(Y$5&amp;$I64),"")</f>
        <v>4.3889290618686919E-2</v>
      </c>
      <c r="Z64" s="62" t="str">
        <f ca="1">IF(Z$3,INDIRECT(Z$5&amp;$I64),"")</f>
        <v/>
      </c>
      <c r="AA64" s="62">
        <f ca="1">IF(AA$3,INDIRECT(AA$5&amp;$I64),"")</f>
        <v>5.0328345208429284E-2</v>
      </c>
      <c r="AB64" s="62" t="str">
        <f ca="1">IF(AB$3,INDIRECT(AB$5&amp;$I64),"")</f>
        <v/>
      </c>
      <c r="AC64" s="62">
        <f ca="1">IF(AC$3,INDIRECT(AC$5&amp;$I64),"")</f>
        <v>1.8297533362905474E-2</v>
      </c>
      <c r="AD64" s="62" t="str">
        <f ca="1">IF(AD$3,INDIRECT(AD$5&amp;$I64),"")</f>
        <v/>
      </c>
      <c r="AE64" s="62">
        <f ca="1">IF(AE$3,INDIRECT(AE$5&amp;$I64),"")</f>
        <v>5.8680795386852981E-2</v>
      </c>
      <c r="AF64" s="62">
        <f ca="1">IF(AF$3,INDIRECT(AF$5&amp;$I64),"")</f>
        <v>5.6940539884390927E-2</v>
      </c>
      <c r="AG64" s="62" t="str">
        <f ca="1">IF(AG$3,INDIRECT(AG$5&amp;$I64),"")</f>
        <v/>
      </c>
      <c r="AH64" s="62">
        <f ca="1">IF(AH$3,INDIRECT(AH$5&amp;$I64),"")</f>
        <v>3.945441562784717E-2</v>
      </c>
      <c r="AI64" s="62">
        <f ca="1">IF(AI$3,INDIRECT(AI$5&amp;$I64),"")</f>
        <v>3.3108134366724232E-2</v>
      </c>
      <c r="AJ64" s="62">
        <f ca="1">IF(AJ$3,INDIRECT(AJ$5&amp;$I64),"")</f>
        <v>8.219349593563853E-2</v>
      </c>
      <c r="AK64" s="62">
        <f ca="1">IF(AK$3,INDIRECT(AK$5&amp;$I64),"")</f>
        <v>1.8948327754784985E-2</v>
      </c>
      <c r="AL64" s="62">
        <f ca="1">IF(AL$3,INDIRECT(AL$5&amp;$I64),"")</f>
        <v>5.0297096758812471E-2</v>
      </c>
      <c r="AM64" s="62">
        <f ca="1">IF(AM$3,INDIRECT(AM$5&amp;$I64),"")</f>
        <v>5.9669854188369821E-2</v>
      </c>
      <c r="AN64" s="62">
        <f ca="1">IF(AN$3,INDIRECT(AN$5&amp;$I64),"")</f>
        <v>6.6585652754279481E-2</v>
      </c>
      <c r="AO64" s="62">
        <f ca="1">IF(AO$3,INDIRECT(AO$5&amp;$I64),"")</f>
        <v>7.2077455200420221E-2</v>
      </c>
      <c r="AP64" s="62">
        <f ca="1">IF(AP$3,INDIRECT(AP$5&amp;$I64),"")</f>
        <v>4.3281885604257372E-2</v>
      </c>
      <c r="AQ64" s="62">
        <f ca="1">IF(AQ$3,INDIRECT(AQ$5&amp;$I64),"")</f>
        <v>4.2567712030576597E-2</v>
      </c>
      <c r="AR64" s="62">
        <f ca="1">IF(AR$3,INDIRECT(AR$5&amp;$I64),"")</f>
        <v>4.9463071481661736E-2</v>
      </c>
      <c r="AS64" s="62">
        <f ca="1">IF(AS$3,INDIRECT(AS$5&amp;$I64),"")</f>
        <v>4.7311840685427958E-2</v>
      </c>
      <c r="AT64" s="62">
        <f ca="1">IF(AT$3,INDIRECT(AT$5&amp;$I64),"")</f>
        <v>5.5832216977095762E-2</v>
      </c>
      <c r="AU64" s="62">
        <f ca="1">IF(AU$3,INDIRECT(AU$5&amp;$I64),"")</f>
        <v>5.9772054801329522E-2</v>
      </c>
      <c r="AV64" s="62">
        <f ca="1">IF(AV$3,INDIRECT(AV$5&amp;$I64),"")</f>
        <v>7.2425051056425119E-2</v>
      </c>
      <c r="AW64" s="62">
        <f ca="1">IF(AW$3,INDIRECT(AW$5&amp;$I64),"")</f>
        <v>3.9791322544767083E-2</v>
      </c>
    </row>
    <row r="65" spans="1:49">
      <c r="A65" s="78"/>
      <c r="B65" s="58" t="str">
        <f t="shared" ref="B65:B69" si="31">B62</f>
        <v>G</v>
      </c>
      <c r="C65" s="79"/>
      <c r="D65" s="62">
        <f t="shared" ca="1" si="27"/>
        <v>1</v>
      </c>
      <c r="E65" s="62">
        <f t="shared" ca="1" si="28"/>
        <v>0</v>
      </c>
      <c r="F65" s="62">
        <f t="shared" ca="1" si="29"/>
        <v>1</v>
      </c>
      <c r="G65" s="62">
        <f t="shared" ca="1" si="30"/>
        <v>1</v>
      </c>
      <c r="H65" s="59"/>
      <c r="I65" s="58" t="s">
        <v>72</v>
      </c>
      <c r="J65" s="62">
        <f ca="1">IF(J$3,INDIRECT(J$5&amp;$I65),"")</f>
        <v>1</v>
      </c>
      <c r="K65" s="62">
        <f ca="1">IF(K$3,INDIRECT(K$5&amp;$I65),"")</f>
        <v>1</v>
      </c>
      <c r="L65" s="62">
        <f ca="1">IF(L$3,INDIRECT(L$5&amp;$I65),"")</f>
        <v>1</v>
      </c>
      <c r="M65" s="62" t="str">
        <f ca="1">IF(M$3,INDIRECT(M$5&amp;$I65),"")</f>
        <v/>
      </c>
      <c r="N65" s="62">
        <f ca="1">IF(N$3,INDIRECT(N$5&amp;$I65),"")</f>
        <v>1</v>
      </c>
      <c r="O65" s="62">
        <f ca="1">IF(O$3,INDIRECT(O$5&amp;$I65),"")</f>
        <v>1</v>
      </c>
      <c r="P65" s="62">
        <f ca="1">IF(P$3,INDIRECT(P$5&amp;$I65),"")</f>
        <v>1</v>
      </c>
      <c r="Q65" s="62">
        <f ca="1">IF(Q$3,INDIRECT(Q$5&amp;$I65),"")</f>
        <v>1</v>
      </c>
      <c r="R65" s="62">
        <f ca="1">IF(R$3,INDIRECT(R$5&amp;$I65),"")</f>
        <v>1</v>
      </c>
      <c r="S65" s="62">
        <f ca="1">IF(S$3,INDIRECT(S$5&amp;$I65),"")</f>
        <v>1</v>
      </c>
      <c r="T65" s="62">
        <f ca="1">IF(T$3,INDIRECT(T$5&amp;$I65),"")</f>
        <v>1</v>
      </c>
      <c r="U65" s="62">
        <f ca="1">IF(U$3,INDIRECT(U$5&amp;$I65),"")</f>
        <v>1</v>
      </c>
      <c r="V65" s="62">
        <f ca="1">IF(V$3,INDIRECT(V$5&amp;$I65),"")</f>
        <v>1</v>
      </c>
      <c r="W65" s="62">
        <f ca="1">IF(W$3,INDIRECT(W$5&amp;$I65),"")</f>
        <v>1</v>
      </c>
      <c r="X65" s="62">
        <f ca="1">IF(X$3,INDIRECT(X$5&amp;$I65),"")</f>
        <v>1</v>
      </c>
      <c r="Y65" s="62">
        <f ca="1">IF(Y$3,INDIRECT(Y$5&amp;$I65),"")</f>
        <v>1</v>
      </c>
      <c r="Z65" s="62" t="str">
        <f ca="1">IF(Z$3,INDIRECT(Z$5&amp;$I65),"")</f>
        <v/>
      </c>
      <c r="AA65" s="62">
        <f ca="1">IF(AA$3,INDIRECT(AA$5&amp;$I65),"")</f>
        <v>1</v>
      </c>
      <c r="AB65" s="62" t="str">
        <f ca="1">IF(AB$3,INDIRECT(AB$5&amp;$I65),"")</f>
        <v/>
      </c>
      <c r="AC65" s="62">
        <f ca="1">IF(AC$3,INDIRECT(AC$5&amp;$I65),"")</f>
        <v>1</v>
      </c>
      <c r="AD65" s="62" t="str">
        <f ca="1">IF(AD$3,INDIRECT(AD$5&amp;$I65),"")</f>
        <v/>
      </c>
      <c r="AE65" s="62">
        <f ca="1">IF(AE$3,INDIRECT(AE$5&amp;$I65),"")</f>
        <v>1</v>
      </c>
      <c r="AF65" s="62">
        <f ca="1">IF(AF$3,INDIRECT(AF$5&amp;$I65),"")</f>
        <v>1</v>
      </c>
      <c r="AG65" s="62" t="str">
        <f ca="1">IF(AG$3,INDIRECT(AG$5&amp;$I65),"")</f>
        <v/>
      </c>
      <c r="AH65" s="62">
        <f ca="1">IF(AH$3,INDIRECT(AH$5&amp;$I65),"")</f>
        <v>1</v>
      </c>
      <c r="AI65" s="62">
        <f ca="1">IF(AI$3,INDIRECT(AI$5&amp;$I65),"")</f>
        <v>1</v>
      </c>
      <c r="AJ65" s="62">
        <f ca="1">IF(AJ$3,INDIRECT(AJ$5&amp;$I65),"")</f>
        <v>1</v>
      </c>
      <c r="AK65" s="62">
        <f ca="1">IF(AK$3,INDIRECT(AK$5&amp;$I65),"")</f>
        <v>1</v>
      </c>
      <c r="AL65" s="62">
        <f ca="1">IF(AL$3,INDIRECT(AL$5&amp;$I65),"")</f>
        <v>1</v>
      </c>
      <c r="AM65" s="62">
        <f ca="1">IF(AM$3,INDIRECT(AM$5&amp;$I65),"")</f>
        <v>1</v>
      </c>
      <c r="AN65" s="62">
        <f ca="1">IF(AN$3,INDIRECT(AN$5&amp;$I65),"")</f>
        <v>1</v>
      </c>
      <c r="AO65" s="62">
        <f ca="1">IF(AO$3,INDIRECT(AO$5&amp;$I65),"")</f>
        <v>1</v>
      </c>
      <c r="AP65" s="62">
        <f ca="1">IF(AP$3,INDIRECT(AP$5&amp;$I65),"")</f>
        <v>1</v>
      </c>
      <c r="AQ65" s="62">
        <f ca="1">IF(AQ$3,INDIRECT(AQ$5&amp;$I65),"")</f>
        <v>1</v>
      </c>
      <c r="AR65" s="62">
        <f ca="1">IF(AR$3,INDIRECT(AR$5&amp;$I65),"")</f>
        <v>1</v>
      </c>
      <c r="AS65" s="62">
        <f ca="1">IF(AS$3,INDIRECT(AS$5&amp;$I65),"")</f>
        <v>1</v>
      </c>
      <c r="AT65" s="62">
        <f ca="1">IF(AT$3,INDIRECT(AT$5&amp;$I65),"")</f>
        <v>1</v>
      </c>
      <c r="AU65" s="62">
        <f ca="1">IF(AU$3,INDIRECT(AU$5&amp;$I65),"")</f>
        <v>1</v>
      </c>
      <c r="AV65" s="62">
        <f ca="1">IF(AV$3,INDIRECT(AV$5&amp;$I65),"")</f>
        <v>1</v>
      </c>
      <c r="AW65" s="62">
        <f ca="1">IF(AW$3,INDIRECT(AW$5&amp;$I65),"")</f>
        <v>1</v>
      </c>
    </row>
    <row r="66" spans="1:49">
      <c r="A66" s="78"/>
      <c r="B66" s="58" t="str">
        <f t="shared" si="31"/>
        <v>B</v>
      </c>
      <c r="C66" s="79"/>
      <c r="D66" s="62">
        <f t="shared" ca="1" si="27"/>
        <v>-0.15171536746325426</v>
      </c>
      <c r="E66" s="62">
        <f t="shared" ca="1" si="28"/>
        <v>7.2977526550400407E-2</v>
      </c>
      <c r="F66" s="62">
        <f t="shared" ca="1" si="29"/>
        <v>-0.27249648473235477</v>
      </c>
      <c r="G66" s="62">
        <f t="shared" ca="1" si="30"/>
        <v>4.2099265426889111E-2</v>
      </c>
      <c r="H66" s="59">
        <f t="shared" ref="H66:H73" ca="1" si="32">(G66-F66)/E66</f>
        <v>4.310857945315191</v>
      </c>
      <c r="I66" s="58" t="s">
        <v>73</v>
      </c>
      <c r="J66" s="62">
        <f ca="1">IF(J$3,INDIRECT(J$5&amp;$I66),"")</f>
        <v>-0.27249648473235477</v>
      </c>
      <c r="K66" s="62">
        <f ca="1">IF(K$3,INDIRECT(K$5&amp;$I66),"")</f>
        <v>-0.18878843969436812</v>
      </c>
      <c r="L66" s="62">
        <f ca="1">IF(L$3,INDIRECT(L$5&amp;$I66),"")</f>
        <v>-0.10772295837626993</v>
      </c>
      <c r="M66" s="62" t="str">
        <f ca="1">IF(M$3,INDIRECT(M$5&amp;$I66),"")</f>
        <v/>
      </c>
      <c r="N66" s="62">
        <f ca="1">IF(N$3,INDIRECT(N$5&amp;$I66),"")</f>
        <v>-0.15876595187849069</v>
      </c>
      <c r="O66" s="62">
        <f ca="1">IF(O$3,INDIRECT(O$5&amp;$I66),"")</f>
        <v>-0.23274631561534551</v>
      </c>
      <c r="P66" s="62">
        <f ca="1">IF(P$3,INDIRECT(P$5&amp;$I66),"")</f>
        <v>-0.23816530367456229</v>
      </c>
      <c r="Q66" s="62">
        <f ca="1">IF(Q$3,INDIRECT(Q$5&amp;$I66),"")</f>
        <v>-0.14159509434259632</v>
      </c>
      <c r="R66" s="62">
        <f ca="1">IF(R$3,INDIRECT(R$5&amp;$I66),"")</f>
        <v>-0.2126925021458283</v>
      </c>
      <c r="S66" s="62">
        <f ca="1">IF(S$3,INDIRECT(S$5&amp;$I66),"")</f>
        <v>-5.7969262162521393E-2</v>
      </c>
      <c r="T66" s="62">
        <f ca="1">IF(T$3,INDIRECT(T$5&amp;$I66),"")</f>
        <v>-2.5385122397362771E-2</v>
      </c>
      <c r="U66" s="62">
        <f ca="1">IF(U$3,INDIRECT(U$5&amp;$I66),"")</f>
        <v>-4.9148101424057511E-2</v>
      </c>
      <c r="V66" s="62">
        <f ca="1">IF(V$3,INDIRECT(V$5&amp;$I66),"")</f>
        <v>-1.1510668403804954E-4</v>
      </c>
      <c r="W66" s="62">
        <f ca="1">IF(W$3,INDIRECT(W$5&amp;$I66),"")</f>
        <v>-5.4360449944058468E-2</v>
      </c>
      <c r="X66" s="62">
        <f ca="1">IF(X$3,INDIRECT(X$5&amp;$I66),"")</f>
        <v>4.2099265426889111E-2</v>
      </c>
      <c r="Y66" s="62">
        <f ca="1">IF(Y$3,INDIRECT(Y$5&amp;$I66),"")</f>
        <v>-0.22665966344450045</v>
      </c>
      <c r="Z66" s="62" t="str">
        <f ca="1">IF(Z$3,INDIRECT(Z$5&amp;$I66),"")</f>
        <v/>
      </c>
      <c r="AA66" s="62">
        <f ca="1">IF(AA$3,INDIRECT(AA$5&amp;$I66),"")</f>
        <v>-0.24048713573907207</v>
      </c>
      <c r="AB66" s="62" t="str">
        <f ca="1">IF(AB$3,INDIRECT(AB$5&amp;$I66),"")</f>
        <v/>
      </c>
      <c r="AC66" s="62">
        <f ca="1">IF(AC$3,INDIRECT(AC$5&amp;$I66),"")</f>
        <v>-0.10912120839169906</v>
      </c>
      <c r="AD66" s="62" t="str">
        <f ca="1">IF(AD$3,INDIRECT(AD$5&amp;$I66),"")</f>
        <v/>
      </c>
      <c r="AE66" s="62">
        <f ca="1">IF(AE$3,INDIRECT(AE$5&amp;$I66),"")</f>
        <v>-0.16018104196986011</v>
      </c>
      <c r="AF66" s="62">
        <f ca="1">IF(AF$3,INDIRECT(AF$5&amp;$I66),"")</f>
        <v>-0.19584761239114079</v>
      </c>
      <c r="AG66" s="62" t="str">
        <f ca="1">IF(AG$3,INDIRECT(AG$5&amp;$I66),"")</f>
        <v/>
      </c>
      <c r="AH66" s="62">
        <f ca="1">IF(AH$3,INDIRECT(AH$5&amp;$I66),"")</f>
        <v>-0.17188617066638257</v>
      </c>
      <c r="AI66" s="62">
        <f ca="1">IF(AI$3,INDIRECT(AI$5&amp;$I66),"")</f>
        <v>-0.14973531167234355</v>
      </c>
      <c r="AJ66" s="62">
        <f ca="1">IF(AJ$3,INDIRECT(AJ$5&amp;$I66),"")</f>
        <v>-0.1639794845560866</v>
      </c>
      <c r="AK66" s="62">
        <f ca="1">IF(AK$3,INDIRECT(AK$5&amp;$I66),"")</f>
        <v>-0.19310405638195605</v>
      </c>
      <c r="AL66" s="62">
        <f ca="1">IF(AL$3,INDIRECT(AL$5&amp;$I66),"")</f>
        <v>-0.14069207337661452</v>
      </c>
      <c r="AM66" s="62">
        <f ca="1">IF(AM$3,INDIRECT(AM$5&amp;$I66),"")</f>
        <v>-0.18617639222480142</v>
      </c>
      <c r="AN66" s="62">
        <f ca="1">IF(AN$3,INDIRECT(AN$5&amp;$I66),"")</f>
        <v>-0.17861450749939056</v>
      </c>
      <c r="AO66" s="62">
        <f ca="1">IF(AO$3,INDIRECT(AO$5&amp;$I66),"")</f>
        <v>-0.23875252702539745</v>
      </c>
      <c r="AP66" s="62">
        <f ca="1">IF(AP$3,INDIRECT(AP$5&amp;$I66),"")</f>
        <v>-0.12999888559969683</v>
      </c>
      <c r="AQ66" s="62">
        <f ca="1">IF(AQ$3,INDIRECT(AQ$5&amp;$I66),"")</f>
        <v>-0.14248917357928001</v>
      </c>
      <c r="AR66" s="62">
        <f ca="1">IF(AR$3,INDIRECT(AR$5&amp;$I66),"")</f>
        <v>-0.12847394962948952</v>
      </c>
      <c r="AS66" s="62">
        <f ca="1">IF(AS$3,INDIRECT(AS$5&amp;$I66),"")</f>
        <v>-0.13530784364777879</v>
      </c>
      <c r="AT66" s="62">
        <f ca="1">IF(AT$3,INDIRECT(AT$5&amp;$I66),"")</f>
        <v>-0.21679102440461367</v>
      </c>
      <c r="AU66" s="62">
        <f ca="1">IF(AU$3,INDIRECT(AU$5&amp;$I66),"")</f>
        <v>-0.16326435351259536</v>
      </c>
      <c r="AV66" s="62">
        <f ca="1">IF(AV$3,INDIRECT(AV$5&amp;$I66),"")</f>
        <v>-0.21686981864231911</v>
      </c>
      <c r="AW66" s="62">
        <f ca="1">IF(AW$3,INDIRECT(AW$5&amp;$I66),"")</f>
        <v>-0.12375379921391406</v>
      </c>
    </row>
    <row r="67" spans="1:49">
      <c r="A67" s="78"/>
      <c r="B67" s="58" t="str">
        <f>B64</f>
        <v>R</v>
      </c>
      <c r="C67" s="79" t="s">
        <v>5</v>
      </c>
      <c r="D67" s="62">
        <f t="shared" ca="1" si="27"/>
        <v>-0.50572202242342135</v>
      </c>
      <c r="E67" s="62">
        <f t="shared" ca="1" si="28"/>
        <v>3.6122752435904695E-2</v>
      </c>
      <c r="F67" s="62">
        <f t="shared" ca="1" si="29"/>
        <v>-0.57475562418067738</v>
      </c>
      <c r="G67" s="62">
        <f t="shared" ca="1" si="30"/>
        <v>-0.41089788968898205</v>
      </c>
      <c r="H67" s="59">
        <f t="shared" ca="1" si="32"/>
        <v>4.5361364636440804</v>
      </c>
      <c r="I67" s="58" t="s">
        <v>74</v>
      </c>
      <c r="J67" s="62">
        <f ca="1">IF(J$3,INDIRECT(J$5&amp;$I67),"")</f>
        <v>-0.45544971930679601</v>
      </c>
      <c r="K67" s="62">
        <f ca="1">IF(K$3,INDIRECT(K$5&amp;$I67),"")</f>
        <v>-0.4964692126678244</v>
      </c>
      <c r="L67" s="62">
        <f ca="1">IF(L$3,INDIRECT(L$5&amp;$I67),"")</f>
        <v>-0.51863471208047407</v>
      </c>
      <c r="M67" s="62" t="str">
        <f ca="1">IF(M$3,INDIRECT(M$5&amp;$I67),"")</f>
        <v/>
      </c>
      <c r="N67" s="62">
        <f ca="1">IF(N$3,INDIRECT(N$5&amp;$I67),"")</f>
        <v>-0.54020963210728246</v>
      </c>
      <c r="O67" s="62">
        <f ca="1">IF(O$3,INDIRECT(O$5&amp;$I67),"")</f>
        <v>-0.46102292664250605</v>
      </c>
      <c r="P67" s="62">
        <f ca="1">IF(P$3,INDIRECT(P$5&amp;$I67),"")</f>
        <v>-0.41089788968898205</v>
      </c>
      <c r="Q67" s="62">
        <f ca="1">IF(Q$3,INDIRECT(Q$5&amp;$I67),"")</f>
        <v>-0.51002988601911148</v>
      </c>
      <c r="R67" s="62">
        <f ca="1">IF(R$3,INDIRECT(R$5&amp;$I67),"")</f>
        <v>-0.50823760811235663</v>
      </c>
      <c r="S67" s="62">
        <f ca="1">IF(S$3,INDIRECT(S$5&amp;$I67),"")</f>
        <v>-0.53951446405071424</v>
      </c>
      <c r="T67" s="62">
        <f ca="1">IF(T$3,INDIRECT(T$5&amp;$I67),"")</f>
        <v>-0.57475562418067738</v>
      </c>
      <c r="U67" s="62">
        <f ca="1">IF(U$3,INDIRECT(U$5&amp;$I67),"")</f>
        <v>-0.49460236010581904</v>
      </c>
      <c r="V67" s="62">
        <f ca="1">IF(V$3,INDIRECT(V$5&amp;$I67),"")</f>
        <v>-0.56471866304396634</v>
      </c>
      <c r="W67" s="62">
        <f ca="1">IF(W$3,INDIRECT(W$5&amp;$I67),"")</f>
        <v>-0.52475411329612853</v>
      </c>
      <c r="X67" s="62">
        <f ca="1">IF(X$3,INDIRECT(X$5&amp;$I67),"")</f>
        <v>-0.51895321568933761</v>
      </c>
      <c r="Y67" s="62">
        <f ca="1">IF(Y$3,INDIRECT(Y$5&amp;$I67),"")</f>
        <v>-0.44339039146258086</v>
      </c>
      <c r="Z67" s="62" t="str">
        <f ca="1">IF(Z$3,INDIRECT(Z$5&amp;$I67),"")</f>
        <v/>
      </c>
      <c r="AA67" s="62">
        <f ca="1">IF(AA$3,INDIRECT(AA$5&amp;$I67),"")</f>
        <v>-0.48018269961065502</v>
      </c>
      <c r="AB67" s="62" t="str">
        <f ca="1">IF(AB$3,INDIRECT(AB$5&amp;$I67),"")</f>
        <v/>
      </c>
      <c r="AC67" s="62">
        <f ca="1">IF(AC$3,INDIRECT(AC$5&amp;$I67),"")</f>
        <v>-0.49814081074032518</v>
      </c>
      <c r="AD67" s="62" t="str">
        <f ca="1">IF(AD$3,INDIRECT(AD$5&amp;$I67),"")</f>
        <v/>
      </c>
      <c r="AE67" s="62">
        <f ca="1">IF(AE$3,INDIRECT(AE$5&amp;$I67),"")</f>
        <v>-0.49856869435029771</v>
      </c>
      <c r="AF67" s="62">
        <f ca="1">IF(AF$3,INDIRECT(AF$5&amp;$I67),"")</f>
        <v>-0.5078404636998578</v>
      </c>
      <c r="AG67" s="62" t="str">
        <f ca="1">IF(AG$3,INDIRECT(AG$5&amp;$I67),"")</f>
        <v/>
      </c>
      <c r="AH67" s="62">
        <f ca="1">IF(AH$3,INDIRECT(AH$5&amp;$I67),"")</f>
        <v>-0.52278356379222746</v>
      </c>
      <c r="AI67" s="62">
        <f ca="1">IF(AI$3,INDIRECT(AI$5&amp;$I67),"")</f>
        <v>-0.51699748370889798</v>
      </c>
      <c r="AJ67" s="62">
        <f ca="1">IF(AJ$3,INDIRECT(AJ$5&amp;$I67),"")</f>
        <v>-0.52837190648705468</v>
      </c>
      <c r="AK67" s="62">
        <f ca="1">IF(AK$3,INDIRECT(AK$5&amp;$I67),"")</f>
        <v>-0.48678737557851443</v>
      </c>
      <c r="AL67" s="62">
        <f ca="1">IF(AL$3,INDIRECT(AL$5&amp;$I67),"")</f>
        <v>-0.5277323165880673</v>
      </c>
      <c r="AM67" s="62">
        <f ca="1">IF(AM$3,INDIRECT(AM$5&amp;$I67),"")</f>
        <v>-0.50107228389429326</v>
      </c>
      <c r="AN67" s="62">
        <f ca="1">IF(AN$3,INDIRECT(AN$5&amp;$I67),"")</f>
        <v>-0.52042355738689805</v>
      </c>
      <c r="AO67" s="62">
        <f ca="1">IF(AO$3,INDIRECT(AO$5&amp;$I67),"")</f>
        <v>-0.42310608231632768</v>
      </c>
      <c r="AP67" s="62">
        <f ca="1">IF(AP$3,INDIRECT(AP$5&amp;$I67),"")</f>
        <v>-0.50733733620867638</v>
      </c>
      <c r="AQ67" s="62">
        <f ca="1">IF(AQ$3,INDIRECT(AQ$5&amp;$I67),"")</f>
        <v>-0.50273044286328872</v>
      </c>
      <c r="AR67" s="62">
        <f ca="1">IF(AR$3,INDIRECT(AR$5&amp;$I67),"")</f>
        <v>-0.50704372373264683</v>
      </c>
      <c r="AS67" s="62">
        <f ca="1">IF(AS$3,INDIRECT(AS$5&amp;$I67),"")</f>
        <v>-0.52091012551422455</v>
      </c>
      <c r="AT67" s="62">
        <f ca="1">IF(AT$3,INDIRECT(AT$5&amp;$I67),"")</f>
        <v>-0.4742577302640425</v>
      </c>
      <c r="AU67" s="62">
        <f ca="1">IF(AU$3,INDIRECT(AU$5&amp;$I67),"")</f>
        <v>-0.54285742670350456</v>
      </c>
      <c r="AV67" s="62">
        <f ca="1">IF(AV$3,INDIRECT(AV$5&amp;$I67),"")</f>
        <v>-0.50901502378185981</v>
      </c>
      <c r="AW67" s="62">
        <f ca="1">IF(AW$3,INDIRECT(AW$5&amp;$I67),"")</f>
        <v>-0.56247131914353032</v>
      </c>
    </row>
    <row r="68" spans="1:49">
      <c r="A68" s="78"/>
      <c r="B68" s="58" t="str">
        <f t="shared" si="31"/>
        <v>G</v>
      </c>
      <c r="C68" s="79"/>
      <c r="D68" s="62">
        <f t="shared" ca="1" si="27"/>
        <v>0.37565310889799086</v>
      </c>
      <c r="E68" s="62">
        <f t="shared" ca="1" si="28"/>
        <v>3.0305484489907851E-2</v>
      </c>
      <c r="F68" s="62">
        <f t="shared" ca="1" si="29"/>
        <v>0.29876162235586856</v>
      </c>
      <c r="G68" s="62">
        <f t="shared" ca="1" si="30"/>
        <v>0.42210900808715229</v>
      </c>
      <c r="H68" s="59">
        <f t="shared" ca="1" si="32"/>
        <v>4.0701340964326151</v>
      </c>
      <c r="I68" s="58" t="s">
        <v>75</v>
      </c>
      <c r="J68" s="62">
        <f ca="1">IF(J$3,INDIRECT(J$5&amp;$I68),"")</f>
        <v>0.40954754839289875</v>
      </c>
      <c r="K68" s="62">
        <f ca="1">IF(K$3,INDIRECT(K$5&amp;$I68),"")</f>
        <v>0.36518431368988374</v>
      </c>
      <c r="L68" s="62">
        <f ca="1">IF(L$3,INDIRECT(L$5&amp;$I68),"")</f>
        <v>0.37865956220688124</v>
      </c>
      <c r="M68" s="62" t="str">
        <f ca="1">IF(M$3,INDIRECT(M$5&amp;$I68),"")</f>
        <v/>
      </c>
      <c r="N68" s="62">
        <f ca="1">IF(N$3,INDIRECT(N$5&amp;$I68),"")</f>
        <v>0.29876162235586856</v>
      </c>
      <c r="O68" s="62">
        <f ca="1">IF(O$3,INDIRECT(O$5&amp;$I68),"")</f>
        <v>0.37629000648566069</v>
      </c>
      <c r="P68" s="62">
        <f ca="1">IF(P$3,INDIRECT(P$5&amp;$I68),"")</f>
        <v>0.32523260024272904</v>
      </c>
      <c r="Q68" s="62">
        <f ca="1">IF(Q$3,INDIRECT(Q$5&amp;$I68),"")</f>
        <v>0.35607142464888603</v>
      </c>
      <c r="R68" s="62">
        <f ca="1">IF(R$3,INDIRECT(R$5&amp;$I68),"")</f>
        <v>0.3951561871101153</v>
      </c>
      <c r="S68" s="62">
        <f ca="1">IF(S$3,INDIRECT(S$5&amp;$I68),"")</f>
        <v>0.39714032116331321</v>
      </c>
      <c r="T68" s="62">
        <f ca="1">IF(T$3,INDIRECT(T$5&amp;$I68),"")</f>
        <v>0.38681051870026367</v>
      </c>
      <c r="U68" s="62">
        <f ca="1">IF(U$3,INDIRECT(U$5&amp;$I68),"")</f>
        <v>0.36260313059126498</v>
      </c>
      <c r="V68" s="62">
        <f ca="1">IF(V$3,INDIRECT(V$5&amp;$I68),"")</f>
        <v>0.3773546773057555</v>
      </c>
      <c r="W68" s="62">
        <f ca="1">IF(W$3,INDIRECT(W$5&amp;$I68),"")</f>
        <v>0.39885483674364414</v>
      </c>
      <c r="X68" s="62">
        <f ca="1">IF(X$3,INDIRECT(X$5&amp;$I68),"")</f>
        <v>0.33427410425285964</v>
      </c>
      <c r="Y68" s="62">
        <f ca="1">IF(Y$3,INDIRECT(Y$5&amp;$I68),"")</f>
        <v>0.36008828105140822</v>
      </c>
      <c r="Z68" s="62" t="str">
        <f ca="1">IF(Z$3,INDIRECT(Z$5&amp;$I68),"")</f>
        <v/>
      </c>
      <c r="AA68" s="62">
        <f ca="1">IF(AA$3,INDIRECT(AA$5&amp;$I68),"")</f>
        <v>0.39080816861902978</v>
      </c>
      <c r="AB68" s="62" t="str">
        <f ca="1">IF(AB$3,INDIRECT(AB$5&amp;$I68),"")</f>
        <v/>
      </c>
      <c r="AC68" s="62">
        <f ca="1">IF(AC$3,INDIRECT(AC$5&amp;$I68),"")</f>
        <v>0.41250415155574705</v>
      </c>
      <c r="AD68" s="62" t="str">
        <f ca="1">IF(AD$3,INDIRECT(AD$5&amp;$I68),"")</f>
        <v/>
      </c>
      <c r="AE68" s="62">
        <f ca="1">IF(AE$3,INDIRECT(AE$5&amp;$I68),"")</f>
        <v>0.37527142548320214</v>
      </c>
      <c r="AF68" s="62">
        <f ca="1">IF(AF$3,INDIRECT(AF$5&amp;$I68),"")</f>
        <v>0.40548152424418055</v>
      </c>
      <c r="AG68" s="62" t="str">
        <f ca="1">IF(AG$3,INDIRECT(AG$5&amp;$I68),"")</f>
        <v/>
      </c>
      <c r="AH68" s="62">
        <f ca="1">IF(AH$3,INDIRECT(AH$5&amp;$I68),"")</f>
        <v>0.40925015362573058</v>
      </c>
      <c r="AI68" s="62">
        <f ca="1">IF(AI$3,INDIRECT(AI$5&amp;$I68),"")</f>
        <v>0.41516931401967649</v>
      </c>
      <c r="AJ68" s="62">
        <f ca="1">IF(AJ$3,INDIRECT(AJ$5&amp;$I68),"")</f>
        <v>0.40040882605208955</v>
      </c>
      <c r="AK68" s="62">
        <f ca="1">IF(AK$3,INDIRECT(AK$5&amp;$I68),"")</f>
        <v>0.34611028277357003</v>
      </c>
      <c r="AL68" s="62">
        <f ca="1">IF(AL$3,INDIRECT(AL$5&amp;$I68),"")</f>
        <v>0.36402870756407857</v>
      </c>
      <c r="AM68" s="62">
        <f ca="1">IF(AM$3,INDIRECT(AM$5&amp;$I68),"")</f>
        <v>0.37698301376087362</v>
      </c>
      <c r="AN68" s="62">
        <f ca="1">IF(AN$3,INDIRECT(AN$5&amp;$I68),"")</f>
        <v>0.42210900808715229</v>
      </c>
      <c r="AO68" s="62">
        <f ca="1">IF(AO$3,INDIRECT(AO$5&amp;$I68),"")</f>
        <v>0.33955478356373014</v>
      </c>
      <c r="AP68" s="62">
        <f ca="1">IF(AP$3,INDIRECT(AP$5&amp;$I68),"")</f>
        <v>0.39718097877309833</v>
      </c>
      <c r="AQ68" s="62">
        <f ca="1">IF(AQ$3,INDIRECT(AQ$5&amp;$I68),"")</f>
        <v>0.33191742554851433</v>
      </c>
      <c r="AR68" s="62">
        <f ca="1">IF(AR$3,INDIRECT(AR$5&amp;$I68),"")</f>
        <v>0.34999103643100987</v>
      </c>
      <c r="AS68" s="62">
        <f ca="1">IF(AS$3,INDIRECT(AS$5&amp;$I68),"")</f>
        <v>0.3916244845634404</v>
      </c>
      <c r="AT68" s="62">
        <f ca="1">IF(AT$3,INDIRECT(AT$5&amp;$I68),"")</f>
        <v>0.34977770995770069</v>
      </c>
      <c r="AU68" s="62">
        <f ca="1">IF(AU$3,INDIRECT(AU$5&amp;$I68),"")</f>
        <v>0.39779582354330378</v>
      </c>
      <c r="AV68" s="62">
        <f ca="1">IF(AV$3,INDIRECT(AV$5&amp;$I68),"")</f>
        <v>0.41225157113518363</v>
      </c>
      <c r="AW68" s="62">
        <f ca="1">IF(AW$3,INDIRECT(AW$5&amp;$I68),"")</f>
        <v>0.33761128718693523</v>
      </c>
    </row>
    <row r="69" spans="1:49">
      <c r="A69" s="78"/>
      <c r="B69" s="58" t="str">
        <f t="shared" si="31"/>
        <v>B</v>
      </c>
      <c r="C69" s="79"/>
      <c r="D69" s="62">
        <f t="shared" ca="1" si="27"/>
        <v>1.0295585917451886</v>
      </c>
      <c r="E69" s="62">
        <f t="shared" ca="1" si="28"/>
        <v>0.12779825226544628</v>
      </c>
      <c r="F69" s="62">
        <f t="shared" ca="1" si="29"/>
        <v>0.816542662239509</v>
      </c>
      <c r="G69" s="62">
        <f t="shared" ca="1" si="30"/>
        <v>1.3653161561754001</v>
      </c>
      <c r="H69" s="59">
        <f t="shared" ca="1" si="32"/>
        <v>4.2940610235893413</v>
      </c>
      <c r="I69" s="58" t="s">
        <v>76</v>
      </c>
      <c r="J69" s="62">
        <f ca="1">IF(J$3,INDIRECT(J$5&amp;$I69),"")</f>
        <v>0.816542662239509</v>
      </c>
      <c r="K69" s="62">
        <f ca="1">IF(K$3,INDIRECT(K$5&amp;$I69),"")</f>
        <v>0.97231830654358264</v>
      </c>
      <c r="L69" s="62">
        <f ca="1">IF(L$3,INDIRECT(L$5&amp;$I69),"")</f>
        <v>1.1141640853769119</v>
      </c>
      <c r="M69" s="62" t="str">
        <f ca="1">IF(M$3,INDIRECT(M$5&amp;$I69),"")</f>
        <v/>
      </c>
      <c r="N69" s="62">
        <f ca="1">IF(N$3,INDIRECT(N$5&amp;$I69),"")</f>
        <v>1.0556979350202533</v>
      </c>
      <c r="O69" s="62">
        <f ca="1">IF(O$3,INDIRECT(O$5&amp;$I69),"")</f>
        <v>0.87495504917933031</v>
      </c>
      <c r="P69" s="62">
        <f ca="1">IF(P$3,INDIRECT(P$5&amp;$I69),"")</f>
        <v>0.92397596714024854</v>
      </c>
      <c r="Q69" s="62">
        <f ca="1">IF(Q$3,INDIRECT(Q$5&amp;$I69),"")</f>
        <v>1.0329200594950723</v>
      </c>
      <c r="R69" s="62">
        <f ca="1">IF(R$3,INDIRECT(R$5&amp;$I69),"")</f>
        <v>0.93993093797248517</v>
      </c>
      <c r="S69" s="62">
        <f ca="1">IF(S$3,INDIRECT(S$5&amp;$I69),"")</f>
        <v>1.1848837493426454</v>
      </c>
      <c r="T69" s="62">
        <f ca="1">IF(T$3,INDIRECT(T$5&amp;$I69),"")</f>
        <v>1.267515258963301</v>
      </c>
      <c r="U69" s="62">
        <f ca="1">IF(U$3,INDIRECT(U$5&amp;$I69),"")</f>
        <v>1.238297532414963</v>
      </c>
      <c r="V69" s="62">
        <f ca="1">IF(V$3,INDIRECT(V$5&amp;$I69),"")</f>
        <v>1.280780846230601</v>
      </c>
      <c r="W69" s="62">
        <f ca="1">IF(W$3,INDIRECT(W$5&amp;$I69),"")</f>
        <v>1.2334282462879915</v>
      </c>
      <c r="X69" s="62">
        <f ca="1">IF(X$3,INDIRECT(X$5&amp;$I69),"")</f>
        <v>1.3653161561754001</v>
      </c>
      <c r="Y69" s="62">
        <f ca="1">IF(Y$3,INDIRECT(Y$5&amp;$I69),"")</f>
        <v>0.92114866022381425</v>
      </c>
      <c r="Z69" s="62" t="str">
        <f ca="1">IF(Z$3,INDIRECT(Z$5&amp;$I69),"")</f>
        <v/>
      </c>
      <c r="AA69" s="62">
        <f ca="1">IF(AA$3,INDIRECT(AA$5&amp;$I69),"")</f>
        <v>0.85140509733213809</v>
      </c>
      <c r="AB69" s="62" t="str">
        <f ca="1">IF(AB$3,INDIRECT(AB$5&amp;$I69),"")</f>
        <v/>
      </c>
      <c r="AC69" s="62">
        <f ca="1">IF(AC$3,INDIRECT(AC$5&amp;$I69),"")</f>
        <v>0.96008701230962123</v>
      </c>
      <c r="AD69" s="62" t="str">
        <f ca="1">IF(AD$3,INDIRECT(AD$5&amp;$I69),"")</f>
        <v/>
      </c>
      <c r="AE69" s="62">
        <f ca="1">IF(AE$3,INDIRECT(AE$5&amp;$I69),"")</f>
        <v>1.0078112963543575</v>
      </c>
      <c r="AF69" s="62">
        <f ca="1">IF(AF$3,INDIRECT(AF$5&amp;$I69),"")</f>
        <v>0.95464948860797139</v>
      </c>
      <c r="AG69" s="62" t="str">
        <f ca="1">IF(AG$3,INDIRECT(AG$5&amp;$I69),"")</f>
        <v/>
      </c>
      <c r="AH69" s="62">
        <f ca="1">IF(AH$3,INDIRECT(AH$5&amp;$I69),"")</f>
        <v>0.97284406392558842</v>
      </c>
      <c r="AI69" s="62">
        <f ca="1">IF(AI$3,INDIRECT(AI$5&amp;$I69),"")</f>
        <v>1.0109387933654783</v>
      </c>
      <c r="AJ69" s="62">
        <f ca="1">IF(AJ$3,INDIRECT(AJ$5&amp;$I69),"")</f>
        <v>1.0208827794685229</v>
      </c>
      <c r="AK69" s="62">
        <f ca="1">IF(AK$3,INDIRECT(AK$5&amp;$I69),"")</f>
        <v>0.9316209495086053</v>
      </c>
      <c r="AL69" s="62">
        <f ca="1">IF(AL$3,INDIRECT(AL$5&amp;$I69),"")</f>
        <v>1.0542776979294102</v>
      </c>
      <c r="AM69" s="62">
        <f ca="1">IF(AM$3,INDIRECT(AM$5&amp;$I69),"")</f>
        <v>0.99471445121008106</v>
      </c>
      <c r="AN69" s="62">
        <f ca="1">IF(AN$3,INDIRECT(AN$5&amp;$I69),"")</f>
        <v>0.96041449363878817</v>
      </c>
      <c r="AO69" s="62">
        <f ca="1">IF(AO$3,INDIRECT(AO$5&amp;$I69),"")</f>
        <v>0.9009263352199286</v>
      </c>
      <c r="AP69" s="62">
        <f ca="1">IF(AP$3,INDIRECT(AP$5&amp;$I69),"")</f>
        <v>1.0439065471742166</v>
      </c>
      <c r="AQ69" s="62">
        <f ca="1">IF(AQ$3,INDIRECT(AQ$5&amp;$I69),"")</f>
        <v>1.0515712677921421</v>
      </c>
      <c r="AR69" s="62">
        <f ca="1">IF(AR$3,INDIRECT(AR$5&amp;$I69),"")</f>
        <v>1.0696686050564976</v>
      </c>
      <c r="AS69" s="62">
        <f ca="1">IF(AS$3,INDIRECT(AS$5&amp;$I69),"")</f>
        <v>1.0497088746493153</v>
      </c>
      <c r="AT69" s="62">
        <f ca="1">IF(AT$3,INDIRECT(AT$5&amp;$I69),"")</f>
        <v>0.9613604710211725</v>
      </c>
      <c r="AU69" s="62">
        <f ca="1">IF(AU$3,INDIRECT(AU$5&amp;$I69),"")</f>
        <v>1.0150773908695214</v>
      </c>
      <c r="AV69" s="62">
        <f ca="1">IF(AV$3,INDIRECT(AV$5&amp;$I69),"")</f>
        <v>0.91693879941146617</v>
      </c>
      <c r="AW69" s="62">
        <f ca="1">IF(AW$3,INDIRECT(AW$5&amp;$I69),"")</f>
        <v>1.083870843630667</v>
      </c>
    </row>
    <row r="70" spans="1:49">
      <c r="A70" s="78" t="s">
        <v>77</v>
      </c>
      <c r="B70" s="58" t="s">
        <v>6</v>
      </c>
      <c r="C70" s="79" t="s">
        <v>3</v>
      </c>
      <c r="D70" s="62">
        <f ca="1">AVERAGE(J70:AW70)</f>
        <v>0.22707783587927008</v>
      </c>
      <c r="E70" s="62">
        <f ca="1">STDEV(J70:AW70)</f>
        <v>7.5271131681661455E-2</v>
      </c>
      <c r="F70" s="62">
        <f ca="1">MIN(J70:AW70)</f>
        <v>0.10190014184749903</v>
      </c>
      <c r="G70" s="62">
        <f ca="1">MAX(J70:AW70)</f>
        <v>0.43066895717076858</v>
      </c>
      <c r="H70" s="59">
        <f t="shared" ca="1" si="32"/>
        <v>4.3677942390145912</v>
      </c>
      <c r="I70" s="58" t="s">
        <v>58</v>
      </c>
      <c r="J70" s="62">
        <f ca="1">IF(J$3,INDIRECT(J$5&amp;$I70),"")</f>
        <v>0.22381034113900061</v>
      </c>
      <c r="K70" s="62">
        <f ca="1">IF(K$3,INDIRECT(K$5&amp;$I70),"")</f>
        <v>0.21078303086280201</v>
      </c>
      <c r="L70" s="62">
        <f ca="1">IF(L$3,INDIRECT(L$5&amp;$I70),"")</f>
        <v>0.28029975916490307</v>
      </c>
      <c r="M70" s="62" t="str">
        <f ca="1">IF(M$3,INDIRECT(M$5&amp;$I70),"")</f>
        <v/>
      </c>
      <c r="N70" s="62">
        <f ca="1">IF(N$3,INDIRECT(N$5&amp;$I70),"")</f>
        <v>0.29016700359823416</v>
      </c>
      <c r="O70" s="62">
        <f ca="1">IF(O$3,INDIRECT(O$5&amp;$I70),"")</f>
        <v>0.25409344894330815</v>
      </c>
      <c r="P70" s="62">
        <f ca="1">IF(P$3,INDIRECT(P$5&amp;$I70),"")</f>
        <v>0.17038039052202361</v>
      </c>
      <c r="Q70" s="62">
        <f ca="1">IF(Q$3,INDIRECT(Q$5&amp;$I70),"")</f>
        <v>0.18532406179308161</v>
      </c>
      <c r="R70" s="62">
        <f ca="1">IF(R$3,INDIRECT(R$5&amp;$I70),"")</f>
        <v>0.24601337005990989</v>
      </c>
      <c r="S70" s="62">
        <f ca="1">IF(S$3,INDIRECT(S$5&amp;$I70),"")</f>
        <v>0.32014997439915366</v>
      </c>
      <c r="T70" s="62">
        <f ca="1">IF(T$3,INDIRECT(T$5&amp;$I70),"")</f>
        <v>0.32161737006901009</v>
      </c>
      <c r="U70" s="62">
        <f ca="1">IF(U$3,INDIRECT(U$5&amp;$I70),"")</f>
        <v>0.36395092496402526</v>
      </c>
      <c r="V70" s="62">
        <f ca="1">IF(V$3,INDIRECT(V$5&amp;$I70),"")</f>
        <v>0.38232196499232268</v>
      </c>
      <c r="W70" s="62">
        <f ca="1">IF(W$3,INDIRECT(W$5&amp;$I70),"")</f>
        <v>0.43066895717076858</v>
      </c>
      <c r="X70" s="62">
        <f ca="1">IF(X$3,INDIRECT(X$5&amp;$I70),"")</f>
        <v>0.32457438517588866</v>
      </c>
      <c r="Y70" s="62">
        <f ca="1">IF(Y$3,INDIRECT(Y$5&amp;$I70),"")</f>
        <v>0.20762486297591004</v>
      </c>
      <c r="Z70" s="62" t="str">
        <f ca="1">IF(Z$3,INDIRECT(Z$5&amp;$I70),"")</f>
        <v/>
      </c>
      <c r="AA70" s="62">
        <f ca="1">IF(AA$3,INDIRECT(AA$5&amp;$I70),"")</f>
        <v>0.22209078287945869</v>
      </c>
      <c r="AB70" s="62" t="str">
        <f ca="1">IF(AB$3,INDIRECT(AB$5&amp;$I70),"")</f>
        <v/>
      </c>
      <c r="AC70" s="62">
        <f ca="1">IF(AC$3,INDIRECT(AC$5&amp;$I70),"")</f>
        <v>0.10190014184749903</v>
      </c>
      <c r="AD70" s="62" t="str">
        <f ca="1">IF(AD$3,INDIRECT(AD$5&amp;$I70),"")</f>
        <v/>
      </c>
      <c r="AE70" s="62">
        <f ca="1">IF(AE$3,INDIRECT(AE$5&amp;$I70),"")</f>
        <v>0.26216677443011827</v>
      </c>
      <c r="AF70" s="62">
        <f ca="1">IF(AF$3,INDIRECT(AF$5&amp;$I70),"")</f>
        <v>0.14805862924555382</v>
      </c>
      <c r="AG70" s="62" t="str">
        <f ca="1">IF(AG$3,INDIRECT(AG$5&amp;$I70),"")</f>
        <v/>
      </c>
      <c r="AH70" s="62">
        <f ca="1">IF(AH$3,INDIRECT(AH$5&amp;$I70),"")</f>
        <v>0.16172987070659481</v>
      </c>
      <c r="AI70" s="62">
        <f ca="1">IF(AI$3,INDIRECT(AI$5&amp;$I70),"")</f>
        <v>0.17346615839408222</v>
      </c>
      <c r="AJ70" s="62">
        <f ca="1">IF(AJ$3,INDIRECT(AJ$5&amp;$I70),"")</f>
        <v>0.19165934443634924</v>
      </c>
      <c r="AK70" s="62">
        <f ca="1">IF(AK$3,INDIRECT(AK$5&amp;$I70),"")</f>
        <v>0.16646304692438052</v>
      </c>
      <c r="AL70" s="62">
        <f ca="1">IF(AL$3,INDIRECT(AL$5&amp;$I70),"")</f>
        <v>0.22971402226099213</v>
      </c>
      <c r="AM70" s="62">
        <f ca="1">IF(AM$3,INDIRECT(AM$5&amp;$I70),"")</f>
        <v>0.22761150067959462</v>
      </c>
      <c r="AN70" s="62">
        <f ca="1">IF(AN$3,INDIRECT(AN$5&amp;$I70),"")</f>
        <v>0.235574149340286</v>
      </c>
      <c r="AO70" s="62">
        <f ca="1">IF(AO$3,INDIRECT(AO$5&amp;$I70),"")</f>
        <v>0.2281554817774317</v>
      </c>
      <c r="AP70" s="62">
        <f ca="1">IF(AP$3,INDIRECT(AP$5&amp;$I70),"")</f>
        <v>0.17351972888711067</v>
      </c>
      <c r="AQ70" s="62">
        <f ca="1">IF(AQ$3,INDIRECT(AQ$5&amp;$I70),"")</f>
        <v>0.20403671258237441</v>
      </c>
      <c r="AR70" s="62">
        <f ca="1">IF(AR$3,INDIRECT(AR$5&amp;$I70),"")</f>
        <v>0.1876188692357576</v>
      </c>
      <c r="AS70" s="62">
        <f ca="1">IF(AS$3,INDIRECT(AS$5&amp;$I70),"")</f>
        <v>0.15148571408831168</v>
      </c>
      <c r="AT70" s="62">
        <f ca="1">IF(AT$3,INDIRECT(AT$5&amp;$I70),"")</f>
        <v>0.19558901885527746</v>
      </c>
      <c r="AU70" s="62">
        <f ca="1">IF(AU$3,INDIRECT(AU$5&amp;$I70),"")</f>
        <v>0.13447752999752327</v>
      </c>
      <c r="AV70" s="62">
        <f ca="1">IF(AV$3,INDIRECT(AV$5&amp;$I70),"")</f>
        <v>0.22382399201315709</v>
      </c>
      <c r="AW70" s="62">
        <f ca="1">IF(AW$3,INDIRECT(AW$5&amp;$I70),"")</f>
        <v>0.11680294136225729</v>
      </c>
    </row>
    <row r="71" spans="1:49">
      <c r="A71" s="78"/>
      <c r="B71" s="58" t="s">
        <v>7</v>
      </c>
      <c r="C71" s="79"/>
      <c r="D71" s="62">
        <f t="shared" ref="D71:D78" ca="1" si="33">AVERAGE(J71:AW71)</f>
        <v>1.0684076484734342</v>
      </c>
      <c r="E71" s="62">
        <f t="shared" ref="E71:E78" ca="1" si="34">STDEV(J71:AW71)</f>
        <v>3.9004875879931677E-2</v>
      </c>
      <c r="F71" s="62">
        <f t="shared" ref="F71:F78" ca="1" si="35">MIN(J71:AW71)</f>
        <v>0.98329024237311746</v>
      </c>
      <c r="G71" s="62">
        <f t="shared" ref="G71:G78" ca="1" si="36">MAX(J71:AW71)</f>
        <v>1.1449635830883662</v>
      </c>
      <c r="H71" s="59">
        <f t="shared" ca="1" si="32"/>
        <v>4.1449520622223277</v>
      </c>
      <c r="I71" s="58" t="s">
        <v>59</v>
      </c>
      <c r="J71" s="62">
        <f ca="1">IF(J$3,INDIRECT(J$5&amp;$I71),"")</f>
        <v>0.99424780509019162</v>
      </c>
      <c r="K71" s="62">
        <f ca="1">IF(K$3,INDIRECT(K$5&amp;$I71),"")</f>
        <v>1.1150109353867301</v>
      </c>
      <c r="L71" s="62">
        <f ca="1">IF(L$3,INDIRECT(L$5&amp;$I71),"")</f>
        <v>0.99831237336503043</v>
      </c>
      <c r="M71" s="62" t="str">
        <f ca="1">IF(M$3,INDIRECT(M$5&amp;$I71),"")</f>
        <v/>
      </c>
      <c r="N71" s="62">
        <f ca="1">IF(N$3,INDIRECT(N$5&amp;$I71),"")</f>
        <v>1.0605093390903551</v>
      </c>
      <c r="O71" s="62">
        <f ca="1">IF(O$3,INDIRECT(O$5&amp;$I71),"")</f>
        <v>0.99336027390221826</v>
      </c>
      <c r="P71" s="62">
        <f ca="1">IF(P$3,INDIRECT(P$5&amp;$I71),"")</f>
        <v>1.1122840914702197</v>
      </c>
      <c r="Q71" s="62">
        <f ca="1">IF(Q$3,INDIRECT(Q$5&amp;$I71),"")</f>
        <v>1.0730248206247517</v>
      </c>
      <c r="R71" s="62">
        <f ca="1">IF(R$3,INDIRECT(R$5&amp;$I71),"")</f>
        <v>1.0856682690454063</v>
      </c>
      <c r="S71" s="62">
        <f ca="1">IF(S$3,INDIRECT(S$5&amp;$I71),"")</f>
        <v>1.0969713773784131</v>
      </c>
      <c r="T71" s="62">
        <f ca="1">IF(T$3,INDIRECT(T$5&amp;$I71),"")</f>
        <v>1.0651329273704013</v>
      </c>
      <c r="U71" s="62">
        <f ca="1">IF(U$3,INDIRECT(U$5&amp;$I71),"")</f>
        <v>1.0982005545503943</v>
      </c>
      <c r="V71" s="62">
        <f ca="1">IF(V$3,INDIRECT(V$5&amp;$I71),"")</f>
        <v>1.0807439698477652</v>
      </c>
      <c r="W71" s="62">
        <f ca="1">IF(W$3,INDIRECT(W$5&amp;$I71),"")</f>
        <v>1.0436954800269824</v>
      </c>
      <c r="X71" s="62">
        <f ca="1">IF(X$3,INDIRECT(X$5&amp;$I71),"")</f>
        <v>1.0904263763060755</v>
      </c>
      <c r="Y71" s="62">
        <f ca="1">IF(Y$3,INDIRECT(Y$5&amp;$I71),"")</f>
        <v>1.064457588373565</v>
      </c>
      <c r="Z71" s="62" t="str">
        <f ca="1">IF(Z$3,INDIRECT(Z$5&amp;$I71),"")</f>
        <v/>
      </c>
      <c r="AA71" s="62">
        <f ca="1">IF(AA$3,INDIRECT(AA$5&amp;$I71),"")</f>
        <v>1.0960192855142723</v>
      </c>
      <c r="AB71" s="62" t="str">
        <f ca="1">IF(AB$3,INDIRECT(AB$5&amp;$I71),"")</f>
        <v/>
      </c>
      <c r="AC71" s="62">
        <f ca="1">IF(AC$3,INDIRECT(AC$5&amp;$I71),"")</f>
        <v>1.0112599507393525</v>
      </c>
      <c r="AD71" s="62" t="str">
        <f ca="1">IF(AD$3,INDIRECT(AD$5&amp;$I71),"")</f>
        <v/>
      </c>
      <c r="AE71" s="62">
        <f ca="1">IF(AE$3,INDIRECT(AE$5&amp;$I71),"")</f>
        <v>1.0415317585463788</v>
      </c>
      <c r="AF71" s="62">
        <f ca="1">IF(AF$3,INDIRECT(AF$5&amp;$I71),"")</f>
        <v>1.0336624256965941</v>
      </c>
      <c r="AG71" s="62" t="str">
        <f ca="1">IF(AG$3,INDIRECT(AG$5&amp;$I71),"")</f>
        <v/>
      </c>
      <c r="AH71" s="62">
        <f ca="1">IF(AH$3,INDIRECT(AH$5&amp;$I71),"")</f>
        <v>1.0793816017547857</v>
      </c>
      <c r="AI71" s="62">
        <f ca="1">IF(AI$3,INDIRECT(AI$5&amp;$I71),"")</f>
        <v>1.0919175957096603</v>
      </c>
      <c r="AJ71" s="62">
        <f ca="1">IF(AJ$3,INDIRECT(AJ$5&amp;$I71),"")</f>
        <v>1.0731792717403172</v>
      </c>
      <c r="AK71" s="62">
        <f ca="1">IF(AK$3,INDIRECT(AK$5&amp;$I71),"")</f>
        <v>1.0509088886111146</v>
      </c>
      <c r="AL71" s="62">
        <f ca="1">IF(AL$3,INDIRECT(AL$5&amp;$I71),"")</f>
        <v>1.1066546428536734</v>
      </c>
      <c r="AM71" s="62">
        <f ca="1">IF(AM$3,INDIRECT(AM$5&amp;$I71),"")</f>
        <v>1.0945437216815421</v>
      </c>
      <c r="AN71" s="62">
        <f ca="1">IF(AN$3,INDIRECT(AN$5&amp;$I71),"")</f>
        <v>1.0409139610248122</v>
      </c>
      <c r="AO71" s="62">
        <f ca="1">IF(AO$3,INDIRECT(AO$5&amp;$I71),"")</f>
        <v>1.0301901021748718</v>
      </c>
      <c r="AP71" s="62">
        <f ca="1">IF(AP$3,INDIRECT(AP$5&amp;$I71),"")</f>
        <v>1.0676714651645891</v>
      </c>
      <c r="AQ71" s="62">
        <f ca="1">IF(AQ$3,INDIRECT(AQ$5&amp;$I71),"")</f>
        <v>1.0880997427335433</v>
      </c>
      <c r="AR71" s="62">
        <f ca="1">IF(AR$3,INDIRECT(AR$5&amp;$I71),"")</f>
        <v>1.0898581627141974</v>
      </c>
      <c r="AS71" s="62">
        <f ca="1">IF(AS$3,INDIRECT(AS$5&amp;$I71),"")</f>
        <v>1.104103608457679</v>
      </c>
      <c r="AT71" s="62">
        <f ca="1">IF(AT$3,INDIRECT(AT$5&amp;$I71),"")</f>
        <v>1.1012618044304787</v>
      </c>
      <c r="AU71" s="62">
        <f ca="1">IF(AU$3,INDIRECT(AU$5&amp;$I71),"")</f>
        <v>1.0928096997323473</v>
      </c>
      <c r="AV71" s="62">
        <f ca="1">IF(AV$3,INDIRECT(AV$5&amp;$I71),"")</f>
        <v>0.98329024237311746</v>
      </c>
      <c r="AW71" s="62">
        <f ca="1">IF(AW$3,INDIRECT(AW$5&amp;$I71),"")</f>
        <v>1.1449635830883662</v>
      </c>
    </row>
    <row r="72" spans="1:49">
      <c r="A72" s="78"/>
      <c r="B72" s="58" t="s">
        <v>8</v>
      </c>
      <c r="C72" s="79"/>
      <c r="D72" s="62">
        <f t="shared" ca="1" si="33"/>
        <v>-0.43569944367537633</v>
      </c>
      <c r="E72" s="62">
        <f t="shared" ca="1" si="34"/>
        <v>0.28655552104399912</v>
      </c>
      <c r="F72" s="62">
        <f t="shared" ca="1" si="35"/>
        <v>-0.79959167281728627</v>
      </c>
      <c r="G72" s="62">
        <f t="shared" ca="1" si="36"/>
        <v>0.34688813722061007</v>
      </c>
      <c r="H72" s="59">
        <f t="shared" ca="1" si="32"/>
        <v>4.0008993924142899</v>
      </c>
      <c r="I72" s="58" t="s">
        <v>60</v>
      </c>
      <c r="J72" s="62">
        <f ca="1">IF(J$3,INDIRECT(J$5&amp;$I72),"")</f>
        <v>-0.23150469090031503</v>
      </c>
      <c r="K72" s="62">
        <f ca="1">IF(K$3,INDIRECT(K$5&amp;$I72),"")</f>
        <v>-0.64003688795105262</v>
      </c>
      <c r="L72" s="62">
        <f ca="1">IF(L$3,INDIRECT(L$5&amp;$I72),"")</f>
        <v>-0.11087213040032588</v>
      </c>
      <c r="M72" s="62" t="str">
        <f ca="1">IF(M$3,INDIRECT(M$5&amp;$I72),"")</f>
        <v/>
      </c>
      <c r="N72" s="62">
        <f ca="1">IF(N$3,INDIRECT(N$5&amp;$I72),"")</f>
        <v>-0.68823465205225409</v>
      </c>
      <c r="O72" s="62">
        <f ca="1">IF(O$3,INDIRECT(O$5&amp;$I72),"")</f>
        <v>-0.41726407099632556</v>
      </c>
      <c r="P72" s="62">
        <f ca="1">IF(P$3,INDIRECT(P$5&amp;$I72),"")</f>
        <v>-0.49695062476801072</v>
      </c>
      <c r="Q72" s="62">
        <f ca="1">IF(Q$3,INDIRECT(Q$5&amp;$I72),"")</f>
        <v>-0.62962792078251262</v>
      </c>
      <c r="R72" s="62">
        <f ca="1">IF(R$3,INDIRECT(R$5&amp;$I72),"")</f>
        <v>-0.67632982530039654</v>
      </c>
      <c r="S72" s="62">
        <f ca="1">IF(S$3,INDIRECT(S$5&amp;$I72),"")</f>
        <v>-0.60448619176487672</v>
      </c>
      <c r="T72" s="62">
        <f ca="1">IF(T$3,INDIRECT(T$5&amp;$I72),"")</f>
        <v>-0.37570781695596356</v>
      </c>
      <c r="U72" s="62">
        <f ca="1">IF(U$3,INDIRECT(U$5&amp;$I72),"")</f>
        <v>-0.71880447554552351</v>
      </c>
      <c r="V72" s="62">
        <f ca="1">IF(V$3,INDIRECT(V$5&amp;$I72),"")</f>
        <v>-0.62105531876144027</v>
      </c>
      <c r="W72" s="62">
        <f ca="1">IF(W$3,INDIRECT(W$5&amp;$I72),"")</f>
        <v>-0.57593491617701342</v>
      </c>
      <c r="X72" s="62">
        <f ca="1">IF(X$3,INDIRECT(X$5&amp;$I72),"")</f>
        <v>-0.51130127218848997</v>
      </c>
      <c r="Y72" s="62">
        <f ca="1">IF(Y$3,INDIRECT(Y$5&amp;$I72),"")</f>
        <v>-0.79455511458618078</v>
      </c>
      <c r="Z72" s="62" t="str">
        <f ca="1">IF(Z$3,INDIRECT(Z$5&amp;$I72),"")</f>
        <v/>
      </c>
      <c r="AA72" s="62">
        <f ca="1">IF(AA$3,INDIRECT(AA$5&amp;$I72),"")</f>
        <v>-0.79638783919073775</v>
      </c>
      <c r="AB72" s="62" t="str">
        <f ca="1">IF(AB$3,INDIRECT(AB$5&amp;$I72),"")</f>
        <v/>
      </c>
      <c r="AC72" s="62">
        <f ca="1">IF(AC$3,INDIRECT(AC$5&amp;$I72),"")</f>
        <v>5.6992048280258771E-2</v>
      </c>
      <c r="AD72" s="62" t="str">
        <f ca="1">IF(AD$3,INDIRECT(AD$5&amp;$I72),"")</f>
        <v/>
      </c>
      <c r="AE72" s="62">
        <f ca="1">IF(AE$3,INDIRECT(AE$5&amp;$I72),"")</f>
        <v>-0.57752801622978645</v>
      </c>
      <c r="AF72" s="62">
        <f ca="1">IF(AF$3,INDIRECT(AF$5&amp;$I72),"")</f>
        <v>-0.23914606677845593</v>
      </c>
      <c r="AG72" s="62" t="str">
        <f ca="1">IF(AG$3,INDIRECT(AG$5&amp;$I72),"")</f>
        <v/>
      </c>
      <c r="AH72" s="62">
        <f ca="1">IF(AH$3,INDIRECT(AH$5&amp;$I72),"")</f>
        <v>-0.20528598842633861</v>
      </c>
      <c r="AI72" s="62">
        <f ca="1">IF(AI$3,INDIRECT(AI$5&amp;$I72),"")</f>
        <v>-0.64328672392344854</v>
      </c>
      <c r="AJ72" s="62">
        <f ca="1">IF(AJ$3,INDIRECT(AJ$5&amp;$I72),"")</f>
        <v>-0.7570005914828748</v>
      </c>
      <c r="AK72" s="62">
        <f ca="1">IF(AK$3,INDIRECT(AK$5&amp;$I72),"")</f>
        <v>-0.54138353483041501</v>
      </c>
      <c r="AL72" s="62">
        <f ca="1">IF(AL$3,INDIRECT(AL$5&amp;$I72),"")</f>
        <v>-0.79959167281728627</v>
      </c>
      <c r="AM72" s="62">
        <f ca="1">IF(AM$3,INDIRECT(AM$5&amp;$I72),"")</f>
        <v>-0.24998821821314249</v>
      </c>
      <c r="AN72" s="62">
        <f ca="1">IF(AN$3,INDIRECT(AN$5&amp;$I72),"")</f>
        <v>-0.45548907602395622</v>
      </c>
      <c r="AO72" s="62">
        <f ca="1">IF(AO$3,INDIRECT(AO$5&amp;$I72),"")</f>
        <v>-0.34743064446907129</v>
      </c>
      <c r="AP72" s="62">
        <f ca="1">IF(AP$3,INDIRECT(AP$5&amp;$I72),"")</f>
        <v>-0.29947761781292925</v>
      </c>
      <c r="AQ72" s="62">
        <f ca="1">IF(AQ$3,INDIRECT(AQ$5&amp;$I72),"")</f>
        <v>-0.3863138685162873</v>
      </c>
      <c r="AR72" s="62">
        <f ca="1">IF(AR$3,INDIRECT(AR$5&amp;$I72),"")</f>
        <v>-0.31876411600532562</v>
      </c>
      <c r="AS72" s="62">
        <f ca="1">IF(AS$3,INDIRECT(AS$5&amp;$I72),"")</f>
        <v>8.3618374205744056E-2</v>
      </c>
      <c r="AT72" s="62">
        <f ca="1">IF(AT$3,INDIRECT(AT$5&amp;$I72),"")</f>
        <v>-0.77947430629434411</v>
      </c>
      <c r="AU72" s="62">
        <f ca="1">IF(AU$3,INDIRECT(AU$5&amp;$I72),"")</f>
        <v>9.0684045246912925E-2</v>
      </c>
      <c r="AV72" s="62">
        <f ca="1">IF(AV$3,INDIRECT(AV$5&amp;$I72),"")</f>
        <v>-0.33844894344661725</v>
      </c>
      <c r="AW72" s="62">
        <f ca="1">IF(AW$3,INDIRECT(AW$5&amp;$I72),"")</f>
        <v>0.34688813722061007</v>
      </c>
    </row>
    <row r="73" spans="1:49">
      <c r="A73" s="78"/>
      <c r="B73" s="58" t="str">
        <f>B70</f>
        <v>R</v>
      </c>
      <c r="C73" s="79" t="s">
        <v>4</v>
      </c>
      <c r="D73" s="62">
        <f t="shared" ca="1" si="33"/>
        <v>6.2649794647905502E-2</v>
      </c>
      <c r="E73" s="62">
        <f t="shared" ca="1" si="34"/>
        <v>8.5723796130339244E-2</v>
      </c>
      <c r="F73" s="62">
        <f t="shared" ca="1" si="35"/>
        <v>-0.1244520227764828</v>
      </c>
      <c r="G73" s="62">
        <f t="shared" ca="1" si="36"/>
        <v>0.24083184647470993</v>
      </c>
      <c r="H73" s="59">
        <f t="shared" ca="1" si="32"/>
        <v>4.2611723435088518</v>
      </c>
      <c r="I73" s="58" t="s">
        <v>61</v>
      </c>
      <c r="J73" s="62">
        <f ca="1">IF(J$3,INDIRECT(J$5&amp;$I73),"")</f>
        <v>2.6278588572696902E-2</v>
      </c>
      <c r="K73" s="62">
        <f ca="1">IF(K$3,INDIRECT(K$5&amp;$I73),"")</f>
        <v>7.6083477415476441E-2</v>
      </c>
      <c r="L73" s="62">
        <f ca="1">IF(L$3,INDIRECT(L$5&amp;$I73),"")</f>
        <v>8.6972119918467955E-2</v>
      </c>
      <c r="M73" s="62" t="str">
        <f ca="1">IF(M$3,INDIRECT(M$5&amp;$I73),"")</f>
        <v/>
      </c>
      <c r="N73" s="62">
        <f ca="1">IF(N$3,INDIRECT(N$5&amp;$I73),"")</f>
        <v>0.10629552169773256</v>
      </c>
      <c r="O73" s="62">
        <f ca="1">IF(O$3,INDIRECT(O$5&amp;$I73),"")</f>
        <v>8.2431293670966188E-2</v>
      </c>
      <c r="P73" s="62">
        <f ca="1">IF(P$3,INDIRECT(P$5&amp;$I73),"")</f>
        <v>4.6103066595463156E-2</v>
      </c>
      <c r="Q73" s="62">
        <f ca="1">IF(Q$3,INDIRECT(Q$5&amp;$I73),"")</f>
        <v>7.2401996552473272E-2</v>
      </c>
      <c r="R73" s="62">
        <f ca="1">IF(R$3,INDIRECT(R$5&amp;$I73),"")</f>
        <v>9.9341900508409256E-2</v>
      </c>
      <c r="S73" s="62">
        <f ca="1">IF(S$3,INDIRECT(S$5&amp;$I73),"")</f>
        <v>0.16008919955978729</v>
      </c>
      <c r="T73" s="62">
        <f ca="1">IF(T$3,INDIRECT(T$5&amp;$I73),"")</f>
        <v>0.1415113000302814</v>
      </c>
      <c r="U73" s="62">
        <f ca="1">IF(U$3,INDIRECT(U$5&amp;$I73),"")</f>
        <v>0.22573254943568841</v>
      </c>
      <c r="V73" s="62">
        <f ca="1">IF(V$3,INDIRECT(V$5&amp;$I73),"")</f>
        <v>0.21823718187507288</v>
      </c>
      <c r="W73" s="62">
        <f ca="1">IF(W$3,INDIRECT(W$5&amp;$I73),"")</f>
        <v>0.24083184647470993</v>
      </c>
      <c r="X73" s="62">
        <f ca="1">IF(X$3,INDIRECT(X$5&amp;$I73),"")</f>
        <v>0.17150551281679099</v>
      </c>
      <c r="Y73" s="62">
        <f ca="1">IF(Y$3,INDIRECT(Y$5&amp;$I73),"")</f>
        <v>9.3749267396168595E-2</v>
      </c>
      <c r="Z73" s="62" t="str">
        <f ca="1">IF(Z$3,INDIRECT(Z$5&amp;$I73),"")</f>
        <v/>
      </c>
      <c r="AA73" s="62">
        <f ca="1">IF(AA$3,INDIRECT(AA$5&amp;$I73),"")</f>
        <v>0.10093156851407732</v>
      </c>
      <c r="AB73" s="62" t="str">
        <f ca="1">IF(AB$3,INDIRECT(AB$5&amp;$I73),"")</f>
        <v/>
      </c>
      <c r="AC73" s="62">
        <f ca="1">IF(AC$3,INDIRECT(AC$5&amp;$I73),"")</f>
        <v>-7.7742578685652944E-2</v>
      </c>
      <c r="AD73" s="62" t="str">
        <f ca="1">IF(AD$3,INDIRECT(AD$5&amp;$I73),"")</f>
        <v/>
      </c>
      <c r="AE73" s="62">
        <f ca="1">IF(AE$3,INDIRECT(AE$5&amp;$I73),"")</f>
        <v>8.5384990942773312E-2</v>
      </c>
      <c r="AF73" s="62">
        <f ca="1">IF(AF$3,INDIRECT(AF$5&amp;$I73),"")</f>
        <v>6.5650977947235558E-3</v>
      </c>
      <c r="AG73" s="62" t="str">
        <f ca="1">IF(AG$3,INDIRECT(AG$5&amp;$I73),"")</f>
        <v/>
      </c>
      <c r="AH73" s="62">
        <f ca="1">IF(AH$3,INDIRECT(AH$5&amp;$I73),"")</f>
        <v>-3.4881003339074811E-2</v>
      </c>
      <c r="AI73" s="62">
        <f ca="1">IF(AI$3,INDIRECT(AI$5&amp;$I73),"")</f>
        <v>5.5727825616285115E-2</v>
      </c>
      <c r="AJ73" s="62">
        <f ca="1">IF(AJ$3,INDIRECT(AJ$5&amp;$I73),"")</f>
        <v>7.5526306756168601E-2</v>
      </c>
      <c r="AK73" s="62">
        <f ca="1">IF(AK$3,INDIRECT(AK$5&amp;$I73),"")</f>
        <v>4.0436303760203393E-2</v>
      </c>
      <c r="AL73" s="62">
        <f ca="1">IF(AL$3,INDIRECT(AL$5&amp;$I73),"")</f>
        <v>0.10801443639295556</v>
      </c>
      <c r="AM73" s="62">
        <f ca="1">IF(AM$3,INDIRECT(AM$5&amp;$I73),"")</f>
        <v>-6.1839835303324131E-3</v>
      </c>
      <c r="AN73" s="62">
        <f ca="1">IF(AN$3,INDIRECT(AN$5&amp;$I73),"")</f>
        <v>6.1359520213319044E-2</v>
      </c>
      <c r="AO73" s="62">
        <f ca="1">IF(AO$3,INDIRECT(AO$5&amp;$I73),"")</f>
        <v>5.685266475879959E-2</v>
      </c>
      <c r="AP73" s="62">
        <f ca="1">IF(AP$3,INDIRECT(AP$5&amp;$I73),"")</f>
        <v>4.1140121211196944E-3</v>
      </c>
      <c r="AQ73" s="62">
        <f ca="1">IF(AQ$3,INDIRECT(AQ$5&amp;$I73),"")</f>
        <v>2.6510146179271235E-2</v>
      </c>
      <c r="AR73" s="62">
        <f ca="1">IF(AR$3,INDIRECT(AR$5&amp;$I73),"")</f>
        <v>2.2001726461302013E-2</v>
      </c>
      <c r="AS73" s="62">
        <f ca="1">IF(AS$3,INDIRECT(AS$5&amp;$I73),"")</f>
        <v>-7.3726724898179385E-2</v>
      </c>
      <c r="AT73" s="62">
        <f ca="1">IF(AT$3,INDIRECT(AT$5&amp;$I73),"")</f>
        <v>8.6320972931670237E-2</v>
      </c>
      <c r="AU73" s="62">
        <f ca="1">IF(AU$3,INDIRECT(AU$5&amp;$I73),"")</f>
        <v>-0.11001897228440187</v>
      </c>
      <c r="AV73" s="62">
        <f ca="1">IF(AV$3,INDIRECT(AV$5&amp;$I73),"")</f>
        <v>4.2437703227962982E-2</v>
      </c>
      <c r="AW73" s="62">
        <f ca="1">IF(AW$3,INDIRECT(AW$5&amp;$I73),"")</f>
        <v>-0.1244520227764828</v>
      </c>
    </row>
    <row r="74" spans="1:49">
      <c r="A74" s="78"/>
      <c r="B74" s="58" t="str">
        <f t="shared" ref="B74:B78" si="37">B71</f>
        <v>G</v>
      </c>
      <c r="C74" s="79"/>
      <c r="D74" s="62">
        <f t="shared" ca="1" si="33"/>
        <v>1</v>
      </c>
      <c r="E74" s="62">
        <f t="shared" ca="1" si="34"/>
        <v>0</v>
      </c>
      <c r="F74" s="62">
        <f t="shared" ca="1" si="35"/>
        <v>1</v>
      </c>
      <c r="G74" s="62">
        <f t="shared" ca="1" si="36"/>
        <v>1</v>
      </c>
      <c r="H74" s="59"/>
      <c r="I74" s="58" t="s">
        <v>62</v>
      </c>
      <c r="J74" s="62">
        <f ca="1">IF(J$3,INDIRECT(J$5&amp;$I74),"")</f>
        <v>1</v>
      </c>
      <c r="K74" s="62">
        <f ca="1">IF(K$3,INDIRECT(K$5&amp;$I74),"")</f>
        <v>1</v>
      </c>
      <c r="L74" s="62">
        <f ca="1">IF(L$3,INDIRECT(L$5&amp;$I74),"")</f>
        <v>1</v>
      </c>
      <c r="M74" s="62" t="str">
        <f ca="1">IF(M$3,INDIRECT(M$5&amp;$I74),"")</f>
        <v/>
      </c>
      <c r="N74" s="62">
        <f ca="1">IF(N$3,INDIRECT(N$5&amp;$I74),"")</f>
        <v>1</v>
      </c>
      <c r="O74" s="62">
        <f ca="1">IF(O$3,INDIRECT(O$5&amp;$I74),"")</f>
        <v>1</v>
      </c>
      <c r="P74" s="62">
        <f ca="1">IF(P$3,INDIRECT(P$5&amp;$I74),"")</f>
        <v>1</v>
      </c>
      <c r="Q74" s="62">
        <f ca="1">IF(Q$3,INDIRECT(Q$5&amp;$I74),"")</f>
        <v>1</v>
      </c>
      <c r="R74" s="62">
        <f ca="1">IF(R$3,INDIRECT(R$5&amp;$I74),"")</f>
        <v>1</v>
      </c>
      <c r="S74" s="62">
        <f ca="1">IF(S$3,INDIRECT(S$5&amp;$I74),"")</f>
        <v>1</v>
      </c>
      <c r="T74" s="62">
        <f ca="1">IF(T$3,INDIRECT(T$5&amp;$I74),"")</f>
        <v>1</v>
      </c>
      <c r="U74" s="62">
        <f ca="1">IF(U$3,INDIRECT(U$5&amp;$I74),"")</f>
        <v>1</v>
      </c>
      <c r="V74" s="62">
        <f ca="1">IF(V$3,INDIRECT(V$5&amp;$I74),"")</f>
        <v>1</v>
      </c>
      <c r="W74" s="62">
        <f ca="1">IF(W$3,INDIRECT(W$5&amp;$I74),"")</f>
        <v>1</v>
      </c>
      <c r="X74" s="62">
        <f ca="1">IF(X$3,INDIRECT(X$5&amp;$I74),"")</f>
        <v>1</v>
      </c>
      <c r="Y74" s="62">
        <f ca="1">IF(Y$3,INDIRECT(Y$5&amp;$I74),"")</f>
        <v>1</v>
      </c>
      <c r="Z74" s="62" t="str">
        <f ca="1">IF(Z$3,INDIRECT(Z$5&amp;$I74),"")</f>
        <v/>
      </c>
      <c r="AA74" s="62">
        <f ca="1">IF(AA$3,INDIRECT(AA$5&amp;$I74),"")</f>
        <v>1</v>
      </c>
      <c r="AB74" s="62" t="str">
        <f ca="1">IF(AB$3,INDIRECT(AB$5&amp;$I74),"")</f>
        <v/>
      </c>
      <c r="AC74" s="62">
        <f ca="1">IF(AC$3,INDIRECT(AC$5&amp;$I74),"")</f>
        <v>1</v>
      </c>
      <c r="AD74" s="62" t="str">
        <f ca="1">IF(AD$3,INDIRECT(AD$5&amp;$I74),"")</f>
        <v/>
      </c>
      <c r="AE74" s="62">
        <f ca="1">IF(AE$3,INDIRECT(AE$5&amp;$I74),"")</f>
        <v>1</v>
      </c>
      <c r="AF74" s="62">
        <f ca="1">IF(AF$3,INDIRECT(AF$5&amp;$I74),"")</f>
        <v>1</v>
      </c>
      <c r="AG74" s="62" t="str">
        <f ca="1">IF(AG$3,INDIRECT(AG$5&amp;$I74),"")</f>
        <v/>
      </c>
      <c r="AH74" s="62">
        <f ca="1">IF(AH$3,INDIRECT(AH$5&amp;$I74),"")</f>
        <v>1</v>
      </c>
      <c r="AI74" s="62">
        <f ca="1">IF(AI$3,INDIRECT(AI$5&amp;$I74),"")</f>
        <v>1</v>
      </c>
      <c r="AJ74" s="62">
        <f ca="1">IF(AJ$3,INDIRECT(AJ$5&amp;$I74),"")</f>
        <v>1</v>
      </c>
      <c r="AK74" s="62">
        <f ca="1">IF(AK$3,INDIRECT(AK$5&amp;$I74),"")</f>
        <v>1</v>
      </c>
      <c r="AL74" s="62">
        <f ca="1">IF(AL$3,INDIRECT(AL$5&amp;$I74),"")</f>
        <v>1</v>
      </c>
      <c r="AM74" s="62">
        <f ca="1">IF(AM$3,INDIRECT(AM$5&amp;$I74),"")</f>
        <v>1</v>
      </c>
      <c r="AN74" s="62">
        <f ca="1">IF(AN$3,INDIRECT(AN$5&amp;$I74),"")</f>
        <v>1</v>
      </c>
      <c r="AO74" s="62">
        <f ca="1">IF(AO$3,INDIRECT(AO$5&amp;$I74),"")</f>
        <v>1</v>
      </c>
      <c r="AP74" s="62">
        <f ca="1">IF(AP$3,INDIRECT(AP$5&amp;$I74),"")</f>
        <v>1</v>
      </c>
      <c r="AQ74" s="62">
        <f ca="1">IF(AQ$3,INDIRECT(AQ$5&amp;$I74),"")</f>
        <v>1</v>
      </c>
      <c r="AR74" s="62">
        <f ca="1">IF(AR$3,INDIRECT(AR$5&amp;$I74),"")</f>
        <v>1</v>
      </c>
      <c r="AS74" s="62">
        <f ca="1">IF(AS$3,INDIRECT(AS$5&amp;$I74),"")</f>
        <v>1</v>
      </c>
      <c r="AT74" s="62">
        <f ca="1">IF(AT$3,INDIRECT(AT$5&amp;$I74),"")</f>
        <v>1</v>
      </c>
      <c r="AU74" s="62">
        <f ca="1">IF(AU$3,INDIRECT(AU$5&amp;$I74),"")</f>
        <v>1</v>
      </c>
      <c r="AV74" s="62">
        <f ca="1">IF(AV$3,INDIRECT(AV$5&amp;$I74),"")</f>
        <v>1</v>
      </c>
      <c r="AW74" s="62">
        <f ca="1">IF(AW$3,INDIRECT(AW$5&amp;$I74),"")</f>
        <v>1</v>
      </c>
    </row>
    <row r="75" spans="1:49">
      <c r="A75" s="78"/>
      <c r="B75" s="58" t="str">
        <f t="shared" si="37"/>
        <v>B</v>
      </c>
      <c r="C75" s="79"/>
      <c r="D75" s="62">
        <f t="shared" ca="1" si="33"/>
        <v>-6.3842284288732787E-2</v>
      </c>
      <c r="E75" s="62">
        <f t="shared" ca="1" si="34"/>
        <v>0.34662248114391336</v>
      </c>
      <c r="F75" s="62">
        <f t="shared" ca="1" si="35"/>
        <v>-0.51024640301013235</v>
      </c>
      <c r="G75" s="62">
        <f t="shared" ca="1" si="36"/>
        <v>0.97143971770937243</v>
      </c>
      <c r="H75" s="59">
        <f t="shared" ref="H75:H78" ca="1" si="38">(G75-F75)/E75</f>
        <v>4.2746394170097908</v>
      </c>
      <c r="I75" s="58" t="s">
        <v>63</v>
      </c>
      <c r="J75" s="62">
        <f ca="1">IF(J$3,INDIRECT(J$5&amp;$I75),"")</f>
        <v>7.5062700664962248E-2</v>
      </c>
      <c r="K75" s="62">
        <f ca="1">IF(K$3,INDIRECT(K$5&amp;$I75),"")</f>
        <v>-0.26825749451780034</v>
      </c>
      <c r="L75" s="62">
        <f ca="1">IF(L$3,INDIRECT(L$5&amp;$I75),"")</f>
        <v>0.2276404947268299</v>
      </c>
      <c r="M75" s="62" t="str">
        <f ca="1">IF(M$3,INDIRECT(M$5&amp;$I75),"")</f>
        <v/>
      </c>
      <c r="N75" s="62">
        <f ca="1">IF(N$3,INDIRECT(N$5&amp;$I75),"")</f>
        <v>-0.35616328155764421</v>
      </c>
      <c r="O75" s="62">
        <f ca="1">IF(O$3,INDIRECT(O$5&amp;$I75),"")</f>
        <v>-0.14983365913600485</v>
      </c>
      <c r="P75" s="62">
        <f ca="1">IF(P$3,INDIRECT(P$5&amp;$I75),"")</f>
        <v>-0.10623596577067723</v>
      </c>
      <c r="Q75" s="62">
        <f ca="1">IF(Q$3,INDIRECT(Q$5&amp;$I75),"")</f>
        <v>-0.33727926245136935</v>
      </c>
      <c r="R75" s="62">
        <f ca="1">IF(R$3,INDIRECT(R$5&amp;$I75),"")</f>
        <v>-0.32806450798659548</v>
      </c>
      <c r="S75" s="62">
        <f ca="1">IF(S$3,INDIRECT(S$5&amp;$I75),"")</f>
        <v>-0.21006462722345826</v>
      </c>
      <c r="T75" s="62">
        <f ca="1">IF(T$3,INDIRECT(T$5&amp;$I75),"")</f>
        <v>2.593288456389688E-2</v>
      </c>
      <c r="U75" s="62">
        <f ca="1">IF(U$3,INDIRECT(U$5&amp;$I75),"")</f>
        <v>-0.35503775907356261</v>
      </c>
      <c r="V75" s="62">
        <f ca="1">IF(V$3,INDIRECT(V$5&amp;$I75),"")</f>
        <v>-0.25099359557934686</v>
      </c>
      <c r="W75" s="62">
        <f ca="1">IF(W$3,INDIRECT(W$5&amp;$I75),"")</f>
        <v>-0.1952975367151136</v>
      </c>
      <c r="X75" s="62">
        <f ca="1">IF(X$3,INDIRECT(X$5&amp;$I75),"")</f>
        <v>-0.1191214329259445</v>
      </c>
      <c r="Y75" s="62">
        <f ca="1">IF(Y$3,INDIRECT(Y$5&amp;$I75),"")</f>
        <v>-0.51024640301013235</v>
      </c>
      <c r="Z75" s="62" t="str">
        <f ca="1">IF(Z$3,INDIRECT(Z$5&amp;$I75),"")</f>
        <v/>
      </c>
      <c r="AA75" s="62">
        <f ca="1">IF(AA$3,INDIRECT(AA$5&amp;$I75),"")</f>
        <v>-0.47979327762814922</v>
      </c>
      <c r="AB75" s="62" t="str">
        <f ca="1">IF(AB$3,INDIRECT(AB$5&amp;$I75),"")</f>
        <v/>
      </c>
      <c r="AC75" s="62">
        <f ca="1">IF(AC$3,INDIRECT(AC$5&amp;$I75),"")</f>
        <v>0.41064710880849847</v>
      </c>
      <c r="AD75" s="62" t="str">
        <f ca="1">IF(AD$3,INDIRECT(AD$5&amp;$I75),"")</f>
        <v/>
      </c>
      <c r="AE75" s="62">
        <f ca="1">IF(AE$3,INDIRECT(AE$5&amp;$I75),"")</f>
        <v>-0.24565784400336108</v>
      </c>
      <c r="AF75" s="62">
        <f ca="1">IF(AF$3,INDIRECT(AF$5&amp;$I75),"")</f>
        <v>8.9104338925881446E-2</v>
      </c>
      <c r="AG75" s="62" t="str">
        <f ca="1">IF(AG$3,INDIRECT(AG$5&amp;$I75),"")</f>
        <v/>
      </c>
      <c r="AH75" s="62">
        <f ca="1">IF(AH$3,INDIRECT(AH$5&amp;$I75),"")</f>
        <v>0.24557850799122971</v>
      </c>
      <c r="AI75" s="62">
        <f ca="1">IF(AI$3,INDIRECT(AI$5&amp;$I75),"")</f>
        <v>-0.29635884049544331</v>
      </c>
      <c r="AJ75" s="62">
        <f ca="1">IF(AJ$3,INDIRECT(AJ$5&amp;$I75),"")</f>
        <v>-0.46511489004823869</v>
      </c>
      <c r="AK75" s="62">
        <f ca="1">IF(AK$3,INDIRECT(AK$5&amp;$I75),"")</f>
        <v>-0.26280347385718067</v>
      </c>
      <c r="AL75" s="62">
        <f ca="1">IF(AL$3,INDIRECT(AL$5&amp;$I75),"")</f>
        <v>-0.45174292881429018</v>
      </c>
      <c r="AM75" s="62">
        <f ca="1">IF(AM$3,INDIRECT(AM$5&amp;$I75),"")</f>
        <v>0.25906738297994358</v>
      </c>
      <c r="AN75" s="62">
        <f ca="1">IF(AN$3,INDIRECT(AN$5&amp;$I75),"")</f>
        <v>-0.11437741592216247</v>
      </c>
      <c r="AO75" s="62">
        <f ca="1">IF(AO$3,INDIRECT(AO$5&amp;$I75),"")</f>
        <v>-1.7364484040598364E-2</v>
      </c>
      <c r="AP75" s="62">
        <f ca="1">IF(AP$3,INDIRECT(AP$5&amp;$I75),"")</f>
        <v>0.10363983927346034</v>
      </c>
      <c r="AQ75" s="62">
        <f ca="1">IF(AQ$3,INDIRECT(AQ$5&amp;$I75),"")</f>
        <v>2.5969301676550594E-2</v>
      </c>
      <c r="AR75" s="62">
        <f ca="1">IF(AR$3,INDIRECT(AR$5&amp;$I75),"")</f>
        <v>9.5953919385865324E-2</v>
      </c>
      <c r="AS75" s="62">
        <f ca="1">IF(AS$3,INDIRECT(AS$5&amp;$I75),"")</f>
        <v>0.64264682551087038</v>
      </c>
      <c r="AT75" s="62">
        <f ca="1">IF(AT$3,INDIRECT(AT$5&amp;$I75),"")</f>
        <v>-0.45622397719190488</v>
      </c>
      <c r="AU75" s="62">
        <f ca="1">IF(AU$3,INDIRECT(AU$5&amp;$I75),"")</f>
        <v>0.62885537996238638</v>
      </c>
      <c r="AV75" s="62">
        <f ca="1">IF(AV$3,INDIRECT(AV$5&amp;$I75),"")</f>
        <v>-5.9985694336416213E-2</v>
      </c>
      <c r="AW75" s="62">
        <f ca="1">IF(AW$3,INDIRECT(AW$5&amp;$I75),"")</f>
        <v>0.97143971770937243</v>
      </c>
    </row>
    <row r="76" spans="1:49">
      <c r="A76" s="78"/>
      <c r="B76" s="58" t="str">
        <f>B73</f>
        <v>R</v>
      </c>
      <c r="C76" s="79" t="s">
        <v>5</v>
      </c>
      <c r="D76" s="62">
        <f t="shared" ca="1" si="33"/>
        <v>-0.51808405319073214</v>
      </c>
      <c r="E76" s="62">
        <f t="shared" ca="1" si="34"/>
        <v>0.15129724091942959</v>
      </c>
      <c r="F76" s="62">
        <f t="shared" ca="1" si="35"/>
        <v>-0.87997853349571353</v>
      </c>
      <c r="G76" s="62">
        <f t="shared" ca="1" si="36"/>
        <v>-0.33106621490298394</v>
      </c>
      <c r="H76" s="59">
        <f t="shared" ca="1" si="38"/>
        <v>3.6280391847002829</v>
      </c>
      <c r="I76" s="58" t="s">
        <v>64</v>
      </c>
      <c r="J76" s="62">
        <f ca="1">IF(J$3,INDIRECT(J$5&amp;$I76),"")</f>
        <v>-0.63627997974035511</v>
      </c>
      <c r="K76" s="62">
        <f ca="1">IF(K$3,INDIRECT(K$5&amp;$I76),"")</f>
        <v>-0.40674466195599451</v>
      </c>
      <c r="L76" s="62">
        <f ca="1">IF(L$3,INDIRECT(L$5&amp;$I76),"")</f>
        <v>-0.5852314484324217</v>
      </c>
      <c r="M76" s="62" t="str">
        <f ca="1">IF(M$3,INDIRECT(M$5&amp;$I76),"")</f>
        <v/>
      </c>
      <c r="N76" s="62">
        <f ca="1">IF(N$3,INDIRECT(N$5&amp;$I76),"")</f>
        <v>-0.54842106057531548</v>
      </c>
      <c r="O76" s="62">
        <f ca="1">IF(O$3,INDIRECT(O$5&amp;$I76),"")</f>
        <v>-0.52205691326052217</v>
      </c>
      <c r="P76" s="62">
        <f ca="1">IF(P$3,INDIRECT(P$5&amp;$I76),"")</f>
        <v>-0.3829661170461558</v>
      </c>
      <c r="Q76" s="62">
        <f ca="1">IF(Q$3,INDIRECT(Q$5&amp;$I76),"")</f>
        <v>-0.33826635247208131</v>
      </c>
      <c r="R76" s="62">
        <f ca="1">IF(R$3,INDIRECT(R$5&amp;$I76),"")</f>
        <v>-0.44172016501022704</v>
      </c>
      <c r="S76" s="62">
        <f ca="1">IF(S$3,INDIRECT(S$5&amp;$I76),"")</f>
        <v>-0.45803578202126632</v>
      </c>
      <c r="T76" s="62">
        <f ca="1">IF(T$3,INDIRECT(T$5&amp;$I76),"")</f>
        <v>-0.53349558639972505</v>
      </c>
      <c r="U76" s="62">
        <f ca="1">IF(U$3,INDIRECT(U$5&amp;$I76),"")</f>
        <v>-0.35220340436752773</v>
      </c>
      <c r="V76" s="62">
        <f ca="1">IF(V$3,INDIRECT(V$5&amp;$I76),"")</f>
        <v>-0.43837224527526414</v>
      </c>
      <c r="W76" s="62">
        <f ca="1">IF(W$3,INDIRECT(W$5&amp;$I76),"")</f>
        <v>-0.51346524693901419</v>
      </c>
      <c r="X76" s="62">
        <f ca="1">IF(X$3,INDIRECT(X$5&amp;$I76),"")</f>
        <v>-0.42127358818787342</v>
      </c>
      <c r="Y76" s="62">
        <f ca="1">IF(Y$3,INDIRECT(Y$5&amp;$I76),"")</f>
        <v>-0.3318229240248991</v>
      </c>
      <c r="Z76" s="62" t="str">
        <f ca="1">IF(Z$3,INDIRECT(Z$5&amp;$I76),"")</f>
        <v/>
      </c>
      <c r="AA76" s="62">
        <f ca="1">IF(AA$3,INDIRECT(AA$5&amp;$I76),"")</f>
        <v>-0.3563381951825127</v>
      </c>
      <c r="AB76" s="62" t="str">
        <f ca="1">IF(AB$3,INDIRECT(AB$5&amp;$I76),"")</f>
        <v/>
      </c>
      <c r="AC76" s="62">
        <f ca="1">IF(AC$3,INDIRECT(AC$5&amp;$I76),"")</f>
        <v>-0.63379245816422791</v>
      </c>
      <c r="AD76" s="62" t="str">
        <f ca="1">IF(AD$3,INDIRECT(AD$5&amp;$I76),"")</f>
        <v/>
      </c>
      <c r="AE76" s="62">
        <f ca="1">IF(AE$3,INDIRECT(AE$5&amp;$I76),"")</f>
        <v>-0.54256136434230839</v>
      </c>
      <c r="AF76" s="62">
        <f ca="1">IF(AF$3,INDIRECT(AF$5&amp;$I76),"")</f>
        <v>-0.46445799389212927</v>
      </c>
      <c r="AG76" s="62" t="str">
        <f ca="1">IF(AG$3,INDIRECT(AG$5&amp;$I76),"")</f>
        <v/>
      </c>
      <c r="AH76" s="62">
        <f ca="1">IF(AH$3,INDIRECT(AH$5&amp;$I76),"")</f>
        <v>-0.68026073232510931</v>
      </c>
      <c r="AI76" s="62">
        <f ca="1">IF(AI$3,INDIRECT(AI$5&amp;$I76),"")</f>
        <v>-0.37031953651144273</v>
      </c>
      <c r="AJ76" s="62">
        <f ca="1">IF(AJ$3,INDIRECT(AJ$5&amp;$I76),"")</f>
        <v>-0.35728742532398583</v>
      </c>
      <c r="AK76" s="62">
        <f ca="1">IF(AK$3,INDIRECT(AK$5&amp;$I76),"")</f>
        <v>-0.4066848852599555</v>
      </c>
      <c r="AL76" s="62">
        <f ca="1">IF(AL$3,INDIRECT(AL$5&amp;$I76),"")</f>
        <v>-0.35819680131724158</v>
      </c>
      <c r="AM76" s="62">
        <f ca="1">IF(AM$3,INDIRECT(AM$5&amp;$I76),"")</f>
        <v>-0.78479423299868734</v>
      </c>
      <c r="AN76" s="62">
        <f ca="1">IF(AN$3,INDIRECT(AN$5&amp;$I76),"")</f>
        <v>-0.55897699899609909</v>
      </c>
      <c r="AO76" s="62">
        <f ca="1">IF(AO$3,INDIRECT(AO$5&amp;$I76),"")</f>
        <v>-0.54503709057290539</v>
      </c>
      <c r="AP76" s="62">
        <f ca="1">IF(AP$3,INDIRECT(AP$5&amp;$I76),"")</f>
        <v>-0.56678218141056613</v>
      </c>
      <c r="AQ76" s="62">
        <f ca="1">IF(AQ$3,INDIRECT(AQ$5&amp;$I76),"")</f>
        <v>-0.5829803162810222</v>
      </c>
      <c r="AR76" s="62">
        <f ca="1">IF(AR$3,INDIRECT(AR$5&amp;$I76),"")</f>
        <v>-0.54099223218303494</v>
      </c>
      <c r="AS76" s="62">
        <f ca="1">IF(AS$3,INDIRECT(AS$5&amp;$I76),"")</f>
        <v>-0.79536073354136905</v>
      </c>
      <c r="AT76" s="62">
        <f ca="1">IF(AT$3,INDIRECT(AT$5&amp;$I76),"")</f>
        <v>-0.33106621490298394</v>
      </c>
      <c r="AU76" s="62">
        <f ca="1">IF(AU$3,INDIRECT(AU$5&amp;$I76),"")</f>
        <v>-0.87997853349571353</v>
      </c>
      <c r="AV76" s="62">
        <f ca="1">IF(AV$3,INDIRECT(AV$5&amp;$I76),"")</f>
        <v>-0.59714059068768122</v>
      </c>
      <c r="AW76" s="62">
        <f ca="1">IF(AW$3,INDIRECT(AW$5&amp;$I76),"")</f>
        <v>-0.86957786857800612</v>
      </c>
    </row>
    <row r="77" spans="1:49">
      <c r="A77" s="78"/>
      <c r="B77" s="58" t="str">
        <f t="shared" si="37"/>
        <v>G</v>
      </c>
      <c r="C77" s="79"/>
      <c r="D77" s="62">
        <f t="shared" ca="1" si="33"/>
        <v>0.23110557434844675</v>
      </c>
      <c r="E77" s="62">
        <f t="shared" ca="1" si="34"/>
        <v>0.13066558954086022</v>
      </c>
      <c r="F77" s="62">
        <f t="shared" ca="1" si="35"/>
        <v>-3.2955245426303167E-2</v>
      </c>
      <c r="G77" s="62">
        <f t="shared" ca="1" si="36"/>
        <v>0.5268884753569858</v>
      </c>
      <c r="H77" s="59">
        <f t="shared" ca="1" si="38"/>
        <v>4.2845535902030365</v>
      </c>
      <c r="I77" s="58" t="s">
        <v>65</v>
      </c>
      <c r="J77" s="62">
        <f ca="1">IF(J$3,INDIRECT(J$5&amp;$I77),"")</f>
        <v>0.47727841406125743</v>
      </c>
      <c r="K77" s="62">
        <f ca="1">IF(K$3,INDIRECT(K$5&amp;$I77),"")</f>
        <v>5.8936722581873234E-2</v>
      </c>
      <c r="L77" s="62">
        <f ca="1">IF(L$3,INDIRECT(L$5&amp;$I77),"")</f>
        <v>0.44152828193283705</v>
      </c>
      <c r="M77" s="62" t="str">
        <f ca="1">IF(M$3,INDIRECT(M$5&amp;$I77),"")</f>
        <v/>
      </c>
      <c r="N77" s="62">
        <f ca="1">IF(N$3,INDIRECT(N$5&amp;$I77),"")</f>
        <v>0.22534322161436815</v>
      </c>
      <c r="O77" s="62">
        <f ca="1">IF(O$3,INDIRECT(O$5&amp;$I77),"")</f>
        <v>0.458445723149767</v>
      </c>
      <c r="P77" s="62">
        <f ca="1">IF(P$3,INDIRECT(P$5&amp;$I77),"")</f>
        <v>8.0436986403364164E-2</v>
      </c>
      <c r="Q77" s="62">
        <f ca="1">IF(Q$3,INDIRECT(Q$5&amp;$I77),"")</f>
        <v>0.22139188962449646</v>
      </c>
      <c r="R77" s="62">
        <f ca="1">IF(R$3,INDIRECT(R$5&amp;$I77),"")</f>
        <v>0.18690226986309369</v>
      </c>
      <c r="S77" s="62">
        <f ca="1">IF(S$3,INDIRECT(S$5&amp;$I77),"")</f>
        <v>0.1423694508810304</v>
      </c>
      <c r="T77" s="62">
        <f ca="1">IF(T$3,INDIRECT(T$5&amp;$I77),"")</f>
        <v>0.25364806507143867</v>
      </c>
      <c r="U77" s="62">
        <f ca="1">IF(U$3,INDIRECT(U$5&amp;$I77),"")</f>
        <v>0.13205556146424269</v>
      </c>
      <c r="V77" s="62">
        <f ca="1">IF(V$3,INDIRECT(V$5&amp;$I77),"")</f>
        <v>0.19626017401459048</v>
      </c>
      <c r="W77" s="62">
        <f ca="1">IF(W$3,INDIRECT(W$5&amp;$I77),"")</f>
        <v>0.32260878031111329</v>
      </c>
      <c r="X77" s="62">
        <f ca="1">IF(X$3,INDIRECT(X$5&amp;$I77),"")</f>
        <v>0.15689201471156333</v>
      </c>
      <c r="Y77" s="62">
        <f ca="1">IF(Y$3,INDIRECT(Y$5&amp;$I77),"")</f>
        <v>0.24485586608383531</v>
      </c>
      <c r="Z77" s="62" t="str">
        <f ca="1">IF(Z$3,INDIRECT(Z$5&amp;$I77),"")</f>
        <v/>
      </c>
      <c r="AA77" s="62">
        <f ca="1">IF(AA$3,INDIRECT(AA$5&amp;$I77),"")</f>
        <v>0.15298793189758705</v>
      </c>
      <c r="AB77" s="62" t="str">
        <f ca="1">IF(AB$3,INDIRECT(AB$5&amp;$I77),"")</f>
        <v/>
      </c>
      <c r="AC77" s="62">
        <f ca="1">IF(AC$3,INDIRECT(AC$5&amp;$I77),"")</f>
        <v>0.4314348843179463</v>
      </c>
      <c r="AD77" s="62" t="str">
        <f ca="1">IF(AD$3,INDIRECT(AD$5&amp;$I77),"")</f>
        <v/>
      </c>
      <c r="AE77" s="62">
        <f ca="1">IF(AE$3,INDIRECT(AE$5&amp;$I77),"")</f>
        <v>0.32491551910088284</v>
      </c>
      <c r="AF77" s="62">
        <f ca="1">IF(AF$3,INDIRECT(AF$5&amp;$I77),"")</f>
        <v>0.35697079917328361</v>
      </c>
      <c r="AG77" s="62" t="str">
        <f ca="1">IF(AG$3,INDIRECT(AG$5&amp;$I77),"")</f>
        <v/>
      </c>
      <c r="AH77" s="62">
        <f ca="1">IF(AH$3,INDIRECT(AH$5&amp;$I77),"")</f>
        <v>0.20445553813858075</v>
      </c>
      <c r="AI77" s="62">
        <f ca="1">IF(AI$3,INDIRECT(AI$5&amp;$I77),"")</f>
        <v>0.15906811000467505</v>
      </c>
      <c r="AJ77" s="62">
        <f ca="1">IF(AJ$3,INDIRECT(AJ$5&amp;$I77),"")</f>
        <v>0.22974971089064025</v>
      </c>
      <c r="AK77" s="62">
        <f ca="1">IF(AK$3,INDIRECT(AK$5&amp;$I77),"")</f>
        <v>0.29081266757408281</v>
      </c>
      <c r="AL77" s="62">
        <f ca="1">IF(AL$3,INDIRECT(AL$5&amp;$I77),"")</f>
        <v>0.10870142670836144</v>
      </c>
      <c r="AM77" s="62">
        <f ca="1">IF(AM$3,INDIRECT(AM$5&amp;$I77),"")</f>
        <v>0.1453424448359886</v>
      </c>
      <c r="AN77" s="62">
        <f ca="1">IF(AN$3,INDIRECT(AN$5&amp;$I77),"")</f>
        <v>0.33682490427388123</v>
      </c>
      <c r="AO77" s="62">
        <f ca="1">IF(AO$3,INDIRECT(AO$5&amp;$I77),"")</f>
        <v>0.35108805649803643</v>
      </c>
      <c r="AP77" s="62">
        <f ca="1">IF(AP$3,INDIRECT(AP$5&amp;$I77),"")</f>
        <v>0.23298635345831853</v>
      </c>
      <c r="AQ77" s="62">
        <f ca="1">IF(AQ$3,INDIRECT(AQ$5&amp;$I77),"")</f>
        <v>0.15498973472038632</v>
      </c>
      <c r="AR77" s="62">
        <f ca="1">IF(AR$3,INDIRECT(AR$5&amp;$I77),"")</f>
        <v>0.15362999269778529</v>
      </c>
      <c r="AS77" s="62">
        <f ca="1">IF(AS$3,INDIRECT(AS$5&amp;$I77),"")</f>
        <v>0.10824927080164222</v>
      </c>
      <c r="AT77" s="62">
        <f ca="1">IF(AT$3,INDIRECT(AT$5&amp;$I77),"")</f>
        <v>9.5868700208427443E-2</v>
      </c>
      <c r="AU77" s="62">
        <f ca="1">IF(AU$3,INDIRECT(AU$5&amp;$I77),"")</f>
        <v>0.15773240519557569</v>
      </c>
      <c r="AV77" s="62">
        <f ca="1">IF(AV$3,INDIRECT(AV$5&amp;$I77),"")</f>
        <v>0.5268884753569858</v>
      </c>
      <c r="AW77" s="62">
        <f ca="1">IF(AW$3,INDIRECT(AW$5&amp;$I77),"")</f>
        <v>-3.2955245426303167E-2</v>
      </c>
    </row>
    <row r="78" spans="1:49">
      <c r="A78" s="78"/>
      <c r="B78" s="58" t="str">
        <f t="shared" si="37"/>
        <v>B</v>
      </c>
      <c r="C78" s="79"/>
      <c r="D78" s="62">
        <f t="shared" ca="1" si="33"/>
        <v>1.3002597515654475</v>
      </c>
      <c r="E78" s="62">
        <f t="shared" ca="1" si="34"/>
        <v>0.43507596254017455</v>
      </c>
      <c r="F78" s="62">
        <f t="shared" ca="1" si="35"/>
        <v>0.7731169835592393</v>
      </c>
      <c r="G78" s="62">
        <f t="shared" ca="1" si="36"/>
        <v>2.7042073638825785</v>
      </c>
      <c r="H78" s="59">
        <f t="shared" ca="1" si="38"/>
        <v>4.4385131484827181</v>
      </c>
      <c r="I78" s="58" t="s">
        <v>66</v>
      </c>
      <c r="J78" s="62">
        <f ca="1">IF(J$3,INDIRECT(J$5&amp;$I78),"")</f>
        <v>1.1430236120411714</v>
      </c>
      <c r="K78" s="62">
        <f ca="1">IF(K$3,INDIRECT(K$5&amp;$I78),"")</f>
        <v>1.2028174246572667</v>
      </c>
      <c r="L78" s="62">
        <f ca="1">IF(L$3,INDIRECT(L$5&amp;$I78),"")</f>
        <v>1.353723927796745</v>
      </c>
      <c r="M78" s="62" t="str">
        <f ca="1">IF(M$3,INDIRECT(M$5&amp;$I78),"")</f>
        <v/>
      </c>
      <c r="N78" s="62">
        <f ca="1">IF(N$3,INDIRECT(N$5&amp;$I78),"")</f>
        <v>1.0423492824935114</v>
      </c>
      <c r="O78" s="62">
        <f ca="1">IF(O$3,INDIRECT(O$5&amp;$I78),"")</f>
        <v>0.92695467655784514</v>
      </c>
      <c r="P78" s="62">
        <f ca="1">IF(P$3,INDIRECT(P$5&amp;$I78),"")</f>
        <v>1.3412957632075582</v>
      </c>
      <c r="Q78" s="62">
        <f ca="1">IF(Q$3,INDIRECT(Q$5&amp;$I78),"")</f>
        <v>0.87468691041545898</v>
      </c>
      <c r="R78" s="62">
        <f ca="1">IF(R$3,INDIRECT(R$5&amp;$I78),"")</f>
        <v>1.0647297811128085</v>
      </c>
      <c r="S78" s="62">
        <f ca="1">IF(S$3,INDIRECT(S$5&amp;$I78),"")</f>
        <v>1.2915349536491281</v>
      </c>
      <c r="T78" s="62">
        <f ca="1">IF(T$3,INDIRECT(T$5&amp;$I78),"")</f>
        <v>1.4373894897670576</v>
      </c>
      <c r="U78" s="62">
        <f ca="1">IF(U$3,INDIRECT(U$5&amp;$I78),"")</f>
        <v>1.1238340870925057</v>
      </c>
      <c r="V78" s="62">
        <f ca="1">IF(V$3,INDIRECT(V$5&amp;$I78),"")</f>
        <v>1.1810425297750262</v>
      </c>
      <c r="W78" s="62">
        <f ca="1">IF(W$3,INDIRECT(W$5&amp;$I78),"")</f>
        <v>1.2507312742306917</v>
      </c>
      <c r="X78" s="62">
        <f ca="1">IF(X$3,INDIRECT(X$5&amp;$I78),"")</f>
        <v>1.3308287469490472</v>
      </c>
      <c r="Y78" s="62">
        <f ca="1">IF(Y$3,INDIRECT(Y$5&amp;$I78),"")</f>
        <v>0.7731169835592393</v>
      </c>
      <c r="Z78" s="62" t="str">
        <f ca="1">IF(Z$3,INDIRECT(Z$5&amp;$I78),"")</f>
        <v/>
      </c>
      <c r="AA78" s="62">
        <f ca="1">IF(AA$3,INDIRECT(AA$5&amp;$I78),"")</f>
        <v>0.87646105308909716</v>
      </c>
      <c r="AB78" s="62" t="str">
        <f ca="1">IF(AB$3,INDIRECT(AB$5&amp;$I78),"")</f>
        <v/>
      </c>
      <c r="AC78" s="62">
        <f ca="1">IF(AC$3,INDIRECT(AC$5&amp;$I78),"")</f>
        <v>1.4664425139606543</v>
      </c>
      <c r="AD78" s="62" t="str">
        <f ca="1">IF(AD$3,INDIRECT(AD$5&amp;$I78),"")</f>
        <v/>
      </c>
      <c r="AE78" s="62">
        <f ca="1">IF(AE$3,INDIRECT(AE$5&amp;$I78),"")</f>
        <v>1.0571511393803461</v>
      </c>
      <c r="AF78" s="62">
        <f ca="1">IF(AF$3,INDIRECT(AF$5&amp;$I78),"")</f>
        <v>1.2169109187396583</v>
      </c>
      <c r="AG78" s="62" t="str">
        <f ca="1">IF(AG$3,INDIRECT(AG$5&amp;$I78),"")</f>
        <v/>
      </c>
      <c r="AH78" s="62">
        <f ca="1">IF(AH$3,INDIRECT(AH$5&amp;$I78),"")</f>
        <v>1.7262197550624885</v>
      </c>
      <c r="AI78" s="62">
        <f ca="1">IF(AI$3,INDIRECT(AI$5&amp;$I78),"")</f>
        <v>1.0956802930647183</v>
      </c>
      <c r="AJ78" s="62">
        <f ca="1">IF(AJ$3,INDIRECT(AJ$5&amp;$I78),"")</f>
        <v>0.8102617483500778</v>
      </c>
      <c r="AK78" s="62">
        <f ca="1">IF(AK$3,INDIRECT(AK$5&amp;$I78),"")</f>
        <v>0.88599764300443595</v>
      </c>
      <c r="AL78" s="62">
        <f ca="1">IF(AL$3,INDIRECT(AL$5&amp;$I78),"")</f>
        <v>1.0166414777789134</v>
      </c>
      <c r="AM78" s="62">
        <f ca="1">IF(AM$3,INDIRECT(AM$5&amp;$I78),"")</f>
        <v>1.9325392017173171</v>
      </c>
      <c r="AN78" s="62">
        <f ca="1">IF(AN$3,INDIRECT(AN$5&amp;$I78),"")</f>
        <v>1.1591551936836195</v>
      </c>
      <c r="AO78" s="62">
        <f ca="1">IF(AO$3,INDIRECT(AO$5&amp;$I78),"")</f>
        <v>1.1979558683265479</v>
      </c>
      <c r="AP78" s="62">
        <f ca="1">IF(AP$3,INDIRECT(AP$5&amp;$I78),"")</f>
        <v>1.4981439509097871</v>
      </c>
      <c r="AQ78" s="62">
        <f ca="1">IF(AQ$3,INDIRECT(AQ$5&amp;$I78),"")</f>
        <v>1.500111411240568</v>
      </c>
      <c r="AR78" s="62">
        <f ca="1">IF(AR$3,INDIRECT(AR$5&amp;$I78),"")</f>
        <v>1.5319972285027628</v>
      </c>
      <c r="AS78" s="62">
        <f ca="1">IF(AS$3,INDIRECT(AS$5&amp;$I78),"")</f>
        <v>2.3162627407953607</v>
      </c>
      <c r="AT78" s="62">
        <f ca="1">IF(AT$3,INDIRECT(AT$5&amp;$I78),"")</f>
        <v>0.97251679428597226</v>
      </c>
      <c r="AU78" s="62">
        <f ca="1">IF(AU$3,INDIRECT(AU$5&amp;$I78),"")</f>
        <v>2.2209421047182434</v>
      </c>
      <c r="AV78" s="62">
        <f ca="1">IF(AV$3,INDIRECT(AV$5&amp;$I78),"")</f>
        <v>0.98543346099244433</v>
      </c>
      <c r="AW78" s="62">
        <f ca="1">IF(AW$3,INDIRECT(AW$5&amp;$I78),"")</f>
        <v>2.7042073638825785</v>
      </c>
    </row>
    <row r="79" spans="1:49">
      <c r="C79" s="58" t="s">
        <v>95</v>
      </c>
      <c r="D79" s="62">
        <f t="shared" ref="D79:D81" ca="1" si="39">AVERAGE(J79:AW79)</f>
        <v>16.053354599708982</v>
      </c>
      <c r="E79" s="62">
        <f t="shared" ref="E79:E81" ca="1" si="40">STDEV(J79:AW79)</f>
        <v>1.4506878729773045</v>
      </c>
      <c r="F79" s="62">
        <f t="shared" ref="F79:F81" ca="1" si="41">MIN(J79:AW79)</f>
        <v>13.325047152316657</v>
      </c>
      <c r="G79" s="62">
        <f t="shared" ref="G79:G81" ca="1" si="42">MAX(J79:AW79)</f>
        <v>19.493433008936002</v>
      </c>
      <c r="H79" s="59">
        <f t="shared" ref="H79:H81" ca="1" si="43">(G79-F79)/E79</f>
        <v>4.2520420633004408</v>
      </c>
      <c r="I79" s="58" t="s">
        <v>98</v>
      </c>
      <c r="J79" s="62">
        <f ca="1">IF(J$3,INDIRECT(J$5&amp;$I79),"")</f>
        <v>19.493433008936002</v>
      </c>
      <c r="K79" s="62">
        <f ca="1">IF(K$3,INDIRECT(K$5&amp;$I79),"")</f>
        <v>16.321063492585878</v>
      </c>
      <c r="L79" s="62">
        <f ca="1">IF(L$3,INDIRECT(L$5&amp;$I79),"")</f>
        <v>15.764350348630163</v>
      </c>
      <c r="M79" s="62" t="str">
        <f ca="1">IF(M$3,INDIRECT(M$5&amp;$I79),"")</f>
        <v/>
      </c>
      <c r="N79" s="62">
        <f ca="1">IF(N$3,INDIRECT(N$5&amp;$I79),"")</f>
        <v>17.123824791729312</v>
      </c>
      <c r="O79" s="62">
        <f ca="1">IF(O$3,INDIRECT(O$5&amp;$I79),"")</f>
        <v>17.334937778900997</v>
      </c>
      <c r="P79" s="62">
        <f ca="1">IF(P$3,INDIRECT(P$5&amp;$I79),"")</f>
        <v>16.35607792106256</v>
      </c>
      <c r="Q79" s="62">
        <f ca="1">IF(Q$3,INDIRECT(Q$5&amp;$I79),"")</f>
        <v>17.133701050545586</v>
      </c>
      <c r="R79" s="62">
        <f ca="1">IF(R$3,INDIRECT(R$5&amp;$I79),"")</f>
        <v>17.016168875130766</v>
      </c>
      <c r="S79" s="62">
        <f ca="1">IF(S$3,INDIRECT(S$5&amp;$I79),"")</f>
        <v>14.720873968824558</v>
      </c>
      <c r="T79" s="62">
        <f ca="1">IF(T$3,INDIRECT(T$5&amp;$I79),"")</f>
        <v>13.325047152316657</v>
      </c>
      <c r="U79" s="62">
        <f ca="1">IF(U$3,INDIRECT(U$5&amp;$I79),"")</f>
        <v>13.764382642210176</v>
      </c>
      <c r="V79" s="62">
        <f ca="1">IF(V$3,INDIRECT(V$5&amp;$I79),"")</f>
        <v>13.378158944544449</v>
      </c>
      <c r="W79" s="62">
        <f ca="1">IF(W$3,INDIRECT(W$5&amp;$I79),"")</f>
        <v>13.539846831964365</v>
      </c>
      <c r="X79" s="62">
        <f ca="1">IF(X$3,INDIRECT(X$5&amp;$I79),"")</f>
        <v>13.858307730174193</v>
      </c>
      <c r="Y79" s="62">
        <f ca="1">IF(Y$3,INDIRECT(Y$5&amp;$I79),"")</f>
        <v>15.78335508846247</v>
      </c>
      <c r="Z79" s="62" t="str">
        <f ca="1">IF(Z$3,INDIRECT(Z$5&amp;$I79),"")</f>
        <v/>
      </c>
      <c r="AA79" s="62">
        <f ca="1">IF(AA$3,INDIRECT(AA$5&amp;$I79),"")</f>
        <v>17.061895730383082</v>
      </c>
      <c r="AB79" s="62" t="str">
        <f ca="1">IF(AB$3,INDIRECT(AB$5&amp;$I79),"")</f>
        <v/>
      </c>
      <c r="AC79" s="62">
        <f ca="1">IF(AC$3,INDIRECT(AC$5&amp;$I79),"")</f>
        <v>16.690380367597431</v>
      </c>
      <c r="AD79" s="62" t="str">
        <f ca="1">IF(AD$3,INDIRECT(AD$5&amp;$I79),"")</f>
        <v/>
      </c>
      <c r="AE79" s="62">
        <f ca="1">IF(AE$3,INDIRECT(AE$5&amp;$I79),"")</f>
        <v>15.61691075792327</v>
      </c>
      <c r="AF79" s="62">
        <f ca="1">IF(AF$3,INDIRECT(AF$5&amp;$I79),"")</f>
        <v>15.982596528033769</v>
      </c>
      <c r="AG79" s="62" t="str">
        <f ca="1">IF(AG$3,INDIRECT(AG$5&amp;$I79),"")</f>
        <v/>
      </c>
      <c r="AH79" s="62">
        <f ca="1">IF(AH$3,INDIRECT(AH$5&amp;$I79),"")</f>
        <v>17.256964946949132</v>
      </c>
      <c r="AI79" s="62">
        <f ca="1">IF(AI$3,INDIRECT(AI$5&amp;$I79),"")</f>
        <v>16.449609205378181</v>
      </c>
      <c r="AJ79" s="62">
        <f ca="1">IF(AJ$3,INDIRECT(AJ$5&amp;$I79),"")</f>
        <v>16.639908539218027</v>
      </c>
      <c r="AK79" s="62">
        <f ca="1">IF(AK$3,INDIRECT(AK$5&amp;$I79),"")</f>
        <v>18.017892326808031</v>
      </c>
      <c r="AL79" s="62">
        <f ca="1">IF(AL$3,INDIRECT(AL$5&amp;$I79),"")</f>
        <v>15.062682172955649</v>
      </c>
      <c r="AM79" s="62">
        <f ca="1">IF(AM$3,INDIRECT(AM$5&amp;$I79),"")</f>
        <v>16.495296606274938</v>
      </c>
      <c r="AN79" s="62">
        <f ca="1">IF(AN$3,INDIRECT(AN$5&amp;$I79),"")</f>
        <v>17.741836992360607</v>
      </c>
      <c r="AO79" s="62">
        <f ca="1">IF(AO$3,INDIRECT(AO$5&amp;$I79),"")</f>
        <v>16.490901113054537</v>
      </c>
      <c r="AP79" s="62">
        <f ca="1">IF(AP$3,INDIRECT(AP$5&amp;$I79),"")</f>
        <v>15.193911474433563</v>
      </c>
      <c r="AQ79" s="62">
        <f ca="1">IF(AQ$3,INDIRECT(AQ$5&amp;$I79),"")</f>
        <v>16.203626111951156</v>
      </c>
      <c r="AR79" s="62">
        <f ca="1">IF(AR$3,INDIRECT(AR$5&amp;$I79),"")</f>
        <v>15.044154708099891</v>
      </c>
      <c r="AS79" s="62">
        <f ca="1">IF(AS$3,INDIRECT(AS$5&amp;$I79),"")</f>
        <v>14.960129898045333</v>
      </c>
      <c r="AT79" s="62">
        <f ca="1">IF(AT$3,INDIRECT(AT$5&amp;$I79),"")</f>
        <v>17.449263098935951</v>
      </c>
      <c r="AU79" s="62">
        <f ca="1">IF(AU$3,INDIRECT(AU$5&amp;$I79),"")</f>
        <v>15.038484872489068</v>
      </c>
      <c r="AV79" s="62">
        <f ca="1">IF(AV$3,INDIRECT(AV$5&amp;$I79),"")</f>
        <v>18.026281437400346</v>
      </c>
      <c r="AW79" s="62">
        <f ca="1">IF(AW$3,INDIRECT(AW$5&amp;$I79),"")</f>
        <v>15.53115447550422</v>
      </c>
    </row>
    <row r="80" spans="1:49">
      <c r="C80" s="58" t="s">
        <v>96</v>
      </c>
      <c r="D80" s="62">
        <f t="shared" ca="1" si="39"/>
        <v>16.798029746626302</v>
      </c>
      <c r="E80" s="62">
        <f t="shared" ca="1" si="40"/>
        <v>1.6301357320186267</v>
      </c>
      <c r="F80" s="62">
        <f t="shared" ca="1" si="41"/>
        <v>13.718142623705704</v>
      </c>
      <c r="G80" s="62">
        <f t="shared" ca="1" si="42"/>
        <v>21.572042345603069</v>
      </c>
      <c r="H80" s="59">
        <f t="shared" ca="1" si="43"/>
        <v>4.817942191949709</v>
      </c>
      <c r="I80" s="58" t="s">
        <v>99</v>
      </c>
      <c r="J80" s="62">
        <f ca="1">IF(J$3,INDIRECT(J$5&amp;$I80),"")</f>
        <v>21.572042345603069</v>
      </c>
      <c r="K80" s="62">
        <f ca="1">IF(K$3,INDIRECT(K$5&amp;$I80),"")</f>
        <v>17.158090414584933</v>
      </c>
      <c r="L80" s="62">
        <f ca="1">IF(L$3,INDIRECT(L$5&amp;$I80),"")</f>
        <v>16.098687404111445</v>
      </c>
      <c r="M80" s="62" t="str">
        <f ca="1">IF(M$3,INDIRECT(M$5&amp;$I80),"")</f>
        <v/>
      </c>
      <c r="N80" s="62">
        <f ca="1">IF(N$3,INDIRECT(N$5&amp;$I80),"")</f>
        <v>18.112424696073212</v>
      </c>
      <c r="O80" s="62">
        <f ca="1">IF(O$3,INDIRECT(O$5&amp;$I80),"")</f>
        <v>18.078029261144909</v>
      </c>
      <c r="P80" s="62">
        <f ca="1">IF(P$3,INDIRECT(P$5&amp;$I80),"")</f>
        <v>17.438974194189203</v>
      </c>
      <c r="Q80" s="62">
        <f ca="1">IF(Q$3,INDIRECT(Q$5&amp;$I80),"")</f>
        <v>18.181187216878296</v>
      </c>
      <c r="R80" s="62">
        <f ca="1">IF(R$3,INDIRECT(R$5&amp;$I80),"")</f>
        <v>17.767266357956473</v>
      </c>
      <c r="S80" s="62">
        <f ca="1">IF(S$3,INDIRECT(S$5&amp;$I80),"")</f>
        <v>15.259704624157239</v>
      </c>
      <c r="T80" s="62">
        <f ca="1">IF(T$3,INDIRECT(T$5&amp;$I80),"")</f>
        <v>13.718142623705704</v>
      </c>
      <c r="U80" s="62">
        <f ca="1">IF(U$3,INDIRECT(U$5&amp;$I80),"")</f>
        <v>14.463512398272453</v>
      </c>
      <c r="V80" s="62">
        <f ca="1">IF(V$3,INDIRECT(V$5&amp;$I80),"")</f>
        <v>13.850596261835857</v>
      </c>
      <c r="W80" s="62">
        <f ca="1">IF(W$3,INDIRECT(W$5&amp;$I80),"")</f>
        <v>13.939405750132408</v>
      </c>
      <c r="X80" s="62">
        <f ca="1">IF(X$3,INDIRECT(X$5&amp;$I80),"")</f>
        <v>14.573689084893797</v>
      </c>
      <c r="Y80" s="62">
        <f ca="1">IF(Y$3,INDIRECT(Y$5&amp;$I80),"")</f>
        <v>16.785781971387248</v>
      </c>
      <c r="Z80" s="62" t="str">
        <f ca="1">IF(Z$3,INDIRECT(Z$5&amp;$I80),"")</f>
        <v/>
      </c>
      <c r="AA80" s="62">
        <f ca="1">IF(AA$3,INDIRECT(AA$5&amp;$I80),"")</f>
        <v>17.982553367369139</v>
      </c>
      <c r="AB80" s="62" t="str">
        <f ca="1">IF(AB$3,INDIRECT(AB$5&amp;$I80),"")</f>
        <v/>
      </c>
      <c r="AC80" s="62">
        <f ca="1">IF(AC$3,INDIRECT(AC$5&amp;$I80),"")</f>
        <v>17.391383881284295</v>
      </c>
      <c r="AD80" s="62" t="str">
        <f ca="1">IF(AD$3,INDIRECT(AD$5&amp;$I80),"")</f>
        <v/>
      </c>
      <c r="AE80" s="62">
        <f ca="1">IF(AE$3,INDIRECT(AE$5&amp;$I80),"")</f>
        <v>16.352363302912163</v>
      </c>
      <c r="AF80" s="62">
        <f ca="1">IF(AF$3,INDIRECT(AF$5&amp;$I80),"")</f>
        <v>16.65677234524539</v>
      </c>
      <c r="AG80" s="62" t="str">
        <f ca="1">IF(AG$3,INDIRECT(AG$5&amp;$I80),"")</f>
        <v/>
      </c>
      <c r="AH80" s="62">
        <f ca="1">IF(AH$3,INDIRECT(AH$5&amp;$I80),"")</f>
        <v>18.014716634013457</v>
      </c>
      <c r="AI80" s="62">
        <f ca="1">IF(AI$3,INDIRECT(AI$5&amp;$I80),"")</f>
        <v>17.09227641616695</v>
      </c>
      <c r="AJ80" s="62">
        <f ca="1">IF(AJ$3,INDIRECT(AJ$5&amp;$I80),"")</f>
        <v>16.575758792568099</v>
      </c>
      <c r="AK80" s="62">
        <f ca="1">IF(AK$3,INDIRECT(AK$5&amp;$I80),"")</f>
        <v>18.602606320473999</v>
      </c>
      <c r="AL80" s="62">
        <f ca="1">IF(AL$3,INDIRECT(AL$5&amp;$I80),"")</f>
        <v>16.03153462120315</v>
      </c>
      <c r="AM80" s="62">
        <f ca="1">IF(AM$3,INDIRECT(AM$5&amp;$I80),"")</f>
        <v>16.664347223179877</v>
      </c>
      <c r="AN80" s="62">
        <f ca="1">IF(AN$3,INDIRECT(AN$5&amp;$I80),"")</f>
        <v>18.30929564071884</v>
      </c>
      <c r="AO80" s="62">
        <f ca="1">IF(AO$3,INDIRECT(AO$5&amp;$I80),"")</f>
        <v>17.56440292298139</v>
      </c>
      <c r="AP80" s="62">
        <f ca="1">IF(AP$3,INDIRECT(AP$5&amp;$I80),"")</f>
        <v>15.889553362232402</v>
      </c>
      <c r="AQ80" s="62">
        <f ca="1">IF(AQ$3,INDIRECT(AQ$5&amp;$I80),"")</f>
        <v>16.908615226050991</v>
      </c>
      <c r="AR80" s="62">
        <f ca="1">IF(AR$3,INDIRECT(AR$5&amp;$I80),"")</f>
        <v>15.851247452570165</v>
      </c>
      <c r="AS80" s="62">
        <f ca="1">IF(AS$3,INDIRECT(AS$5&amp;$I80),"")</f>
        <v>15.617109899017649</v>
      </c>
      <c r="AT80" s="62">
        <f ca="1">IF(AT$3,INDIRECT(AT$5&amp;$I80),"")</f>
        <v>18.490115768191938</v>
      </c>
      <c r="AU80" s="62">
        <f ca="1">IF(AU$3,INDIRECT(AU$5&amp;$I80),"")</f>
        <v>15.771547662211667</v>
      </c>
      <c r="AV80" s="62">
        <f ca="1">IF(AV$3,INDIRECT(AV$5&amp;$I80),"")</f>
        <v>18.723464712574984</v>
      </c>
      <c r="AW80" s="62">
        <f ca="1">IF(AW$3,INDIRECT(AW$5&amp;$I80),"")</f>
        <v>16.44384097602768</v>
      </c>
    </row>
    <row r="81" spans="1:49">
      <c r="C81" s="58" t="s">
        <v>97</v>
      </c>
      <c r="D81" s="62">
        <f t="shared" ca="1" si="39"/>
        <v>16.834364005510995</v>
      </c>
      <c r="E81" s="62">
        <f t="shared" ca="1" si="40"/>
        <v>3.7191027768574196</v>
      </c>
      <c r="F81" s="62">
        <f t="shared" ca="1" si="41"/>
        <v>9.6201172021193972</v>
      </c>
      <c r="G81" s="62">
        <f t="shared" ca="1" si="42"/>
        <v>24.321386767801368</v>
      </c>
      <c r="H81" s="59">
        <f t="shared" ca="1" si="43"/>
        <v>3.9529075822164561</v>
      </c>
      <c r="I81" s="58" t="s">
        <v>100</v>
      </c>
      <c r="J81" s="62">
        <f ca="1">IF(J$3,INDIRECT(J$5&amp;$I81),"")</f>
        <v>17.585705656521732</v>
      </c>
      <c r="K81" s="62">
        <f ca="1">IF(K$3,INDIRECT(K$5&amp;$I81),"")</f>
        <v>19.274274641257737</v>
      </c>
      <c r="L81" s="62">
        <f ca="1">IF(L$3,INDIRECT(L$5&amp;$I81),"")</f>
        <v>13.868203597137112</v>
      </c>
      <c r="M81" s="62" t="str">
        <f ca="1">IF(M$3,INDIRECT(M$5&amp;$I81),"")</f>
        <v/>
      </c>
      <c r="N81" s="62">
        <f ca="1">IF(N$3,INDIRECT(N$5&amp;$I81),"")</f>
        <v>20.076749953940919</v>
      </c>
      <c r="O81" s="62">
        <f ca="1">IF(O$3,INDIRECT(O$5&amp;$I81),"")</f>
        <v>16.595493067550173</v>
      </c>
      <c r="P81" s="62">
        <f ca="1">IF(P$3,INDIRECT(P$5&amp;$I81),"")</f>
        <v>16.018316524637271</v>
      </c>
      <c r="Q81" s="62">
        <f ca="1">IF(Q$3,INDIRECT(Q$5&amp;$I81),"")</f>
        <v>22.389540083247866</v>
      </c>
      <c r="R81" s="62">
        <f ca="1">IF(R$3,INDIRECT(R$5&amp;$I81),"")</f>
        <v>19.573719873070758</v>
      </c>
      <c r="S81" s="62">
        <f ca="1">IF(S$3,INDIRECT(S$5&amp;$I81),"")</f>
        <v>17.634504539622466</v>
      </c>
      <c r="T81" s="62">
        <f ca="1">IF(T$3,INDIRECT(T$5&amp;$I81),"")</f>
        <v>13.78484935501201</v>
      </c>
      <c r="U81" s="62">
        <f ca="1">IF(U$3,INDIRECT(U$5&amp;$I81),"")</f>
        <v>18.816603175076494</v>
      </c>
      <c r="V81" s="62">
        <f ca="1">IF(V$3,INDIRECT(V$5&amp;$I81),"")</f>
        <v>16.844311148869409</v>
      </c>
      <c r="W81" s="62">
        <f ca="1">IF(W$3,INDIRECT(W$5&amp;$I81),"")</f>
        <v>14.6812229450255</v>
      </c>
      <c r="X81" s="62">
        <f ca="1">IF(X$3,INDIRECT(X$5&amp;$I81),"")</f>
        <v>16.815548055459619</v>
      </c>
      <c r="Y81" s="62">
        <f ca="1">IF(Y$3,INDIRECT(Y$5&amp;$I81),"")</f>
        <v>21.004927047404646</v>
      </c>
      <c r="Z81" s="62" t="str">
        <f ca="1">IF(Z$3,INDIRECT(Z$5&amp;$I81),"")</f>
        <v/>
      </c>
      <c r="AA81" s="62">
        <f ca="1">IF(AA$3,INDIRECT(AA$5&amp;$I81),"")</f>
        <v>22.66972859988228</v>
      </c>
      <c r="AB81" s="62" t="str">
        <f ca="1">IF(AB$3,INDIRECT(AB$5&amp;$I81),"")</f>
        <v/>
      </c>
      <c r="AC81" s="62">
        <f ca="1">IF(AC$3,INDIRECT(AC$5&amp;$I81),"")</f>
        <v>13.335505168527652</v>
      </c>
      <c r="AD81" s="62" t="str">
        <f ca="1">IF(AD$3,INDIRECT(AD$5&amp;$I81),"")</f>
        <v/>
      </c>
      <c r="AE81" s="62">
        <f ca="1">IF(AE$3,INDIRECT(AE$5&amp;$I81),"")</f>
        <v>16.89106540892087</v>
      </c>
      <c r="AF81" s="62">
        <f ca="1">IF(AF$3,INDIRECT(AF$5&amp;$I81),"")</f>
        <v>14.468841508178381</v>
      </c>
      <c r="AG81" s="62" t="str">
        <f ca="1">IF(AG$3,INDIRECT(AG$5&amp;$I81),"")</f>
        <v/>
      </c>
      <c r="AH81" s="62">
        <f ca="1">IF(AH$3,INDIRECT(AH$5&amp;$I81),"")</f>
        <v>14.069784358126523</v>
      </c>
      <c r="AI81" s="62">
        <f ca="1">IF(AI$3,INDIRECT(AI$5&amp;$I81),"")</f>
        <v>19.913414043089439</v>
      </c>
      <c r="AJ81" s="62">
        <f ca="1">IF(AJ$3,INDIRECT(AJ$5&amp;$I81),"")</f>
        <v>24.321386767801368</v>
      </c>
      <c r="AK81" s="62">
        <f ca="1">IF(AK$3,INDIRECT(AK$5&amp;$I81),"")</f>
        <v>19.600093646425936</v>
      </c>
      <c r="AL81" s="62">
        <f ca="1">IF(AL$3,INDIRECT(AL$5&amp;$I81),"")</f>
        <v>20.770820784119035</v>
      </c>
      <c r="AM81" s="62">
        <f ca="1">IF(AM$3,INDIRECT(AM$5&amp;$I81),"")</f>
        <v>12.318380804806457</v>
      </c>
      <c r="AN81" s="62">
        <f ca="1">IF(AN$3,INDIRECT(AN$5&amp;$I81),"")</f>
        <v>17.565593517288811</v>
      </c>
      <c r="AO81" s="62">
        <f ca="1">IF(AO$3,INDIRECT(AO$5&amp;$I81),"")</f>
        <v>14.736143470163103</v>
      </c>
      <c r="AP81" s="62">
        <f ca="1">IF(AP$3,INDIRECT(AP$5&amp;$I81),"")</f>
        <v>13.95797654969329</v>
      </c>
      <c r="AQ81" s="62">
        <f ca="1">IF(AQ$3,INDIRECT(AQ$5&amp;$I81),"")</f>
        <v>14.913062400530801</v>
      </c>
      <c r="AR81" s="62">
        <f ca="1">IF(AR$3,INDIRECT(AR$5&amp;$I81),"")</f>
        <v>13.852849313301677</v>
      </c>
      <c r="AS81" s="62">
        <f ca="1">IF(AS$3,INDIRECT(AS$5&amp;$I81),"")</f>
        <v>10.477481557273853</v>
      </c>
      <c r="AT81" s="62">
        <f ca="1">IF(AT$3,INDIRECT(AT$5&amp;$I81),"")</f>
        <v>23.3314205570985</v>
      </c>
      <c r="AU81" s="62">
        <f ca="1">IF(AU$3,INDIRECT(AU$5&amp;$I81),"")</f>
        <v>10.479665582019928</v>
      </c>
      <c r="AV81" s="62">
        <f ca="1">IF(AV$3,INDIRECT(AV$5&amp;$I81),"")</f>
        <v>16.945439289683716</v>
      </c>
      <c r="AW81" s="62">
        <f ca="1">IF(AW$3,INDIRECT(AW$5&amp;$I81),"")</f>
        <v>9.6201172021193972</v>
      </c>
    </row>
    <row r="83" spans="1:49">
      <c r="C83" s="63" t="str">
        <f>CHAR(34) &amp; "EEpromVersion" &amp;CHAR(34)  &amp; ",3,"</f>
        <v>"EEpromVersion",3,</v>
      </c>
      <c r="E83" s="64"/>
      <c r="F83" s="64"/>
      <c r="G83" s="64"/>
      <c r="H83" s="64"/>
    </row>
    <row r="84" spans="1:49">
      <c r="C84" s="13" t="str">
        <f ca="1">linefmt("Compensation",INT(D9))</f>
        <v>"Compensation",36,</v>
      </c>
      <c r="E84" s="65"/>
      <c r="F84" s="65"/>
      <c r="G84" s="65"/>
      <c r="H84" s="65"/>
    </row>
    <row r="85" spans="1:49">
      <c r="C85" s="14" t="str">
        <f ca="1">linefmt("CardGain",D79,D80,D81)</f>
        <v>"CardGain",16.05335,16.79803,16.83436,</v>
      </c>
      <c r="E85" s="65"/>
      <c r="F85" s="65"/>
      <c r="G85" s="65"/>
      <c r="H85" s="65"/>
    </row>
    <row r="86" spans="1:49">
      <c r="C86" s="14" t="str">
        <f ca="1">linefmt("Range",D39,D40,D41)</f>
        <v>"Range",1,0.9168401,1.014438,</v>
      </c>
      <c r="E86" s="65"/>
      <c r="F86" s="65"/>
      <c r="G86" s="65"/>
      <c r="H86" s="65"/>
    </row>
    <row r="87" spans="1:49">
      <c r="C87" s="14" t="str">
        <f>linefmt("CCM" )</f>
        <v>"CCM",</v>
      </c>
      <c r="E87" s="65"/>
      <c r="F87" s="65"/>
      <c r="G87" s="65"/>
      <c r="H87" s="65"/>
    </row>
    <row r="88" spans="1:49">
      <c r="A88" s="79">
        <v>0</v>
      </c>
      <c r="B88" s="58" t="s">
        <v>3</v>
      </c>
      <c r="C88" s="15" t="str">
        <f ca="1">linefmt("",D52,D53,D54)</f>
        <v>0.2240928,1.029205,-0.383466,</v>
      </c>
      <c r="E88" s="64"/>
      <c r="F88" s="64"/>
      <c r="G88" s="64"/>
      <c r="H88" s="64"/>
    </row>
    <row r="89" spans="1:49">
      <c r="A89" s="79"/>
      <c r="B89" s="58" t="s">
        <v>4</v>
      </c>
      <c r="C89" s="15" t="str">
        <f ca="1">linefmt("",D55,D56,D57)</f>
        <v>5.864337E-02,1,-6.308471E-02,</v>
      </c>
      <c r="E89" s="64"/>
      <c r="F89" s="64"/>
      <c r="G89" s="64"/>
      <c r="H89" s="64"/>
    </row>
    <row r="90" spans="1:49">
      <c r="A90" s="79"/>
      <c r="B90" s="58" t="s">
        <v>5</v>
      </c>
      <c r="C90" s="15" t="str">
        <f ca="1">linefmt("",D58,D59,D60)</f>
        <v>-0.519435,0.3654601,1.118124,</v>
      </c>
      <c r="E90" s="64"/>
      <c r="F90" s="64"/>
      <c r="G90" s="64"/>
      <c r="H90" s="64"/>
    </row>
    <row r="91" spans="1:49">
      <c r="A91" s="79">
        <v>1</v>
      </c>
      <c r="B91" s="58" t="str">
        <f>B88</f>
        <v>X</v>
      </c>
      <c r="C91" s="15" t="str">
        <f ca="1">linefmt("",D61,D62,D63)</f>
        <v>0.2440069,1.026228,-0.4596415,</v>
      </c>
      <c r="E91" s="64"/>
      <c r="F91" s="64"/>
      <c r="G91" s="64"/>
      <c r="H91" s="64"/>
    </row>
    <row r="92" spans="1:49">
      <c r="A92" s="79"/>
      <c r="B92" s="58" t="str">
        <f t="shared" ref="B92:B96" si="44">B89</f>
        <v>Y</v>
      </c>
      <c r="C92" s="15" t="str">
        <f ca="1">linefmt("",D64,D65,D66)</f>
        <v>7.956868E-02,1,-0.1517154,</v>
      </c>
      <c r="E92" s="64"/>
      <c r="F92" s="64"/>
      <c r="G92" s="64"/>
      <c r="H92" s="64"/>
    </row>
    <row r="93" spans="1:49">
      <c r="A93" s="79"/>
      <c r="B93" s="58" t="str">
        <f t="shared" si="44"/>
        <v>Z</v>
      </c>
      <c r="C93" s="15" t="str">
        <f ca="1">linefmt("",D67,D68,D69)</f>
        <v>-0.505722,0.3756531,1.029559,</v>
      </c>
      <c r="E93" s="64"/>
      <c r="F93" s="64"/>
      <c r="G93" s="64"/>
      <c r="H93" s="64"/>
    </row>
    <row r="94" spans="1:49">
      <c r="A94" s="79">
        <v>2</v>
      </c>
      <c r="B94" s="58" t="str">
        <f t="shared" si="44"/>
        <v>X</v>
      </c>
      <c r="C94" s="15" t="str">
        <f ca="1">linefmt("",D70,D71,D72)</f>
        <v>0.2270778,1.068408,-0.4356994,</v>
      </c>
      <c r="E94" s="64"/>
      <c r="F94" s="64"/>
      <c r="G94" s="64"/>
      <c r="H94" s="64"/>
    </row>
    <row r="95" spans="1:49">
      <c r="A95" s="79"/>
      <c r="B95" s="58" t="str">
        <f t="shared" si="44"/>
        <v>Y</v>
      </c>
      <c r="C95" s="15" t="str">
        <f ca="1">linefmt("",D73,D74,D75)</f>
        <v>6.264979E-02,1,-6.384228E-02,</v>
      </c>
      <c r="E95" s="64"/>
      <c r="F95" s="64"/>
      <c r="G95" s="64"/>
      <c r="H95" s="64"/>
    </row>
    <row r="96" spans="1:49">
      <c r="A96" s="79"/>
      <c r="B96" s="58" t="str">
        <f t="shared" si="44"/>
        <v>Z</v>
      </c>
      <c r="C96" s="16" t="str">
        <f ca="1">linefmt("",D76,D77,D78)</f>
        <v>-0.518084,0.2311056,1.30026,</v>
      </c>
      <c r="E96" s="64"/>
      <c r="F96" s="64"/>
      <c r="G96" s="64"/>
      <c r="H96" s="64"/>
    </row>
    <row r="97" spans="1:49">
      <c r="A97" s="85" t="s">
        <v>101</v>
      </c>
      <c r="B97" s="85"/>
      <c r="C97" s="85"/>
    </row>
    <row r="98" spans="1:49">
      <c r="A98" s="85"/>
      <c r="B98" s="85"/>
      <c r="C98" s="85"/>
      <c r="D98" s="58" t="str">
        <f>D5</f>
        <v>Mean</v>
      </c>
      <c r="E98" s="58" t="str">
        <f t="shared" ref="E98:I98" si="45">E5</f>
        <v>stDev</v>
      </c>
      <c r="F98" s="58" t="str">
        <f t="shared" si="45"/>
        <v>Min</v>
      </c>
      <c r="G98" s="58" t="str">
        <f t="shared" si="45"/>
        <v>Max</v>
      </c>
      <c r="H98" s="58" t="str">
        <f t="shared" si="45"/>
        <v>Spread</v>
      </c>
      <c r="I98" s="58" t="str">
        <f t="shared" si="45"/>
        <v>Cell</v>
      </c>
      <c r="J98" s="58">
        <f>J2</f>
        <v>1</v>
      </c>
      <c r="K98" s="58">
        <f t="shared" ref="K98:AW98" si="46">K2</f>
        <v>2</v>
      </c>
      <c r="L98" s="58">
        <f t="shared" si="46"/>
        <v>3</v>
      </c>
      <c r="M98" s="58">
        <f t="shared" si="46"/>
        <v>4</v>
      </c>
      <c r="N98" s="58">
        <f t="shared" si="46"/>
        <v>5</v>
      </c>
      <c r="O98" s="58">
        <f t="shared" si="46"/>
        <v>6</v>
      </c>
      <c r="P98" s="58">
        <f t="shared" si="46"/>
        <v>7</v>
      </c>
      <c r="Q98" s="58">
        <f t="shared" si="46"/>
        <v>8</v>
      </c>
      <c r="R98" s="58">
        <f t="shared" si="46"/>
        <v>9</v>
      </c>
      <c r="S98" s="58">
        <f t="shared" si="46"/>
        <v>10</v>
      </c>
      <c r="T98" s="58">
        <f t="shared" si="46"/>
        <v>11</v>
      </c>
      <c r="U98" s="58">
        <f t="shared" si="46"/>
        <v>12</v>
      </c>
      <c r="V98" s="58">
        <f t="shared" si="46"/>
        <v>13</v>
      </c>
      <c r="W98" s="58">
        <f t="shared" si="46"/>
        <v>14</v>
      </c>
      <c r="X98" s="58">
        <f t="shared" si="46"/>
        <v>15</v>
      </c>
      <c r="Y98" s="58">
        <f t="shared" si="46"/>
        <v>16</v>
      </c>
      <c r="Z98" s="58">
        <f t="shared" si="46"/>
        <v>17</v>
      </c>
      <c r="AA98" s="58">
        <f t="shared" si="46"/>
        <v>18</v>
      </c>
      <c r="AB98" s="58">
        <f t="shared" si="46"/>
        <v>19</v>
      </c>
      <c r="AC98" s="58">
        <f t="shared" si="46"/>
        <v>20</v>
      </c>
      <c r="AD98" s="58">
        <f t="shared" si="46"/>
        <v>21</v>
      </c>
      <c r="AE98" s="58">
        <f t="shared" si="46"/>
        <v>22</v>
      </c>
      <c r="AF98" s="58">
        <f t="shared" si="46"/>
        <v>23</v>
      </c>
      <c r="AG98" s="58">
        <f t="shared" si="46"/>
        <v>24</v>
      </c>
      <c r="AH98" s="58">
        <f t="shared" si="46"/>
        <v>25</v>
      </c>
      <c r="AI98" s="58">
        <f t="shared" si="46"/>
        <v>26</v>
      </c>
      <c r="AJ98" s="58">
        <f t="shared" si="46"/>
        <v>27</v>
      </c>
      <c r="AK98" s="58">
        <f t="shared" si="46"/>
        <v>28</v>
      </c>
      <c r="AL98" s="58">
        <f t="shared" si="46"/>
        <v>29</v>
      </c>
      <c r="AM98" s="58">
        <f t="shared" si="46"/>
        <v>30</v>
      </c>
      <c r="AN98" s="58">
        <f t="shared" si="46"/>
        <v>31</v>
      </c>
      <c r="AO98" s="58">
        <f t="shared" si="46"/>
        <v>32</v>
      </c>
      <c r="AP98" s="58">
        <f t="shared" si="46"/>
        <v>33</v>
      </c>
      <c r="AQ98" s="58">
        <f t="shared" si="46"/>
        <v>34</v>
      </c>
      <c r="AR98" s="58">
        <f t="shared" si="46"/>
        <v>35</v>
      </c>
      <c r="AS98" s="58">
        <f t="shared" si="46"/>
        <v>36</v>
      </c>
      <c r="AT98" s="58">
        <f t="shared" si="46"/>
        <v>37</v>
      </c>
      <c r="AU98" s="58">
        <f t="shared" si="46"/>
        <v>38</v>
      </c>
      <c r="AV98" s="58">
        <f t="shared" si="46"/>
        <v>39</v>
      </c>
      <c r="AW98" s="58">
        <f t="shared" si="46"/>
        <v>40</v>
      </c>
    </row>
    <row r="99" spans="1:49">
      <c r="A99" s="79" t="s">
        <v>0</v>
      </c>
      <c r="B99" s="58" t="str">
        <f>B88</f>
        <v>X</v>
      </c>
      <c r="D99" s="59">
        <f t="shared" ref="D99" ca="1" si="47">AVERAGE(J99:AW99)</f>
        <v>554.70714285714291</v>
      </c>
      <c r="E99" s="59">
        <f t="shared" ref="E99" ca="1" si="48">STDEV(J99:AW99)</f>
        <v>5.5210312183724177</v>
      </c>
      <c r="F99" s="59">
        <f t="shared" ref="F99" ca="1" si="49">MIN(J99:AW99)</f>
        <v>537.75</v>
      </c>
      <c r="G99" s="59">
        <f t="shared" ref="G99" ca="1" si="50">MAX(J99:AW99)</f>
        <v>566</v>
      </c>
      <c r="H99" s="59">
        <f t="shared" ref="H99" ca="1" si="51">(G99-F99)/E99</f>
        <v>5.1167977290170095</v>
      </c>
      <c r="I99" s="58" t="s">
        <v>102</v>
      </c>
      <c r="J99" s="59">
        <f ca="1">IF(J$3,INDIRECT(J$5&amp;$I99),"")</f>
        <v>548.5</v>
      </c>
      <c r="K99" s="59">
        <f ca="1">IF(K$3,INDIRECT(K$5&amp;$I99),"")</f>
        <v>546.79999999999995</v>
      </c>
      <c r="L99" s="59">
        <f ca="1">IF(L$3,INDIRECT(L$5&amp;$I99),"")</f>
        <v>537.75</v>
      </c>
      <c r="M99" s="59" t="str">
        <f ca="1">IF(M$3,INDIRECT(M$5&amp;$I99),"")</f>
        <v/>
      </c>
      <c r="N99" s="59">
        <f ca="1">IF(N$3,INDIRECT(N$5&amp;$I99),"")</f>
        <v>544.4</v>
      </c>
      <c r="O99" s="59">
        <f ca="1">IF(O$3,INDIRECT(O$5&amp;$I99),"")</f>
        <v>547.1</v>
      </c>
      <c r="P99" s="59">
        <f ca="1">IF(P$3,INDIRECT(P$5&amp;$I99),"")</f>
        <v>566</v>
      </c>
      <c r="Q99" s="59">
        <f ca="1">IF(Q$3,INDIRECT(Q$5&amp;$I99),"")</f>
        <v>551.95000000000005</v>
      </c>
      <c r="R99" s="59">
        <f ca="1">IF(R$3,INDIRECT(R$5&amp;$I99),"")</f>
        <v>557.5</v>
      </c>
      <c r="S99" s="59">
        <f ca="1">IF(S$3,INDIRECT(S$5&amp;$I99),"")</f>
        <v>559.04999999999995</v>
      </c>
      <c r="T99" s="59">
        <f ca="1">IF(T$3,INDIRECT(T$5&amp;$I99),"")</f>
        <v>558.45000000000005</v>
      </c>
      <c r="U99" s="59">
        <f ca="1">IF(U$3,INDIRECT(U$5&amp;$I99),"")</f>
        <v>557.6</v>
      </c>
      <c r="V99" s="59">
        <f ca="1">IF(V$3,INDIRECT(V$5&amp;$I99),"")</f>
        <v>550.70000000000005</v>
      </c>
      <c r="W99" s="59">
        <f ca="1">IF(W$3,INDIRECT(W$5&amp;$I99),"")</f>
        <v>555.25</v>
      </c>
      <c r="X99" s="59">
        <f ca="1">IF(X$3,INDIRECT(X$5&amp;$I99),"")</f>
        <v>557.9</v>
      </c>
      <c r="Y99" s="59">
        <f ca="1">IF(Y$3,INDIRECT(Y$5&amp;$I99),"")</f>
        <v>555.5</v>
      </c>
      <c r="Z99" s="59" t="str">
        <f ca="1">IF(Z$3,INDIRECT(Z$5&amp;$I99),"")</f>
        <v/>
      </c>
      <c r="AA99" s="59">
        <f ca="1">IF(AA$3,INDIRECT(AA$5&amp;$I99),"")</f>
        <v>551.75</v>
      </c>
      <c r="AB99" s="59" t="str">
        <f ca="1">IF(AB$3,INDIRECT(AB$5&amp;$I99),"")</f>
        <v/>
      </c>
      <c r="AC99" s="59">
        <f ca="1">IF(AC$3,INDIRECT(AC$5&amp;$I99),"")</f>
        <v>556.25</v>
      </c>
      <c r="AD99" s="59" t="str">
        <f ca="1">IF(AD$3,INDIRECT(AD$5&amp;$I99),"")</f>
        <v/>
      </c>
      <c r="AE99" s="59">
        <f ca="1">IF(AE$3,INDIRECT(AE$5&amp;$I99),"")</f>
        <v>555.79999999999995</v>
      </c>
      <c r="AF99" s="59">
        <f ca="1">IF(AF$3,INDIRECT(AF$5&amp;$I99),"")</f>
        <v>553.75</v>
      </c>
      <c r="AG99" s="59" t="str">
        <f ca="1">IF(AG$3,INDIRECT(AG$5&amp;$I99),"")</f>
        <v/>
      </c>
      <c r="AH99" s="59">
        <f ca="1">IF(AH$3,INDIRECT(AH$5&amp;$I99),"")</f>
        <v>554.40000000000009</v>
      </c>
      <c r="AI99" s="59">
        <f ca="1">IF(AI$3,INDIRECT(AI$5&amp;$I99),"")</f>
        <v>560.6</v>
      </c>
      <c r="AJ99" s="59">
        <f ca="1">IF(AJ$3,INDIRECT(AJ$5&amp;$I99),"")</f>
        <v>554.40000000000009</v>
      </c>
      <c r="AK99" s="59">
        <f ca="1">IF(AK$3,INDIRECT(AK$5&amp;$I99),"")</f>
        <v>560.25</v>
      </c>
      <c r="AL99" s="59">
        <f ca="1">IF(AL$3,INDIRECT(AL$5&amp;$I99),"")</f>
        <v>558.65000000000009</v>
      </c>
      <c r="AM99" s="59">
        <f ca="1">IF(AM$3,INDIRECT(AM$5&amp;$I99),"")</f>
        <v>552.59999999999991</v>
      </c>
      <c r="AN99" s="59">
        <f ca="1">IF(AN$3,INDIRECT(AN$5&amp;$I99),"")</f>
        <v>556.04999999999995</v>
      </c>
      <c r="AO99" s="59">
        <f ca="1">IF(AO$3,INDIRECT(AO$5&amp;$I99),"")</f>
        <v>559.20000000000005</v>
      </c>
      <c r="AP99" s="59">
        <f ca="1">IF(AP$3,INDIRECT(AP$5&amp;$I99),"")</f>
        <v>551.95000000000005</v>
      </c>
      <c r="AQ99" s="59">
        <f ca="1">IF(AQ$3,INDIRECT(AQ$5&amp;$I99),"")</f>
        <v>552.75</v>
      </c>
      <c r="AR99" s="59">
        <f ca="1">IF(AR$3,INDIRECT(AR$5&amp;$I99),"")</f>
        <v>553.95000000000005</v>
      </c>
      <c r="AS99" s="59">
        <f ca="1">IF(AS$3,INDIRECT(AS$5&amp;$I99),"")</f>
        <v>560.29999999999995</v>
      </c>
      <c r="AT99" s="59">
        <f ca="1">IF(AT$3,INDIRECT(AT$5&amp;$I99),"")</f>
        <v>549.54999999999995</v>
      </c>
      <c r="AU99" s="59">
        <f ca="1">IF(AU$3,INDIRECT(AU$5&amp;$I99),"")</f>
        <v>561.9</v>
      </c>
      <c r="AV99" s="59">
        <f ca="1">IF(AV$3,INDIRECT(AV$5&amp;$I99),"")</f>
        <v>556.25</v>
      </c>
      <c r="AW99" s="59">
        <f ca="1">IF(AW$3,INDIRECT(AW$5&amp;$I99),"")</f>
        <v>559.95000000000005</v>
      </c>
    </row>
    <row r="100" spans="1:49">
      <c r="A100" s="79"/>
      <c r="B100" s="58" t="str">
        <f t="shared" ref="B100:B101" si="52">B89</f>
        <v>Y</v>
      </c>
      <c r="D100" s="59">
        <f t="shared" ref="D100:D116" ca="1" si="53">AVERAGE(J100:AW100)</f>
        <v>512.88857142857148</v>
      </c>
      <c r="E100" s="59">
        <f t="shared" ref="E100:E116" ca="1" si="54">STDEV(J100:AW100)</f>
        <v>7.3653310068365192</v>
      </c>
      <c r="F100" s="59">
        <f t="shared" ref="F100:F116" ca="1" si="55">MIN(J100:AW100)</f>
        <v>490.9</v>
      </c>
      <c r="G100" s="59">
        <f t="shared" ref="G100:G116" ca="1" si="56">MAX(J100:AW100)</f>
        <v>523</v>
      </c>
      <c r="H100" s="59">
        <f t="shared" ref="H100:H116" ca="1" si="57">(G100-F100)/E100</f>
        <v>4.3582562644102101</v>
      </c>
      <c r="I100" s="58" t="s">
        <v>103</v>
      </c>
      <c r="J100" s="59">
        <f ca="1">IF(J$3,INDIRECT(J$5&amp;$I100),"")</f>
        <v>500.3</v>
      </c>
      <c r="K100" s="59">
        <f ca="1">IF(K$3,INDIRECT(K$5&amp;$I100),"")</f>
        <v>499.3</v>
      </c>
      <c r="L100" s="59">
        <f ca="1">IF(L$3,INDIRECT(L$5&amp;$I100),"")</f>
        <v>490.9</v>
      </c>
      <c r="M100" s="59" t="str">
        <f ca="1">IF(M$3,INDIRECT(M$5&amp;$I100),"")</f>
        <v/>
      </c>
      <c r="N100" s="59">
        <f ca="1">IF(N$3,INDIRECT(N$5&amp;$I100),"")</f>
        <v>496.45</v>
      </c>
      <c r="O100" s="59">
        <f ca="1">IF(O$3,INDIRECT(O$5&amp;$I100),"")</f>
        <v>498.9</v>
      </c>
      <c r="P100" s="59">
        <f ca="1">IF(P$3,INDIRECT(P$5&amp;$I100),"")</f>
        <v>523</v>
      </c>
      <c r="Q100" s="59">
        <f ca="1">IF(Q$3,INDIRECT(Q$5&amp;$I100),"")</f>
        <v>510.6</v>
      </c>
      <c r="R100" s="59">
        <f ca="1">IF(R$3,INDIRECT(R$5&amp;$I100),"")</f>
        <v>515.9</v>
      </c>
      <c r="S100" s="59">
        <f ca="1">IF(S$3,INDIRECT(S$5&amp;$I100),"")</f>
        <v>516.95000000000005</v>
      </c>
      <c r="T100" s="59">
        <f ca="1">IF(T$3,INDIRECT(T$5&amp;$I100),"")</f>
        <v>516.54999999999995</v>
      </c>
      <c r="U100" s="59">
        <f ca="1">IF(U$3,INDIRECT(U$5&amp;$I100),"")</f>
        <v>515.79999999999995</v>
      </c>
      <c r="V100" s="59">
        <f ca="1">IF(V$3,INDIRECT(V$5&amp;$I100),"")</f>
        <v>509.65</v>
      </c>
      <c r="W100" s="59">
        <f ca="1">IF(W$3,INDIRECT(W$5&amp;$I100),"")</f>
        <v>513.70000000000005</v>
      </c>
      <c r="X100" s="59">
        <f ca="1">IF(X$3,INDIRECT(X$5&amp;$I100),"")</f>
        <v>516.1</v>
      </c>
      <c r="Y100" s="59">
        <f ca="1">IF(Y$3,INDIRECT(Y$5&amp;$I100),"")</f>
        <v>513.79999999999995</v>
      </c>
      <c r="Z100" s="59" t="str">
        <f ca="1">IF(Z$3,INDIRECT(Z$5&amp;$I100),"")</f>
        <v/>
      </c>
      <c r="AA100" s="59">
        <f ca="1">IF(AA$3,INDIRECT(AA$5&amp;$I100),"")</f>
        <v>510.5</v>
      </c>
      <c r="AB100" s="59" t="str">
        <f ca="1">IF(AB$3,INDIRECT(AB$5&amp;$I100),"")</f>
        <v/>
      </c>
      <c r="AC100" s="59">
        <f ca="1">IF(AC$3,INDIRECT(AC$5&amp;$I100),"")</f>
        <v>514.85</v>
      </c>
      <c r="AD100" s="59" t="str">
        <f ca="1">IF(AD$3,INDIRECT(AD$5&amp;$I100),"")</f>
        <v/>
      </c>
      <c r="AE100" s="59">
        <f ca="1">IF(AE$3,INDIRECT(AE$5&amp;$I100),"")</f>
        <v>514.15</v>
      </c>
      <c r="AF100" s="59">
        <f ca="1">IF(AF$3,INDIRECT(AF$5&amp;$I100),"")</f>
        <v>512.40000000000009</v>
      </c>
      <c r="AG100" s="59" t="str">
        <f ca="1">IF(AG$3,INDIRECT(AG$5&amp;$I100),"")</f>
        <v/>
      </c>
      <c r="AH100" s="59">
        <f ca="1">IF(AH$3,INDIRECT(AH$5&amp;$I100),"")</f>
        <v>514.25</v>
      </c>
      <c r="AI100" s="59">
        <f ca="1">IF(AI$3,INDIRECT(AI$5&amp;$I100),"")</f>
        <v>519.95000000000005</v>
      </c>
      <c r="AJ100" s="59">
        <f ca="1">IF(AJ$3,INDIRECT(AJ$5&amp;$I100),"")</f>
        <v>514.25</v>
      </c>
      <c r="AK100" s="59">
        <f ca="1">IF(AK$3,INDIRECT(AK$5&amp;$I100),"")</f>
        <v>519.75</v>
      </c>
      <c r="AL100" s="59">
        <f ca="1">IF(AL$3,INDIRECT(AL$5&amp;$I100),"")</f>
        <v>518.40000000000009</v>
      </c>
      <c r="AM100" s="59">
        <f ca="1">IF(AM$3,INDIRECT(AM$5&amp;$I100),"")</f>
        <v>512.95000000000005</v>
      </c>
      <c r="AN100" s="59">
        <f ca="1">IF(AN$3,INDIRECT(AN$5&amp;$I100),"")</f>
        <v>516</v>
      </c>
      <c r="AO100" s="59">
        <f ca="1">IF(AO$3,INDIRECT(AO$5&amp;$I100),"")</f>
        <v>519.09999999999991</v>
      </c>
      <c r="AP100" s="59">
        <f ca="1">IF(AP$3,INDIRECT(AP$5&amp;$I100),"")</f>
        <v>512.35</v>
      </c>
      <c r="AQ100" s="59">
        <f ca="1">IF(AQ$3,INDIRECT(AQ$5&amp;$I100),"")</f>
        <v>512.95000000000005</v>
      </c>
      <c r="AR100" s="59">
        <f ca="1">IF(AR$3,INDIRECT(AR$5&amp;$I100),"")</f>
        <v>514</v>
      </c>
      <c r="AS100" s="59">
        <f ca="1">IF(AS$3,INDIRECT(AS$5&amp;$I100),"")</f>
        <v>519.95000000000005</v>
      </c>
      <c r="AT100" s="59">
        <f ca="1">IF(AT$3,INDIRECT(AT$5&amp;$I100),"")</f>
        <v>510.3</v>
      </c>
      <c r="AU100" s="59">
        <f ca="1">IF(AU$3,INDIRECT(AU$5&amp;$I100),"")</f>
        <v>521.25</v>
      </c>
      <c r="AV100" s="59">
        <f ca="1">IF(AV$3,INDIRECT(AV$5&amp;$I100),"")</f>
        <v>516.29999999999995</v>
      </c>
      <c r="AW100" s="59">
        <f ca="1">IF(AW$3,INDIRECT(AW$5&amp;$I100),"")</f>
        <v>519.54999999999995</v>
      </c>
    </row>
    <row r="101" spans="1:49">
      <c r="A101" s="79"/>
      <c r="B101" s="58" t="str">
        <f t="shared" si="52"/>
        <v>Z</v>
      </c>
      <c r="D101" s="59">
        <f t="shared" ca="1" si="53"/>
        <v>154.01</v>
      </c>
      <c r="E101" s="59">
        <f t="shared" ca="1" si="54"/>
        <v>3.4253767504266333</v>
      </c>
      <c r="F101" s="59">
        <f t="shared" ca="1" si="55"/>
        <v>145.80000000000001</v>
      </c>
      <c r="G101" s="59">
        <f t="shared" ca="1" si="56"/>
        <v>156.85</v>
      </c>
      <c r="H101" s="59">
        <f t="shared" ca="1" si="57"/>
        <v>3.2259225203836914</v>
      </c>
      <c r="I101" s="58" t="s">
        <v>104</v>
      </c>
      <c r="J101" s="59">
        <f ca="1">IF(J$3,INDIRECT(J$5&amp;$I101),"")</f>
        <v>145.80000000000001</v>
      </c>
      <c r="K101" s="59">
        <f ca="1">IF(K$3,INDIRECT(K$5&amp;$I101),"")</f>
        <v>145.94999999999999</v>
      </c>
      <c r="L101" s="59">
        <f ca="1">IF(L$3,INDIRECT(L$5&amp;$I101),"")</f>
        <v>145.85</v>
      </c>
      <c r="M101" s="59" t="str">
        <f ca="1">IF(M$3,INDIRECT(M$5&amp;$I101),"")</f>
        <v/>
      </c>
      <c r="N101" s="59">
        <f ca="1">IF(N$3,INDIRECT(N$5&amp;$I101),"")</f>
        <v>146.44999999999999</v>
      </c>
      <c r="O101" s="59">
        <f ca="1">IF(O$3,INDIRECT(O$5&amp;$I101),"")</f>
        <v>146.6</v>
      </c>
      <c r="P101" s="59">
        <f ca="1">IF(P$3,INDIRECT(P$5&amp;$I101),"")</f>
        <v>154</v>
      </c>
      <c r="Q101" s="59">
        <f ca="1">IF(Q$3,INDIRECT(Q$5&amp;$I101),"")</f>
        <v>154.1</v>
      </c>
      <c r="R101" s="59">
        <f ca="1">IF(R$3,INDIRECT(R$5&amp;$I101),"")</f>
        <v>154.4</v>
      </c>
      <c r="S101" s="59">
        <f ca="1">IF(S$3,INDIRECT(S$5&amp;$I101),"")</f>
        <v>154.35000000000002</v>
      </c>
      <c r="T101" s="59">
        <f ca="1">IF(T$3,INDIRECT(T$5&amp;$I101),"")</f>
        <v>154.4</v>
      </c>
      <c r="U101" s="59">
        <f ca="1">IF(U$3,INDIRECT(U$5&amp;$I101),"")</f>
        <v>154.30000000000001</v>
      </c>
      <c r="V101" s="59">
        <f ca="1">IF(V$3,INDIRECT(V$5&amp;$I101),"")</f>
        <v>155.05000000000001</v>
      </c>
      <c r="W101" s="59">
        <f ca="1">IF(W$3,INDIRECT(W$5&amp;$I101),"")</f>
        <v>154.55000000000001</v>
      </c>
      <c r="X101" s="59">
        <f ca="1">IF(X$3,INDIRECT(X$5&amp;$I101),"")</f>
        <v>154.35000000000002</v>
      </c>
      <c r="Y101" s="59">
        <f ca="1">IF(Y$3,INDIRECT(Y$5&amp;$I101),"")</f>
        <v>154.5</v>
      </c>
      <c r="Z101" s="59" t="str">
        <f ca="1">IF(Z$3,INDIRECT(Z$5&amp;$I101),"")</f>
        <v/>
      </c>
      <c r="AA101" s="59">
        <f ca="1">IF(AA$3,INDIRECT(AA$5&amp;$I101),"")</f>
        <v>153.94999999999999</v>
      </c>
      <c r="AB101" s="59" t="str">
        <f ca="1">IF(AB$3,INDIRECT(AB$5&amp;$I101),"")</f>
        <v/>
      </c>
      <c r="AC101" s="59">
        <f ca="1">IF(AC$3,INDIRECT(AC$5&amp;$I101),"")</f>
        <v>154</v>
      </c>
      <c r="AD101" s="59" t="str">
        <f ca="1">IF(AD$3,INDIRECT(AD$5&amp;$I101),"")</f>
        <v/>
      </c>
      <c r="AE101" s="59">
        <f ca="1">IF(AE$3,INDIRECT(AE$5&amp;$I101),"")</f>
        <v>153.80000000000001</v>
      </c>
      <c r="AF101" s="59">
        <f ca="1">IF(AF$3,INDIRECT(AF$5&amp;$I101),"")</f>
        <v>153.44999999999999</v>
      </c>
      <c r="AG101" s="59" t="str">
        <f ca="1">IF(AG$3,INDIRECT(AG$5&amp;$I101),"")</f>
        <v/>
      </c>
      <c r="AH101" s="59">
        <f ca="1">IF(AH$3,INDIRECT(AH$5&amp;$I101),"")</f>
        <v>155.5</v>
      </c>
      <c r="AI101" s="59">
        <f ca="1">IF(AI$3,INDIRECT(AI$5&amp;$I101),"")</f>
        <v>156.19999999999999</v>
      </c>
      <c r="AJ101" s="59">
        <f ca="1">IF(AJ$3,INDIRECT(AJ$5&amp;$I101),"")</f>
        <v>155.5</v>
      </c>
      <c r="AK101" s="59">
        <f ca="1">IF(AK$3,INDIRECT(AK$5&amp;$I101),"")</f>
        <v>156.75</v>
      </c>
      <c r="AL101" s="59">
        <f ca="1">IF(AL$3,INDIRECT(AL$5&amp;$I101),"")</f>
        <v>156.44999999999999</v>
      </c>
      <c r="AM101" s="59">
        <f ca="1">IF(AM$3,INDIRECT(AM$5&amp;$I101),"")</f>
        <v>156.85</v>
      </c>
      <c r="AN101" s="59">
        <f ca="1">IF(AN$3,INDIRECT(AN$5&amp;$I101),"")</f>
        <v>156.5</v>
      </c>
      <c r="AO101" s="59">
        <f ca="1">IF(AO$3,INDIRECT(AO$5&amp;$I101),"")</f>
        <v>156.6</v>
      </c>
      <c r="AP101" s="59">
        <f ca="1">IF(AP$3,INDIRECT(AP$5&amp;$I101),"")</f>
        <v>156.25</v>
      </c>
      <c r="AQ101" s="59">
        <f ca="1">IF(AQ$3,INDIRECT(AQ$5&amp;$I101),"")</f>
        <v>155.9</v>
      </c>
      <c r="AR101" s="59">
        <f ca="1">IF(AR$3,INDIRECT(AR$5&amp;$I101),"")</f>
        <v>155.85000000000002</v>
      </c>
      <c r="AS101" s="59">
        <f ca="1">IF(AS$3,INDIRECT(AS$5&amp;$I101),"")</f>
        <v>156.69999999999999</v>
      </c>
      <c r="AT101" s="59">
        <f ca="1">IF(AT$3,INDIRECT(AT$5&amp;$I101),"")</f>
        <v>156.55000000000001</v>
      </c>
      <c r="AU101" s="59">
        <f ca="1">IF(AU$3,INDIRECT(AU$5&amp;$I101),"")</f>
        <v>156.44999999999999</v>
      </c>
      <c r="AV101" s="59">
        <f ca="1">IF(AV$3,INDIRECT(AV$5&amp;$I101),"")</f>
        <v>155.9</v>
      </c>
      <c r="AW101" s="59">
        <f ca="1">IF(AW$3,INDIRECT(AW$5&amp;$I101),"")</f>
        <v>156.55000000000001</v>
      </c>
    </row>
    <row r="102" spans="1:49">
      <c r="A102" s="79" t="s">
        <v>1</v>
      </c>
      <c r="B102" s="58" t="str">
        <f>B99</f>
        <v>X</v>
      </c>
      <c r="D102" s="59">
        <f t="shared" ca="1" si="53"/>
        <v>1199.7</v>
      </c>
      <c r="E102" s="59">
        <f t="shared" ca="1" si="54"/>
        <v>6.4022055023375719</v>
      </c>
      <c r="F102" s="59">
        <f t="shared" ca="1" si="55"/>
        <v>1185.5</v>
      </c>
      <c r="G102" s="59">
        <f t="shared" ca="1" si="56"/>
        <v>1209.5</v>
      </c>
      <c r="H102" s="59">
        <f t="shared" ca="1" si="57"/>
        <v>3.7487081586551891</v>
      </c>
      <c r="I102" s="58" t="s">
        <v>105</v>
      </c>
      <c r="J102" s="59">
        <f ca="1">IF(J$3,INDIRECT(J$5&amp;$I102),"")</f>
        <v>1185.5</v>
      </c>
      <c r="K102" s="59">
        <f ca="1">IF(K$3,INDIRECT(K$5&amp;$I102),"")</f>
        <v>1185.5</v>
      </c>
      <c r="L102" s="59">
        <f ca="1">IF(L$3,INDIRECT(L$5&amp;$I102),"")</f>
        <v>1194</v>
      </c>
      <c r="M102" s="59" t="str">
        <f ca="1">IF(M$3,INDIRECT(M$5&amp;$I102),"")</f>
        <v/>
      </c>
      <c r="N102" s="59">
        <f ca="1">IF(N$3,INDIRECT(N$5&amp;$I102),"")</f>
        <v>1186</v>
      </c>
      <c r="O102" s="59">
        <f ca="1">IF(O$3,INDIRECT(O$5&amp;$I102),"")</f>
        <v>1189</v>
      </c>
      <c r="P102" s="59">
        <f ca="1">IF(P$3,INDIRECT(P$5&amp;$I102),"")</f>
        <v>1204.5</v>
      </c>
      <c r="Q102" s="59">
        <f ca="1">IF(Q$3,INDIRECT(Q$5&amp;$I102),"")</f>
        <v>1195</v>
      </c>
      <c r="R102" s="59">
        <f ca="1">IF(R$3,INDIRECT(R$5&amp;$I102),"")</f>
        <v>1204.5</v>
      </c>
      <c r="S102" s="59">
        <f ca="1">IF(S$3,INDIRECT(S$5&amp;$I102),"")</f>
        <v>1201.5</v>
      </c>
      <c r="T102" s="59">
        <f ca="1">IF(T$3,INDIRECT(T$5&amp;$I102),"")</f>
        <v>1209.5</v>
      </c>
      <c r="U102" s="59">
        <f ca="1">IF(U$3,INDIRECT(U$5&amp;$I102),"")</f>
        <v>1201.5</v>
      </c>
      <c r="V102" s="59">
        <f ca="1">IF(V$3,INDIRECT(V$5&amp;$I102),"")</f>
        <v>1202</v>
      </c>
      <c r="W102" s="59">
        <f ca="1">IF(W$3,INDIRECT(W$5&amp;$I102),"")</f>
        <v>1202</v>
      </c>
      <c r="X102" s="59">
        <f ca="1">IF(X$3,INDIRECT(X$5&amp;$I102),"")</f>
        <v>1200.5</v>
      </c>
      <c r="Y102" s="59">
        <f ca="1">IF(Y$3,INDIRECT(Y$5&amp;$I102),"")</f>
        <v>1201.5</v>
      </c>
      <c r="Z102" s="59" t="str">
        <f ca="1">IF(Z$3,INDIRECT(Z$5&amp;$I102),"")</f>
        <v/>
      </c>
      <c r="AA102" s="59">
        <f ca="1">IF(AA$3,INDIRECT(AA$5&amp;$I102),"")</f>
        <v>1203.5</v>
      </c>
      <c r="AB102" s="59" t="str">
        <f ca="1">IF(AB$3,INDIRECT(AB$5&amp;$I102),"")</f>
        <v/>
      </c>
      <c r="AC102" s="59">
        <f ca="1">IF(AC$3,INDIRECT(AC$5&amp;$I102),"")</f>
        <v>1198.5</v>
      </c>
      <c r="AD102" s="59" t="str">
        <f ca="1">IF(AD$3,INDIRECT(AD$5&amp;$I102),"")</f>
        <v/>
      </c>
      <c r="AE102" s="59">
        <f ca="1">IF(AE$3,INDIRECT(AE$5&amp;$I102),"")</f>
        <v>1199.5</v>
      </c>
      <c r="AF102" s="59">
        <f ca="1">IF(AF$3,INDIRECT(AF$5&amp;$I102),"")</f>
        <v>1197.5</v>
      </c>
      <c r="AG102" s="59" t="str">
        <f ca="1">IF(AG$3,INDIRECT(AG$5&amp;$I102),"")</f>
        <v/>
      </c>
      <c r="AH102" s="59">
        <f ca="1">IF(AH$3,INDIRECT(AH$5&amp;$I102),"")</f>
        <v>1189.5</v>
      </c>
      <c r="AI102" s="59">
        <f ca="1">IF(AI$3,INDIRECT(AI$5&amp;$I102),"")</f>
        <v>1201.5</v>
      </c>
      <c r="AJ102" s="59">
        <f ca="1">IF(AJ$3,INDIRECT(AJ$5&amp;$I102),"")</f>
        <v>1202.5</v>
      </c>
      <c r="AK102" s="59">
        <f ca="1">IF(AK$3,INDIRECT(AK$5&amp;$I102),"")</f>
        <v>1206.5</v>
      </c>
      <c r="AL102" s="59">
        <f ca="1">IF(AL$3,INDIRECT(AL$5&amp;$I102),"")</f>
        <v>1207.5</v>
      </c>
      <c r="AM102" s="59">
        <f ca="1">IF(AM$3,INDIRECT(AM$5&amp;$I102),"")</f>
        <v>1204.5</v>
      </c>
      <c r="AN102" s="59">
        <f ca="1">IF(AN$3,INDIRECT(AN$5&amp;$I102),"")</f>
        <v>1201</v>
      </c>
      <c r="AO102" s="59">
        <f ca="1">IF(AO$3,INDIRECT(AO$5&amp;$I102),"")</f>
        <v>1203</v>
      </c>
      <c r="AP102" s="59">
        <f ca="1">IF(AP$3,INDIRECT(AP$5&amp;$I102),"")</f>
        <v>1203</v>
      </c>
      <c r="AQ102" s="59">
        <f ca="1">IF(AQ$3,INDIRECT(AQ$5&amp;$I102),"")</f>
        <v>1201.5</v>
      </c>
      <c r="AR102" s="59">
        <f ca="1">IF(AR$3,INDIRECT(AR$5&amp;$I102),"")</f>
        <v>1201</v>
      </c>
      <c r="AS102" s="59">
        <f ca="1">IF(AS$3,INDIRECT(AS$5&amp;$I102),"")</f>
        <v>1200</v>
      </c>
      <c r="AT102" s="59">
        <f ca="1">IF(AT$3,INDIRECT(AT$5&amp;$I102),"")</f>
        <v>1191.5</v>
      </c>
      <c r="AU102" s="59">
        <f ca="1">IF(AU$3,INDIRECT(AU$5&amp;$I102),"")</f>
        <v>1208.5</v>
      </c>
      <c r="AV102" s="59">
        <f ca="1">IF(AV$3,INDIRECT(AV$5&amp;$I102),"")</f>
        <v>1201.5</v>
      </c>
      <c r="AW102" s="59">
        <f ca="1">IF(AW$3,INDIRECT(AW$5&amp;$I102),"")</f>
        <v>1205</v>
      </c>
    </row>
    <row r="103" spans="1:49">
      <c r="A103" s="79"/>
      <c r="B103" s="58" t="str">
        <f t="shared" ref="B103:B107" si="58">B100</f>
        <v>Y</v>
      </c>
      <c r="D103" s="59">
        <f t="shared" ca="1" si="53"/>
        <v>1209.1142857142856</v>
      </c>
      <c r="E103" s="59">
        <f t="shared" ca="1" si="54"/>
        <v>6.2826625517706001</v>
      </c>
      <c r="F103" s="59">
        <f t="shared" ca="1" si="55"/>
        <v>1195</v>
      </c>
      <c r="G103" s="59">
        <f t="shared" ca="1" si="56"/>
        <v>1218.5</v>
      </c>
      <c r="H103" s="59">
        <f t="shared" ca="1" si="57"/>
        <v>3.7404523649574584</v>
      </c>
      <c r="I103" s="58" t="s">
        <v>106</v>
      </c>
      <c r="J103" s="59">
        <f ca="1">IF(J$3,INDIRECT(J$5&amp;$I103),"")</f>
        <v>1195.5</v>
      </c>
      <c r="K103" s="59">
        <f ca="1">IF(K$3,INDIRECT(K$5&amp;$I103),"")</f>
        <v>1196</v>
      </c>
      <c r="L103" s="59">
        <f ca="1">IF(L$3,INDIRECT(L$5&amp;$I103),"")</f>
        <v>1204</v>
      </c>
      <c r="M103" s="59" t="str">
        <f ca="1">IF(M$3,INDIRECT(M$5&amp;$I103),"")</f>
        <v/>
      </c>
      <c r="N103" s="59">
        <f ca="1">IF(N$3,INDIRECT(N$5&amp;$I103),"")</f>
        <v>1195</v>
      </c>
      <c r="O103" s="59">
        <f ca="1">IF(O$3,INDIRECT(O$5&amp;$I103),"")</f>
        <v>1198.5</v>
      </c>
      <c r="P103" s="59">
        <f ca="1">IF(P$3,INDIRECT(P$5&amp;$I103),"")</f>
        <v>1213.5</v>
      </c>
      <c r="Q103" s="59">
        <f ca="1">IF(Q$3,INDIRECT(Q$5&amp;$I103),"")</f>
        <v>1203.5</v>
      </c>
      <c r="R103" s="59">
        <f ca="1">IF(R$3,INDIRECT(R$5&amp;$I103),"")</f>
        <v>1213.5</v>
      </c>
      <c r="S103" s="59">
        <f ca="1">IF(S$3,INDIRECT(S$5&amp;$I103),"")</f>
        <v>1210.5</v>
      </c>
      <c r="T103" s="59">
        <f ca="1">IF(T$3,INDIRECT(T$5&amp;$I103),"")</f>
        <v>1218.5</v>
      </c>
      <c r="U103" s="59">
        <f ca="1">IF(U$3,INDIRECT(U$5&amp;$I103),"")</f>
        <v>1210.5</v>
      </c>
      <c r="V103" s="59">
        <f ca="1">IF(V$3,INDIRECT(V$5&amp;$I103),"")</f>
        <v>1211.5</v>
      </c>
      <c r="W103" s="59">
        <f ca="1">IF(W$3,INDIRECT(W$5&amp;$I103),"")</f>
        <v>1211</v>
      </c>
      <c r="X103" s="59">
        <f ca="1">IF(X$3,INDIRECT(X$5&amp;$I103),"")</f>
        <v>1209.5</v>
      </c>
      <c r="Y103" s="59">
        <f ca="1">IF(Y$3,INDIRECT(Y$5&amp;$I103),"")</f>
        <v>1210.5</v>
      </c>
      <c r="Z103" s="59" t="str">
        <f ca="1">IF(Z$3,INDIRECT(Z$5&amp;$I103),"")</f>
        <v/>
      </c>
      <c r="AA103" s="59">
        <f ca="1">IF(AA$3,INDIRECT(AA$5&amp;$I103),"")</f>
        <v>1212.5</v>
      </c>
      <c r="AB103" s="59" t="str">
        <f ca="1">IF(AB$3,INDIRECT(AB$5&amp;$I103),"")</f>
        <v/>
      </c>
      <c r="AC103" s="59">
        <f ca="1">IF(AC$3,INDIRECT(AC$5&amp;$I103),"")</f>
        <v>1208</v>
      </c>
      <c r="AD103" s="59" t="str">
        <f ca="1">IF(AD$3,INDIRECT(AD$5&amp;$I103),"")</f>
        <v/>
      </c>
      <c r="AE103" s="59">
        <f ca="1">IF(AE$3,INDIRECT(AE$5&amp;$I103),"")</f>
        <v>1208.5</v>
      </c>
      <c r="AF103" s="59">
        <f ca="1">IF(AF$3,INDIRECT(AF$5&amp;$I103),"")</f>
        <v>1206.5</v>
      </c>
      <c r="AG103" s="59" t="str">
        <f ca="1">IF(AG$3,INDIRECT(AG$5&amp;$I103),"")</f>
        <v/>
      </c>
      <c r="AH103" s="59">
        <f ca="1">IF(AH$3,INDIRECT(AH$5&amp;$I103),"")</f>
        <v>1198</v>
      </c>
      <c r="AI103" s="59">
        <f ca="1">IF(AI$3,INDIRECT(AI$5&amp;$I103),"")</f>
        <v>1210.5</v>
      </c>
      <c r="AJ103" s="59">
        <f ca="1">IF(AJ$3,INDIRECT(AJ$5&amp;$I103),"")</f>
        <v>1211.5</v>
      </c>
      <c r="AK103" s="59">
        <f ca="1">IF(AK$3,INDIRECT(AK$5&amp;$I103),"")</f>
        <v>1215.5</v>
      </c>
      <c r="AL103" s="59">
        <f ca="1">IF(AL$3,INDIRECT(AL$5&amp;$I103),"")</f>
        <v>1216.5</v>
      </c>
      <c r="AM103" s="59">
        <f ca="1">IF(AM$3,INDIRECT(AM$5&amp;$I103),"")</f>
        <v>1213.5</v>
      </c>
      <c r="AN103" s="59">
        <f ca="1">IF(AN$3,INDIRECT(AN$5&amp;$I103),"")</f>
        <v>1210.5</v>
      </c>
      <c r="AO103" s="59">
        <f ca="1">IF(AO$3,INDIRECT(AO$5&amp;$I103),"")</f>
        <v>1213</v>
      </c>
      <c r="AP103" s="59">
        <f ca="1">IF(AP$3,INDIRECT(AP$5&amp;$I103),"")</f>
        <v>1213</v>
      </c>
      <c r="AQ103" s="59">
        <f ca="1">IF(AQ$3,INDIRECT(AQ$5&amp;$I103),"")</f>
        <v>1211.5</v>
      </c>
      <c r="AR103" s="59">
        <f ca="1">IF(AR$3,INDIRECT(AR$5&amp;$I103),"")</f>
        <v>1211</v>
      </c>
      <c r="AS103" s="59">
        <f ca="1">IF(AS$3,INDIRECT(AS$5&amp;$I103),"")</f>
        <v>1210</v>
      </c>
      <c r="AT103" s="59">
        <f ca="1">IF(AT$3,INDIRECT(AT$5&amp;$I103),"")</f>
        <v>1202.5</v>
      </c>
      <c r="AU103" s="59">
        <f ca="1">IF(AU$3,INDIRECT(AU$5&amp;$I103),"")</f>
        <v>1218</v>
      </c>
      <c r="AV103" s="59">
        <f ca="1">IF(AV$3,INDIRECT(AV$5&amp;$I103),"")</f>
        <v>1212</v>
      </c>
      <c r="AW103" s="59">
        <f ca="1">IF(AW$3,INDIRECT(AW$5&amp;$I103),"")</f>
        <v>1215</v>
      </c>
    </row>
    <row r="104" spans="1:49">
      <c r="A104" s="79"/>
      <c r="B104" s="58" t="str">
        <f t="shared" si="58"/>
        <v>Z</v>
      </c>
      <c r="D104" s="59">
        <f t="shared" ca="1" si="53"/>
        <v>649.14285714285711</v>
      </c>
      <c r="E104" s="59">
        <f t="shared" ca="1" si="54"/>
        <v>3.4610679849767223</v>
      </c>
      <c r="F104" s="59">
        <f t="shared" ca="1" si="55"/>
        <v>641</v>
      </c>
      <c r="G104" s="59">
        <f t="shared" ca="1" si="56"/>
        <v>655.5</v>
      </c>
      <c r="H104" s="59">
        <f t="shared" ca="1" si="57"/>
        <v>4.1894583010040236</v>
      </c>
      <c r="I104" s="58" t="s">
        <v>107</v>
      </c>
      <c r="J104" s="59">
        <f ca="1">IF(J$3,INDIRECT(J$5&amp;$I104),"")</f>
        <v>643.5</v>
      </c>
      <c r="K104" s="59">
        <f ca="1">IF(K$3,INDIRECT(K$5&amp;$I104),"")</f>
        <v>643.5</v>
      </c>
      <c r="L104" s="59">
        <f ca="1">IF(L$3,INDIRECT(L$5&amp;$I104),"")</f>
        <v>648</v>
      </c>
      <c r="M104" s="59" t="str">
        <f ca="1">IF(M$3,INDIRECT(M$5&amp;$I104),"")</f>
        <v/>
      </c>
      <c r="N104" s="59">
        <f ca="1">IF(N$3,INDIRECT(N$5&amp;$I104),"")</f>
        <v>643.5</v>
      </c>
      <c r="O104" s="59">
        <f ca="1">IF(O$3,INDIRECT(O$5&amp;$I104),"")</f>
        <v>643.5</v>
      </c>
      <c r="P104" s="59">
        <f ca="1">IF(P$3,INDIRECT(P$5&amp;$I104),"")</f>
        <v>652</v>
      </c>
      <c r="Q104" s="59">
        <f ca="1">IF(Q$3,INDIRECT(Q$5&amp;$I104),"")</f>
        <v>645.5</v>
      </c>
      <c r="R104" s="59">
        <f ca="1">IF(R$3,INDIRECT(R$5&amp;$I104),"")</f>
        <v>652</v>
      </c>
      <c r="S104" s="59">
        <f ca="1">IF(S$3,INDIRECT(S$5&amp;$I104),"")</f>
        <v>649.5</v>
      </c>
      <c r="T104" s="59">
        <f ca="1">IF(T$3,INDIRECT(T$5&amp;$I104),"")</f>
        <v>655.5</v>
      </c>
      <c r="U104" s="59">
        <f ca="1">IF(U$3,INDIRECT(U$5&amp;$I104),"")</f>
        <v>649.5</v>
      </c>
      <c r="V104" s="59">
        <f ca="1">IF(V$3,INDIRECT(V$5&amp;$I104),"")</f>
        <v>651.5</v>
      </c>
      <c r="W104" s="59">
        <f ca="1">IF(W$3,INDIRECT(W$5&amp;$I104),"")</f>
        <v>649</v>
      </c>
      <c r="X104" s="59">
        <f ca="1">IF(X$3,INDIRECT(X$5&amp;$I104),"")</f>
        <v>649</v>
      </c>
      <c r="Y104" s="59">
        <f ca="1">IF(Y$3,INDIRECT(Y$5&amp;$I104),"")</f>
        <v>651</v>
      </c>
      <c r="Z104" s="59" t="str">
        <f ca="1">IF(Z$3,INDIRECT(Z$5&amp;$I104),"")</f>
        <v/>
      </c>
      <c r="AA104" s="59">
        <f ca="1">IF(AA$3,INDIRECT(AA$5&amp;$I104),"")</f>
        <v>651.5</v>
      </c>
      <c r="AB104" s="59" t="str">
        <f ca="1">IF(AB$3,INDIRECT(AB$5&amp;$I104),"")</f>
        <v/>
      </c>
      <c r="AC104" s="59">
        <f ca="1">IF(AC$3,INDIRECT(AC$5&amp;$I104),"")</f>
        <v>649</v>
      </c>
      <c r="AD104" s="59" t="str">
        <f ca="1">IF(AD$3,INDIRECT(AD$5&amp;$I104),"")</f>
        <v/>
      </c>
      <c r="AE104" s="59">
        <f ca="1">IF(AE$3,INDIRECT(AE$5&amp;$I104),"")</f>
        <v>648</v>
      </c>
      <c r="AF104" s="59">
        <f ca="1">IF(AF$3,INDIRECT(AF$5&amp;$I104),"")</f>
        <v>646.5</v>
      </c>
      <c r="AG104" s="59" t="str">
        <f ca="1">IF(AG$3,INDIRECT(AG$5&amp;$I104),"")</f>
        <v/>
      </c>
      <c r="AH104" s="59">
        <f ca="1">IF(AH$3,INDIRECT(AH$5&amp;$I104),"")</f>
        <v>643</v>
      </c>
      <c r="AI104" s="59">
        <f ca="1">IF(AI$3,INDIRECT(AI$5&amp;$I104),"")</f>
        <v>651</v>
      </c>
      <c r="AJ104" s="59">
        <f ca="1">IF(AJ$3,INDIRECT(AJ$5&amp;$I104),"")</f>
        <v>651.5</v>
      </c>
      <c r="AK104" s="59">
        <f ca="1">IF(AK$3,INDIRECT(AK$5&amp;$I104),"")</f>
        <v>649.5</v>
      </c>
      <c r="AL104" s="59">
        <f ca="1">IF(AL$3,INDIRECT(AL$5&amp;$I104),"")</f>
        <v>653.5</v>
      </c>
      <c r="AM104" s="59">
        <f ca="1">IF(AM$3,INDIRECT(AM$5&amp;$I104),"")</f>
        <v>651.5</v>
      </c>
      <c r="AN104" s="59">
        <f ca="1">IF(AN$3,INDIRECT(AN$5&amp;$I104),"")</f>
        <v>650</v>
      </c>
      <c r="AO104" s="59">
        <f ca="1">IF(AO$3,INDIRECT(AO$5&amp;$I104),"")</f>
        <v>650.5</v>
      </c>
      <c r="AP104" s="59">
        <f ca="1">IF(AP$3,INDIRECT(AP$5&amp;$I104),"")</f>
        <v>650</v>
      </c>
      <c r="AQ104" s="59">
        <f ca="1">IF(AQ$3,INDIRECT(AQ$5&amp;$I104),"")</f>
        <v>650</v>
      </c>
      <c r="AR104" s="59">
        <f ca="1">IF(AR$3,INDIRECT(AR$5&amp;$I104),"")</f>
        <v>649</v>
      </c>
      <c r="AS104" s="59">
        <f ca="1">IF(AS$3,INDIRECT(AS$5&amp;$I104),"")</f>
        <v>650.5</v>
      </c>
      <c r="AT104" s="59">
        <f ca="1">IF(AT$3,INDIRECT(AT$5&amp;$I104),"")</f>
        <v>641</v>
      </c>
      <c r="AU104" s="59">
        <f ca="1">IF(AU$3,INDIRECT(AU$5&amp;$I104),"")</f>
        <v>654.5</v>
      </c>
      <c r="AV104" s="59">
        <f ca="1">IF(AV$3,INDIRECT(AV$5&amp;$I104),"")</f>
        <v>650.5</v>
      </c>
      <c r="AW104" s="59">
        <f ca="1">IF(AW$3,INDIRECT(AW$5&amp;$I104),"")</f>
        <v>652.5</v>
      </c>
    </row>
    <row r="105" spans="1:49">
      <c r="A105" s="79" t="s">
        <v>2</v>
      </c>
      <c r="B105" s="58" t="str">
        <f t="shared" si="58"/>
        <v>X</v>
      </c>
      <c r="D105" s="59">
        <f t="shared" ca="1" si="53"/>
        <v>510.56142857142839</v>
      </c>
      <c r="E105" s="59">
        <f t="shared" ca="1" si="54"/>
        <v>3.0773863460460666</v>
      </c>
      <c r="F105" s="59">
        <f t="shared" ca="1" si="55"/>
        <v>501.85</v>
      </c>
      <c r="G105" s="59">
        <f t="shared" ca="1" si="56"/>
        <v>517.65</v>
      </c>
      <c r="H105" s="59">
        <f t="shared" ca="1" si="57"/>
        <v>5.1342269781304335</v>
      </c>
      <c r="I105" s="58" t="s">
        <v>108</v>
      </c>
      <c r="J105" s="59">
        <f ca="1">IF(J$3,INDIRECT(J$5&amp;$I105),"")</f>
        <v>505.9</v>
      </c>
      <c r="K105" s="59">
        <f ca="1">IF(K$3,INDIRECT(K$5&amp;$I105),"")</f>
        <v>501.85</v>
      </c>
      <c r="L105" s="59">
        <f ca="1">IF(L$3,INDIRECT(L$5&amp;$I105),"")</f>
        <v>503.95</v>
      </c>
      <c r="M105" s="59" t="str">
        <f ca="1">IF(M$3,INDIRECT(M$5&amp;$I105),"")</f>
        <v/>
      </c>
      <c r="N105" s="59">
        <f ca="1">IF(N$3,INDIRECT(N$5&amp;$I105),"")</f>
        <v>504.7</v>
      </c>
      <c r="O105" s="59">
        <f ca="1">IF(O$3,INDIRECT(O$5&amp;$I105),"")</f>
        <v>505.9</v>
      </c>
      <c r="P105" s="59">
        <f ca="1">IF(P$3,INDIRECT(P$5&amp;$I105),"")</f>
        <v>509.95</v>
      </c>
      <c r="Q105" s="59">
        <f ca="1">IF(Q$3,INDIRECT(Q$5&amp;$I105),"")</f>
        <v>512.70000000000005</v>
      </c>
      <c r="R105" s="59">
        <f ca="1">IF(R$3,INDIRECT(R$5&amp;$I105),"")</f>
        <v>512.79999999999995</v>
      </c>
      <c r="S105" s="59">
        <f ca="1">IF(S$3,INDIRECT(S$5&amp;$I105),"")</f>
        <v>512.15</v>
      </c>
      <c r="T105" s="59">
        <f ca="1">IF(T$3,INDIRECT(T$5&amp;$I105),"")</f>
        <v>511.65</v>
      </c>
      <c r="U105" s="59">
        <f ca="1">IF(U$3,INDIRECT(U$5&amp;$I105),"")</f>
        <v>511.8</v>
      </c>
      <c r="V105" s="59">
        <f ca="1">IF(V$3,INDIRECT(V$5&amp;$I105),"")</f>
        <v>517.65</v>
      </c>
      <c r="W105" s="59">
        <f ca="1">IF(W$3,INDIRECT(W$5&amp;$I105),"")</f>
        <v>514.29999999999995</v>
      </c>
      <c r="X105" s="59">
        <f ca="1">IF(X$3,INDIRECT(X$5&amp;$I105),"")</f>
        <v>509.75</v>
      </c>
      <c r="Y105" s="59">
        <f ca="1">IF(Y$3,INDIRECT(Y$5&amp;$I105),"")</f>
        <v>510.2</v>
      </c>
      <c r="Z105" s="59" t="str">
        <f ca="1">IF(Z$3,INDIRECT(Z$5&amp;$I105),"")</f>
        <v/>
      </c>
      <c r="AA105" s="59">
        <f ca="1">IF(AA$3,INDIRECT(AA$5&amp;$I105),"")</f>
        <v>513.6</v>
      </c>
      <c r="AB105" s="59" t="str">
        <f ca="1">IF(AB$3,INDIRECT(AB$5&amp;$I105),"")</f>
        <v/>
      </c>
      <c r="AC105" s="59">
        <f ca="1">IF(AC$3,INDIRECT(AC$5&amp;$I105),"")</f>
        <v>511.79999999999995</v>
      </c>
      <c r="AD105" s="59" t="str">
        <f ca="1">IF(AD$3,INDIRECT(AD$5&amp;$I105),"")</f>
        <v/>
      </c>
      <c r="AE105" s="59">
        <f ca="1">IF(AE$3,INDIRECT(AE$5&amp;$I105),"")</f>
        <v>510.45000000000005</v>
      </c>
      <c r="AF105" s="59">
        <f ca="1">IF(AF$3,INDIRECT(AF$5&amp;$I105),"")</f>
        <v>508.9</v>
      </c>
      <c r="AG105" s="59" t="str">
        <f ca="1">IF(AG$3,INDIRECT(AG$5&amp;$I105),"")</f>
        <v/>
      </c>
      <c r="AH105" s="59">
        <f ca="1">IF(AH$3,INDIRECT(AH$5&amp;$I105),"")</f>
        <v>510.29999999999995</v>
      </c>
      <c r="AI105" s="59">
        <f ca="1">IF(AI$3,INDIRECT(AI$5&amp;$I105),"")</f>
        <v>510.7</v>
      </c>
      <c r="AJ105" s="59">
        <f ca="1">IF(AJ$3,INDIRECT(AJ$5&amp;$I105),"")</f>
        <v>510.5</v>
      </c>
      <c r="AK105" s="59">
        <f ca="1">IF(AK$3,INDIRECT(AK$5&amp;$I105),"")</f>
        <v>510.8</v>
      </c>
      <c r="AL105" s="59">
        <f ca="1">IF(AL$3,INDIRECT(AL$5&amp;$I105),"")</f>
        <v>511.25</v>
      </c>
      <c r="AM105" s="59">
        <f ca="1">IF(AM$3,INDIRECT(AM$5&amp;$I105),"")</f>
        <v>511.29999999999995</v>
      </c>
      <c r="AN105" s="59">
        <f ca="1">IF(AN$3,INDIRECT(AN$5&amp;$I105),"")</f>
        <v>512.9</v>
      </c>
      <c r="AO105" s="59">
        <f ca="1">IF(AO$3,INDIRECT(AO$5&amp;$I105),"")</f>
        <v>512.04999999999995</v>
      </c>
      <c r="AP105" s="59">
        <f ca="1">IF(AP$3,INDIRECT(AP$5&amp;$I105),"")</f>
        <v>510.25</v>
      </c>
      <c r="AQ105" s="59">
        <f ca="1">IF(AQ$3,INDIRECT(AQ$5&amp;$I105),"")</f>
        <v>512.15</v>
      </c>
      <c r="AR105" s="59">
        <f ca="1">IF(AR$3,INDIRECT(AR$5&amp;$I105),"")</f>
        <v>508.29999999999995</v>
      </c>
      <c r="AS105" s="59">
        <f ca="1">IF(AS$3,INDIRECT(AS$5&amp;$I105),"")</f>
        <v>509.85</v>
      </c>
      <c r="AT105" s="59">
        <f ca="1">IF(AT$3,INDIRECT(AT$5&amp;$I105),"")</f>
        <v>511.75</v>
      </c>
      <c r="AU105" s="59">
        <f ca="1">IF(AU$3,INDIRECT(AU$5&amp;$I105),"")</f>
        <v>513.15</v>
      </c>
      <c r="AV105" s="59">
        <f ca="1">IF(AV$3,INDIRECT(AV$5&amp;$I105),"")</f>
        <v>512.54999999999995</v>
      </c>
      <c r="AW105" s="59">
        <f ca="1">IF(AW$3,INDIRECT(AW$5&amp;$I105),"")</f>
        <v>511.84999999999997</v>
      </c>
    </row>
    <row r="106" spans="1:49">
      <c r="A106" s="79"/>
      <c r="B106" s="58" t="str">
        <f t="shared" si="58"/>
        <v>Y</v>
      </c>
      <c r="D106" s="59">
        <f t="shared" ca="1" si="53"/>
        <v>577.32285714285717</v>
      </c>
      <c r="E106" s="59">
        <f t="shared" ca="1" si="54"/>
        <v>3.2722393586360239</v>
      </c>
      <c r="F106" s="59">
        <f t="shared" ca="1" si="55"/>
        <v>567.90000000000009</v>
      </c>
      <c r="G106" s="59">
        <f t="shared" ca="1" si="56"/>
        <v>584.29999999999995</v>
      </c>
      <c r="H106" s="59">
        <f t="shared" ca="1" si="57"/>
        <v>5.011858303310647</v>
      </c>
      <c r="I106" s="58" t="s">
        <v>109</v>
      </c>
      <c r="J106" s="59">
        <f ca="1">IF(J$3,INDIRECT(J$5&amp;$I106),"")</f>
        <v>572.34999999999991</v>
      </c>
      <c r="K106" s="59">
        <f ca="1">IF(K$3,INDIRECT(K$5&amp;$I106),"")</f>
        <v>567.90000000000009</v>
      </c>
      <c r="L106" s="59">
        <f ca="1">IF(L$3,INDIRECT(L$5&amp;$I106),"")</f>
        <v>570.35</v>
      </c>
      <c r="M106" s="59" t="str">
        <f ca="1">IF(M$3,INDIRECT(M$5&amp;$I106),"")</f>
        <v/>
      </c>
      <c r="N106" s="59">
        <f ca="1">IF(N$3,INDIRECT(N$5&amp;$I106),"")</f>
        <v>571.04999999999995</v>
      </c>
      <c r="O106" s="59">
        <f ca="1">IF(O$3,INDIRECT(O$5&amp;$I106),"")</f>
        <v>571.90000000000009</v>
      </c>
      <c r="P106" s="59">
        <f ca="1">IF(P$3,INDIRECT(P$5&amp;$I106),"")</f>
        <v>576.75</v>
      </c>
      <c r="Q106" s="59">
        <f ca="1">IF(Q$3,INDIRECT(Q$5&amp;$I106),"")</f>
        <v>578.45000000000005</v>
      </c>
      <c r="R106" s="59">
        <f ca="1">IF(R$3,INDIRECT(R$5&amp;$I106),"")</f>
        <v>579.65000000000009</v>
      </c>
      <c r="S106" s="59">
        <f ca="1">IF(S$3,INDIRECT(S$5&amp;$I106),"")</f>
        <v>579.04999999999995</v>
      </c>
      <c r="T106" s="59">
        <f ca="1">IF(T$3,INDIRECT(T$5&amp;$I106),"")</f>
        <v>578.34999999999991</v>
      </c>
      <c r="U106" s="59">
        <f ca="1">IF(U$3,INDIRECT(U$5&amp;$I106),"")</f>
        <v>578.54999999999995</v>
      </c>
      <c r="V106" s="59">
        <f ca="1">IF(V$3,INDIRECT(V$5&amp;$I106),"")</f>
        <v>584.29999999999995</v>
      </c>
      <c r="W106" s="59">
        <f ca="1">IF(W$3,INDIRECT(W$5&amp;$I106),"")</f>
        <v>581.29999999999995</v>
      </c>
      <c r="X106" s="59">
        <f ca="1">IF(X$3,INDIRECT(X$5&amp;$I106),"")</f>
        <v>576.29999999999995</v>
      </c>
      <c r="Y106" s="59">
        <f ca="1">IF(Y$3,INDIRECT(Y$5&amp;$I106),"")</f>
        <v>576.95000000000005</v>
      </c>
      <c r="Z106" s="59" t="str">
        <f ca="1">IF(Z$3,INDIRECT(Z$5&amp;$I106),"")</f>
        <v/>
      </c>
      <c r="AA106" s="59">
        <f ca="1">IF(AA$3,INDIRECT(AA$5&amp;$I106),"")</f>
        <v>580.15000000000009</v>
      </c>
      <c r="AB106" s="59" t="str">
        <f ca="1">IF(AB$3,INDIRECT(AB$5&amp;$I106),"")</f>
        <v/>
      </c>
      <c r="AC106" s="59">
        <f ca="1">IF(AC$3,INDIRECT(AC$5&amp;$I106),"")</f>
        <v>578.4</v>
      </c>
      <c r="AD106" s="59" t="str">
        <f ca="1">IF(AD$3,INDIRECT(AD$5&amp;$I106),"")</f>
        <v/>
      </c>
      <c r="AE106" s="59">
        <f ca="1">IF(AE$3,INDIRECT(AE$5&amp;$I106),"")</f>
        <v>577.1</v>
      </c>
      <c r="AF106" s="59">
        <f ca="1">IF(AF$3,INDIRECT(AF$5&amp;$I106),"")</f>
        <v>575.15000000000009</v>
      </c>
      <c r="AG106" s="59" t="str">
        <f ca="1">IF(AG$3,INDIRECT(AG$5&amp;$I106),"")</f>
        <v/>
      </c>
      <c r="AH106" s="59">
        <f ca="1">IF(AH$3,INDIRECT(AH$5&amp;$I106),"")</f>
        <v>577</v>
      </c>
      <c r="AI106" s="59">
        <f ca="1">IF(AI$3,INDIRECT(AI$5&amp;$I106),"")</f>
        <v>577.5</v>
      </c>
      <c r="AJ106" s="59">
        <f ca="1">IF(AJ$3,INDIRECT(AJ$5&amp;$I106),"")</f>
        <v>577.5</v>
      </c>
      <c r="AK106" s="59">
        <f ca="1">IF(AK$3,INDIRECT(AK$5&amp;$I106),"")</f>
        <v>577.9</v>
      </c>
      <c r="AL106" s="59">
        <f ca="1">IF(AL$3,INDIRECT(AL$5&amp;$I106),"")</f>
        <v>578.34999999999991</v>
      </c>
      <c r="AM106" s="59">
        <f ca="1">IF(AM$3,INDIRECT(AM$5&amp;$I106),"")</f>
        <v>578.29999999999995</v>
      </c>
      <c r="AN106" s="59">
        <f ca="1">IF(AN$3,INDIRECT(AN$5&amp;$I106),"")</f>
        <v>579.90000000000009</v>
      </c>
      <c r="AO106" s="59">
        <f ca="1">IF(AO$3,INDIRECT(AO$5&amp;$I106),"")</f>
        <v>578.9</v>
      </c>
      <c r="AP106" s="59">
        <f ca="1">IF(AP$3,INDIRECT(AP$5&amp;$I106),"")</f>
        <v>577.1</v>
      </c>
      <c r="AQ106" s="59">
        <f ca="1">IF(AQ$3,INDIRECT(AQ$5&amp;$I106),"")</f>
        <v>579.29999999999995</v>
      </c>
      <c r="AR106" s="59">
        <f ca="1">IF(AR$3,INDIRECT(AR$5&amp;$I106),"")</f>
        <v>575.25</v>
      </c>
      <c r="AS106" s="59">
        <f ca="1">IF(AS$3,INDIRECT(AS$5&amp;$I106),"")</f>
        <v>577.15</v>
      </c>
      <c r="AT106" s="59">
        <f ca="1">IF(AT$3,INDIRECT(AT$5&amp;$I106),"")</f>
        <v>578.79999999999995</v>
      </c>
      <c r="AU106" s="59">
        <f ca="1">IF(AU$3,INDIRECT(AU$5&amp;$I106),"")</f>
        <v>580.35</v>
      </c>
      <c r="AV106" s="59">
        <f ca="1">IF(AV$3,INDIRECT(AV$5&amp;$I106),"")</f>
        <v>579.85</v>
      </c>
      <c r="AW106" s="59">
        <f ca="1">IF(AW$3,INDIRECT(AW$5&amp;$I106),"")</f>
        <v>579.15</v>
      </c>
    </row>
    <row r="107" spans="1:49">
      <c r="A107" s="79"/>
      <c r="B107" s="58" t="str">
        <f t="shared" si="58"/>
        <v>Z</v>
      </c>
      <c r="D107" s="59">
        <f t="shared" ca="1" si="53"/>
        <v>530.97285714285726</v>
      </c>
      <c r="E107" s="59">
        <f t="shared" ca="1" si="54"/>
        <v>2.8004816512415114</v>
      </c>
      <c r="F107" s="59">
        <f t="shared" ca="1" si="55"/>
        <v>523.25</v>
      </c>
      <c r="G107" s="59">
        <f t="shared" ca="1" si="56"/>
        <v>534.84999999999991</v>
      </c>
      <c r="H107" s="59">
        <f t="shared" ca="1" si="57"/>
        <v>4.1421446181793016</v>
      </c>
      <c r="I107" s="58" t="s">
        <v>110</v>
      </c>
      <c r="J107" s="59">
        <f ca="1">IF(J$3,INDIRECT(J$5&amp;$I107),"")</f>
        <v>528.65</v>
      </c>
      <c r="K107" s="59">
        <f ca="1">IF(K$3,INDIRECT(K$5&amp;$I107),"")</f>
        <v>523.25</v>
      </c>
      <c r="L107" s="59">
        <f ca="1">IF(L$3,INDIRECT(L$5&amp;$I107),"")</f>
        <v>526.65000000000009</v>
      </c>
      <c r="M107" s="59" t="str">
        <f ca="1">IF(M$3,INDIRECT(M$5&amp;$I107),"")</f>
        <v/>
      </c>
      <c r="N107" s="59">
        <f ca="1">IF(N$3,INDIRECT(N$5&amp;$I107),"")</f>
        <v>528.15</v>
      </c>
      <c r="O107" s="59">
        <f ca="1">IF(O$3,INDIRECT(O$5&amp;$I107),"")</f>
        <v>527.6</v>
      </c>
      <c r="P107" s="59">
        <f ca="1">IF(P$3,INDIRECT(P$5&amp;$I107),"")</f>
        <v>530.65</v>
      </c>
      <c r="Q107" s="59">
        <f ca="1">IF(Q$3,INDIRECT(Q$5&amp;$I107),"")</f>
        <v>526.84999999999991</v>
      </c>
      <c r="R107" s="59">
        <f ca="1">IF(R$3,INDIRECT(R$5&amp;$I107),"")</f>
        <v>531.04999999999995</v>
      </c>
      <c r="S107" s="59">
        <f ca="1">IF(S$3,INDIRECT(S$5&amp;$I107),"")</f>
        <v>531.35</v>
      </c>
      <c r="T107" s="59">
        <f ca="1">IF(T$3,INDIRECT(T$5&amp;$I107),"")</f>
        <v>531.1</v>
      </c>
      <c r="U107" s="59">
        <f ca="1">IF(U$3,INDIRECT(U$5&amp;$I107),"")</f>
        <v>531.35</v>
      </c>
      <c r="V107" s="59">
        <f ca="1">IF(V$3,INDIRECT(V$5&amp;$I107),"")</f>
        <v>530.75</v>
      </c>
      <c r="W107" s="59">
        <f ca="1">IF(W$3,INDIRECT(W$5&amp;$I107),"")</f>
        <v>531.4</v>
      </c>
      <c r="X107" s="59">
        <f ca="1">IF(X$3,INDIRECT(X$5&amp;$I107),"")</f>
        <v>527.79999999999995</v>
      </c>
      <c r="Y107" s="59">
        <f ca="1">IF(Y$3,INDIRECT(Y$5&amp;$I107),"")</f>
        <v>530.95000000000005</v>
      </c>
      <c r="Z107" s="59" t="str">
        <f ca="1">IF(Z$3,INDIRECT(Z$5&amp;$I107),"")</f>
        <v/>
      </c>
      <c r="AA107" s="59">
        <f ca="1">IF(AA$3,INDIRECT(AA$5&amp;$I107),"")</f>
        <v>530.15000000000009</v>
      </c>
      <c r="AB107" s="59" t="str">
        <f ca="1">IF(AB$3,INDIRECT(AB$5&amp;$I107),"")</f>
        <v/>
      </c>
      <c r="AC107" s="59">
        <f ca="1">IF(AC$3,INDIRECT(AC$5&amp;$I107),"")</f>
        <v>530.04999999999995</v>
      </c>
      <c r="AD107" s="59" t="str">
        <f ca="1">IF(AD$3,INDIRECT(AD$5&amp;$I107),"")</f>
        <v/>
      </c>
      <c r="AE107" s="59">
        <f ca="1">IF(AE$3,INDIRECT(AE$5&amp;$I107),"")</f>
        <v>528.65</v>
      </c>
      <c r="AF107" s="59">
        <f ca="1">IF(AF$3,INDIRECT(AF$5&amp;$I107),"")</f>
        <v>526.25</v>
      </c>
      <c r="AG107" s="59" t="str">
        <f ca="1">IF(AG$3,INDIRECT(AG$5&amp;$I107),"")</f>
        <v/>
      </c>
      <c r="AH107" s="59">
        <f ca="1">IF(AH$3,INDIRECT(AH$5&amp;$I107),"")</f>
        <v>531.95000000000005</v>
      </c>
      <c r="AI107" s="59">
        <f ca="1">IF(AI$3,INDIRECT(AI$5&amp;$I107),"")</f>
        <v>533.04999999999995</v>
      </c>
      <c r="AJ107" s="59">
        <f ca="1">IF(AJ$3,INDIRECT(AJ$5&amp;$I107),"")</f>
        <v>533.04999999999995</v>
      </c>
      <c r="AK107" s="59">
        <f ca="1">IF(AK$3,INDIRECT(AK$5&amp;$I107),"")</f>
        <v>534.84999999999991</v>
      </c>
      <c r="AL107" s="59">
        <f ca="1">IF(AL$3,INDIRECT(AL$5&amp;$I107),"")</f>
        <v>533.25</v>
      </c>
      <c r="AM107" s="59">
        <f ca="1">IF(AM$3,INDIRECT(AM$5&amp;$I107),"")</f>
        <v>532.75</v>
      </c>
      <c r="AN107" s="59">
        <f ca="1">IF(AN$3,INDIRECT(AN$5&amp;$I107),"")</f>
        <v>533.20000000000005</v>
      </c>
      <c r="AO107" s="59">
        <f ca="1">IF(AO$3,INDIRECT(AO$5&amp;$I107),"")</f>
        <v>533.04999999999995</v>
      </c>
      <c r="AP107" s="59">
        <f ca="1">IF(AP$3,INDIRECT(AP$5&amp;$I107),"")</f>
        <v>531.35</v>
      </c>
      <c r="AQ107" s="59">
        <f ca="1">IF(AQ$3,INDIRECT(AQ$5&amp;$I107),"")</f>
        <v>534.4</v>
      </c>
      <c r="AR107" s="59">
        <f ca="1">IF(AR$3,INDIRECT(AR$5&amp;$I107),"")</f>
        <v>529.75</v>
      </c>
      <c r="AS107" s="59">
        <f ca="1">IF(AS$3,INDIRECT(AS$5&amp;$I107),"")</f>
        <v>533.90000000000009</v>
      </c>
      <c r="AT107" s="59">
        <f ca="1">IF(AT$3,INDIRECT(AT$5&amp;$I107),"")</f>
        <v>533.70000000000005</v>
      </c>
      <c r="AU107" s="59">
        <f ca="1">IF(AU$3,INDIRECT(AU$5&amp;$I107),"")</f>
        <v>534.65000000000009</v>
      </c>
      <c r="AV107" s="59">
        <f ca="1">IF(AV$3,INDIRECT(AV$5&amp;$I107),"")</f>
        <v>534.34999999999991</v>
      </c>
      <c r="AW107" s="59">
        <f ca="1">IF(AW$3,INDIRECT(AW$5&amp;$I107),"")</f>
        <v>534.15</v>
      </c>
    </row>
    <row r="108" spans="1:49">
      <c r="A108" s="58" t="str">
        <f>A99</f>
        <v>A</v>
      </c>
      <c r="B108" s="79" t="s">
        <v>111</v>
      </c>
      <c r="D108" s="76">
        <f t="shared" ca="1" si="53"/>
        <v>0.45409948739383221</v>
      </c>
      <c r="E108" s="76">
        <f t="shared" ca="1" si="54"/>
        <v>2.0131337356530114E-3</v>
      </c>
      <c r="F108" s="76">
        <f t="shared" ca="1" si="55"/>
        <v>0.45178395264715554</v>
      </c>
      <c r="G108" s="76">
        <f t="shared" ca="1" si="56"/>
        <v>0.45914950611083211</v>
      </c>
      <c r="H108" s="59">
        <f t="shared" ca="1" si="57"/>
        <v>3.6587502028459924</v>
      </c>
      <c r="J108" s="76">
        <f ca="1">IF(J$3,J99/SUM(J99:J101),"")</f>
        <v>0.45914950611083211</v>
      </c>
      <c r="K108" s="76">
        <f t="shared" ref="K108:AW108" ca="1" si="59">IF(K$3,K99/SUM(K99:K101),"")</f>
        <v>0.45870559120842247</v>
      </c>
      <c r="L108" s="76">
        <f t="shared" ca="1" si="59"/>
        <v>0.45785440613026818</v>
      </c>
      <c r="M108" s="76" t="str">
        <f t="shared" ca="1" si="59"/>
        <v/>
      </c>
      <c r="N108" s="76">
        <f t="shared" ca="1" si="59"/>
        <v>0.45851932957129621</v>
      </c>
      <c r="O108" s="76">
        <f t="shared" ca="1" si="59"/>
        <v>0.45874559785342955</v>
      </c>
      <c r="P108" s="76">
        <f t="shared" ca="1" si="59"/>
        <v>0.45534995977473852</v>
      </c>
      <c r="Q108" s="76">
        <f t="shared" ca="1" si="59"/>
        <v>0.45366374881847699</v>
      </c>
      <c r="R108" s="76">
        <f t="shared" ca="1" si="59"/>
        <v>0.45406417983384911</v>
      </c>
      <c r="S108" s="76">
        <f t="shared" ca="1" si="59"/>
        <v>0.4543828991750315</v>
      </c>
      <c r="T108" s="76">
        <f t="shared" ca="1" si="59"/>
        <v>0.45424597364568081</v>
      </c>
      <c r="U108" s="76">
        <f t="shared" ca="1" si="59"/>
        <v>0.45418261790339659</v>
      </c>
      <c r="V108" s="76">
        <f t="shared" ca="1" si="59"/>
        <v>0.45310185947013337</v>
      </c>
      <c r="W108" s="76">
        <f t="shared" ca="1" si="59"/>
        <v>0.4538210053126277</v>
      </c>
      <c r="X108" s="76">
        <f t="shared" ca="1" si="59"/>
        <v>0.45418651035942526</v>
      </c>
      <c r="Y108" s="76">
        <f t="shared" ca="1" si="59"/>
        <v>0.45391403824154275</v>
      </c>
      <c r="Z108" s="76" t="str">
        <f t="shared" ca="1" si="59"/>
        <v/>
      </c>
      <c r="AA108" s="76">
        <f t="shared" ca="1" si="59"/>
        <v>0.45366716000657786</v>
      </c>
      <c r="AB108" s="76" t="str">
        <f t="shared" ca="1" si="59"/>
        <v/>
      </c>
      <c r="AC108" s="76">
        <f t="shared" ca="1" si="59"/>
        <v>0.45404456779038449</v>
      </c>
      <c r="AD108" s="76" t="str">
        <f t="shared" ca="1" si="59"/>
        <v/>
      </c>
      <c r="AE108" s="76">
        <f t="shared" ca="1" si="59"/>
        <v>0.4541777323799796</v>
      </c>
      <c r="AF108" s="76">
        <f t="shared" ca="1" si="59"/>
        <v>0.4540423089537553</v>
      </c>
      <c r="AG108" s="76" t="str">
        <f t="shared" ca="1" si="59"/>
        <v/>
      </c>
      <c r="AH108" s="76">
        <f t="shared" ca="1" si="59"/>
        <v>0.45288567577502759</v>
      </c>
      <c r="AI108" s="76">
        <f t="shared" ca="1" si="59"/>
        <v>0.45328481908227203</v>
      </c>
      <c r="AJ108" s="76">
        <f t="shared" ca="1" si="59"/>
        <v>0.45288567577502759</v>
      </c>
      <c r="AK108" s="76">
        <f t="shared" ca="1" si="59"/>
        <v>0.4530018192844148</v>
      </c>
      <c r="AL108" s="76">
        <f t="shared" ca="1" si="59"/>
        <v>0.45289825699229835</v>
      </c>
      <c r="AM108" s="76">
        <f t="shared" ca="1" si="59"/>
        <v>0.45206151832460728</v>
      </c>
      <c r="AN108" s="76">
        <f t="shared" ca="1" si="59"/>
        <v>0.45260673151275893</v>
      </c>
      <c r="AO108" s="76">
        <f t="shared" ca="1" si="59"/>
        <v>0.45283018867924535</v>
      </c>
      <c r="AP108" s="76">
        <f t="shared" ca="1" si="59"/>
        <v>0.45221416574495099</v>
      </c>
      <c r="AQ108" s="76">
        <f t="shared" ca="1" si="59"/>
        <v>0.45248035363457756</v>
      </c>
      <c r="AR108" s="76">
        <f t="shared" ca="1" si="59"/>
        <v>0.45264749142016664</v>
      </c>
      <c r="AS108" s="76">
        <f t="shared" ca="1" si="59"/>
        <v>0.45296899632159743</v>
      </c>
      <c r="AT108" s="76">
        <f t="shared" ca="1" si="59"/>
        <v>0.45178395264715554</v>
      </c>
      <c r="AU108" s="76">
        <f t="shared" ca="1" si="59"/>
        <v>0.4532913843175217</v>
      </c>
      <c r="AV108" s="76">
        <f t="shared" ca="1" si="59"/>
        <v>0.45280638202613049</v>
      </c>
      <c r="AW108" s="76">
        <f t="shared" ca="1" si="59"/>
        <v>0.45301565470652488</v>
      </c>
    </row>
    <row r="109" spans="1:49">
      <c r="A109" s="58" t="str">
        <f>A102</f>
        <v>CWF</v>
      </c>
      <c r="B109" s="79"/>
      <c r="D109" s="76">
        <f t="shared" ca="1" si="53"/>
        <v>0.39232052949915847</v>
      </c>
      <c r="E109" s="76">
        <f t="shared" ca="1" si="54"/>
        <v>1.8987649995435546E-4</v>
      </c>
      <c r="F109" s="76">
        <f t="shared" ca="1" si="55"/>
        <v>0.39190082644628099</v>
      </c>
      <c r="G109" s="76">
        <f t="shared" ca="1" si="56"/>
        <v>0.39280481849259319</v>
      </c>
      <c r="H109" s="59">
        <f t="shared" ca="1" si="57"/>
        <v>4.7609474923411153</v>
      </c>
      <c r="J109" s="76">
        <f ca="1">IF(J$3,J102/SUM(J102:J104),"")</f>
        <v>0.39196561415109937</v>
      </c>
      <c r="K109" s="76">
        <f t="shared" ref="K109:AW109" ca="1" si="60">IF(K$3,K102/SUM(K102:K104),"")</f>
        <v>0.39190082644628099</v>
      </c>
      <c r="L109" s="76">
        <f t="shared" ca="1" si="60"/>
        <v>0.39198949441891007</v>
      </c>
      <c r="M109" s="76" t="str">
        <f t="shared" ca="1" si="60"/>
        <v/>
      </c>
      <c r="N109" s="76">
        <f t="shared" ca="1" si="60"/>
        <v>0.39213093073235245</v>
      </c>
      <c r="O109" s="76">
        <f t="shared" ca="1" si="60"/>
        <v>0.3922797756516001</v>
      </c>
      <c r="P109" s="76">
        <f t="shared" ca="1" si="60"/>
        <v>0.39234527687296417</v>
      </c>
      <c r="Q109" s="76">
        <f t="shared" ca="1" si="60"/>
        <v>0.39257555847568987</v>
      </c>
      <c r="R109" s="76">
        <f t="shared" ca="1" si="60"/>
        <v>0.39234527687296417</v>
      </c>
      <c r="S109" s="76">
        <f t="shared" ca="1" si="60"/>
        <v>0.39245467907888287</v>
      </c>
      <c r="T109" s="76">
        <f t="shared" ca="1" si="60"/>
        <v>0.39224906761796657</v>
      </c>
      <c r="U109" s="76">
        <f t="shared" ca="1" si="60"/>
        <v>0.39245467907888287</v>
      </c>
      <c r="V109" s="76">
        <f t="shared" ca="1" si="60"/>
        <v>0.39216965742251225</v>
      </c>
      <c r="W109" s="76">
        <f t="shared" ca="1" si="60"/>
        <v>0.39255388634879163</v>
      </c>
      <c r="X109" s="76">
        <f t="shared" ca="1" si="60"/>
        <v>0.39244851258581237</v>
      </c>
      <c r="Y109" s="76">
        <f t="shared" ca="1" si="60"/>
        <v>0.39226248775710088</v>
      </c>
      <c r="Z109" s="76" t="str">
        <f t="shared" ca="1" si="60"/>
        <v/>
      </c>
      <c r="AA109" s="76">
        <f t="shared" ca="1" si="60"/>
        <v>0.39233903830480849</v>
      </c>
      <c r="AB109" s="76" t="str">
        <f t="shared" ca="1" si="60"/>
        <v/>
      </c>
      <c r="AC109" s="76">
        <f t="shared" ca="1" si="60"/>
        <v>0.39224349533627884</v>
      </c>
      <c r="AD109" s="76" t="str">
        <f t="shared" ca="1" si="60"/>
        <v/>
      </c>
      <c r="AE109" s="76">
        <f t="shared" ca="1" si="60"/>
        <v>0.39250654450261779</v>
      </c>
      <c r="AF109" s="76">
        <f t="shared" ca="1" si="60"/>
        <v>0.39255859695131945</v>
      </c>
      <c r="AG109" s="76" t="str">
        <f t="shared" ca="1" si="60"/>
        <v/>
      </c>
      <c r="AH109" s="76">
        <f t="shared" ca="1" si="60"/>
        <v>0.39250948688335258</v>
      </c>
      <c r="AI109" s="76">
        <f t="shared" ca="1" si="60"/>
        <v>0.39226248775710088</v>
      </c>
      <c r="AJ109" s="76">
        <f t="shared" ca="1" si="60"/>
        <v>0.39226879791224922</v>
      </c>
      <c r="AK109" s="76">
        <f t="shared" ca="1" si="60"/>
        <v>0.39280481849259319</v>
      </c>
      <c r="AL109" s="76">
        <f t="shared" ca="1" si="60"/>
        <v>0.39236393176279449</v>
      </c>
      <c r="AM109" s="76">
        <f t="shared" ca="1" si="60"/>
        <v>0.39240918716403322</v>
      </c>
      <c r="AN109" s="76">
        <f t="shared" ca="1" si="60"/>
        <v>0.39229136044422669</v>
      </c>
      <c r="AO109" s="76">
        <f t="shared" ca="1" si="60"/>
        <v>0.39230392956138921</v>
      </c>
      <c r="AP109" s="76">
        <f t="shared" ca="1" si="60"/>
        <v>0.39236790606653621</v>
      </c>
      <c r="AQ109" s="76">
        <f t="shared" ca="1" si="60"/>
        <v>0.39226248775710088</v>
      </c>
      <c r="AR109" s="76">
        <f t="shared" ca="1" si="60"/>
        <v>0.39235543939888923</v>
      </c>
      <c r="AS109" s="76">
        <f t="shared" ca="1" si="60"/>
        <v>0.39209279529488644</v>
      </c>
      <c r="AT109" s="76">
        <f t="shared" ca="1" si="60"/>
        <v>0.39258649093904446</v>
      </c>
      <c r="AU109" s="76">
        <f t="shared" ca="1" si="60"/>
        <v>0.39224277831872767</v>
      </c>
      <c r="AV109" s="76">
        <f t="shared" ca="1" si="60"/>
        <v>0.39213446475195823</v>
      </c>
      <c r="AW109" s="76">
        <f t="shared" ca="1" si="60"/>
        <v>0.39218877135882829</v>
      </c>
    </row>
    <row r="110" spans="1:49">
      <c r="A110" s="58" t="str">
        <f>A105</f>
        <v>D65</v>
      </c>
      <c r="B110" s="79"/>
      <c r="D110" s="76">
        <f t="shared" ca="1" si="53"/>
        <v>0.31538299233228284</v>
      </c>
      <c r="E110" s="76">
        <f t="shared" ca="1" si="54"/>
        <v>5.8784622542510149E-4</v>
      </c>
      <c r="F110" s="76">
        <f t="shared" ca="1" si="55"/>
        <v>0.31454747362576346</v>
      </c>
      <c r="G110" s="76">
        <f t="shared" ca="1" si="56"/>
        <v>0.31705150976909419</v>
      </c>
      <c r="H110" s="59">
        <f t="shared" ca="1" si="57"/>
        <v>4.2596788667307131</v>
      </c>
      <c r="J110" s="76">
        <f ca="1">IF(J$3,J105/SUM(J105:J107),"")</f>
        <v>0.31482979650258258</v>
      </c>
      <c r="K110" s="76">
        <f t="shared" ref="K110:AW110" ca="1" si="61">IF(K$3,K105/SUM(K105:K107),"")</f>
        <v>0.31503452605147519</v>
      </c>
      <c r="L110" s="76">
        <f t="shared" ca="1" si="61"/>
        <v>0.31478184827758515</v>
      </c>
      <c r="M110" s="76" t="str">
        <f t="shared" ca="1" si="61"/>
        <v/>
      </c>
      <c r="N110" s="76">
        <f t="shared" ca="1" si="61"/>
        <v>0.31467049067896996</v>
      </c>
      <c r="O110" s="76">
        <f t="shared" ca="1" si="61"/>
        <v>0.31512395664631865</v>
      </c>
      <c r="P110" s="76">
        <f t="shared" ca="1" si="61"/>
        <v>0.31529971867561135</v>
      </c>
      <c r="Q110" s="76">
        <f t="shared" ca="1" si="61"/>
        <v>0.31687268232385662</v>
      </c>
      <c r="R110" s="76">
        <f t="shared" ca="1" si="61"/>
        <v>0.31586079457961191</v>
      </c>
      <c r="S110" s="76">
        <f t="shared" ca="1" si="61"/>
        <v>0.31564512649841303</v>
      </c>
      <c r="T110" s="76">
        <f t="shared" ca="1" si="61"/>
        <v>0.31561902411942511</v>
      </c>
      <c r="U110" s="76">
        <f t="shared" ca="1" si="61"/>
        <v>0.31559474625393108</v>
      </c>
      <c r="V110" s="76">
        <f t="shared" ca="1" si="61"/>
        <v>0.31705150976909419</v>
      </c>
      <c r="W110" s="76">
        <f t="shared" ca="1" si="61"/>
        <v>0.31610325752919483</v>
      </c>
      <c r="X110" s="76">
        <f t="shared" ca="1" si="61"/>
        <v>0.31585959042042322</v>
      </c>
      <c r="Y110" s="76">
        <f t="shared" ca="1" si="61"/>
        <v>0.31530807737469868</v>
      </c>
      <c r="Z110" s="76" t="str">
        <f t="shared" ca="1" si="61"/>
        <v/>
      </c>
      <c r="AA110" s="76">
        <f t="shared" ca="1" si="61"/>
        <v>0.3162756327360059</v>
      </c>
      <c r="AB110" s="76" t="str">
        <f t="shared" ca="1" si="61"/>
        <v/>
      </c>
      <c r="AC110" s="76">
        <f t="shared" ca="1" si="61"/>
        <v>0.31587717944761612</v>
      </c>
      <c r="AD110" s="76" t="str">
        <f t="shared" ca="1" si="61"/>
        <v/>
      </c>
      <c r="AE110" s="76">
        <f t="shared" ca="1" si="61"/>
        <v>0.31583343645588413</v>
      </c>
      <c r="AF110" s="76">
        <f t="shared" ca="1" si="61"/>
        <v>0.31602806930385635</v>
      </c>
      <c r="AG110" s="76" t="str">
        <f t="shared" ca="1" si="61"/>
        <v/>
      </c>
      <c r="AH110" s="76">
        <f t="shared" ca="1" si="61"/>
        <v>0.31514590088003702</v>
      </c>
      <c r="AI110" s="76">
        <f t="shared" ca="1" si="61"/>
        <v>0.31500385505011563</v>
      </c>
      <c r="AJ110" s="76">
        <f t="shared" ca="1" si="61"/>
        <v>0.31491934240152986</v>
      </c>
      <c r="AK110" s="76">
        <f t="shared" ca="1" si="61"/>
        <v>0.3146191986695821</v>
      </c>
      <c r="AL110" s="76">
        <f t="shared" ca="1" si="61"/>
        <v>0.31503219644452662</v>
      </c>
      <c r="AM110" s="76">
        <f t="shared" ca="1" si="61"/>
        <v>0.31516010725182603</v>
      </c>
      <c r="AN110" s="76">
        <f t="shared" ca="1" si="61"/>
        <v>0.31543665436654361</v>
      </c>
      <c r="AO110" s="76">
        <f t="shared" ca="1" si="61"/>
        <v>0.31530172413793106</v>
      </c>
      <c r="AP110" s="76">
        <f t="shared" ca="1" si="61"/>
        <v>0.3152220918020634</v>
      </c>
      <c r="AQ110" s="76">
        <f t="shared" ca="1" si="61"/>
        <v>0.31500445920595382</v>
      </c>
      <c r="AR110" s="76">
        <f t="shared" ca="1" si="61"/>
        <v>0.31506849315068491</v>
      </c>
      <c r="AS110" s="76">
        <f t="shared" ca="1" si="61"/>
        <v>0.31454747362576346</v>
      </c>
      <c r="AT110" s="76">
        <f t="shared" ca="1" si="61"/>
        <v>0.31506849315068491</v>
      </c>
      <c r="AU110" s="76">
        <f t="shared" ca="1" si="61"/>
        <v>0.31517366336025548</v>
      </c>
      <c r="AV110" s="76">
        <f t="shared" ca="1" si="61"/>
        <v>0.31507607192254494</v>
      </c>
      <c r="AW110" s="76">
        <f t="shared" ca="1" si="61"/>
        <v>0.31495554256530162</v>
      </c>
    </row>
    <row r="111" spans="1:49">
      <c r="A111" s="58" t="str">
        <f>A108</f>
        <v>A</v>
      </c>
      <c r="B111" s="79" t="s">
        <v>112</v>
      </c>
      <c r="D111" s="76">
        <f t="shared" ca="1" si="53"/>
        <v>0.41983979139664418</v>
      </c>
      <c r="E111" s="76">
        <f t="shared" ca="1" si="54"/>
        <v>6.6813152366331147E-4</v>
      </c>
      <c r="F111" s="76">
        <f t="shared" ca="1" si="55"/>
        <v>0.41796509152830991</v>
      </c>
      <c r="G111" s="76">
        <f t="shared" ca="1" si="56"/>
        <v>0.42075623491552694</v>
      </c>
      <c r="H111" s="59">
        <f t="shared" ca="1" si="57"/>
        <v>4.1775358419154021</v>
      </c>
      <c r="J111" s="76">
        <f ca="1">IF(J$3,J100/SUM(J99:J101),"")</f>
        <v>0.41880127239243264</v>
      </c>
      <c r="K111" s="76">
        <f t="shared" ref="K111:AW111" ca="1" si="62">IF(K$3,K100/SUM(K99:K101),"")</f>
        <v>0.41885826936789566</v>
      </c>
      <c r="L111" s="76">
        <f t="shared" ca="1" si="62"/>
        <v>0.41796509152830991</v>
      </c>
      <c r="M111" s="76" t="str">
        <f t="shared" ca="1" si="62"/>
        <v/>
      </c>
      <c r="N111" s="76">
        <f t="shared" ca="1" si="62"/>
        <v>0.41813358039248716</v>
      </c>
      <c r="O111" s="76">
        <f t="shared" ca="1" si="62"/>
        <v>0.41832969981552909</v>
      </c>
      <c r="P111" s="76">
        <f t="shared" ca="1" si="62"/>
        <v>0.42075623491552694</v>
      </c>
      <c r="Q111" s="76">
        <f t="shared" ca="1" si="62"/>
        <v>0.41967698187646407</v>
      </c>
      <c r="R111" s="76">
        <f t="shared" ca="1" si="62"/>
        <v>0.42018244013683004</v>
      </c>
      <c r="S111" s="76">
        <f t="shared" ca="1" si="62"/>
        <v>0.42016499370097948</v>
      </c>
      <c r="T111" s="76">
        <f t="shared" ca="1" si="62"/>
        <v>0.42016430779241898</v>
      </c>
      <c r="U111" s="76">
        <f t="shared" ca="1" si="62"/>
        <v>0.42013521218538724</v>
      </c>
      <c r="V111" s="76">
        <f t="shared" ca="1" si="62"/>
        <v>0.41932697054467666</v>
      </c>
      <c r="W111" s="76">
        <f t="shared" ca="1" si="62"/>
        <v>0.41986105435226811</v>
      </c>
      <c r="X111" s="76">
        <f t="shared" ca="1" si="62"/>
        <v>0.42015712134163719</v>
      </c>
      <c r="Y111" s="76">
        <f t="shared" ca="1" si="62"/>
        <v>0.41983984311161954</v>
      </c>
      <c r="Z111" s="76" t="str">
        <f t="shared" ca="1" si="62"/>
        <v/>
      </c>
      <c r="AA111" s="76">
        <f t="shared" ca="1" si="62"/>
        <v>0.41975004111165926</v>
      </c>
      <c r="AB111" s="76" t="str">
        <f t="shared" ca="1" si="62"/>
        <v/>
      </c>
      <c r="AC111" s="76">
        <f t="shared" ca="1" si="62"/>
        <v>0.42025140804832262</v>
      </c>
      <c r="AD111" s="76" t="str">
        <f t="shared" ca="1" si="62"/>
        <v/>
      </c>
      <c r="AE111" s="76">
        <f t="shared" ca="1" si="62"/>
        <v>0.42014300306435143</v>
      </c>
      <c r="AF111" s="76">
        <f t="shared" ca="1" si="62"/>
        <v>0.42013775008199411</v>
      </c>
      <c r="AG111" s="76" t="str">
        <f t="shared" ca="1" si="62"/>
        <v/>
      </c>
      <c r="AH111" s="76">
        <f t="shared" ca="1" si="62"/>
        <v>0.42008740758893925</v>
      </c>
      <c r="AI111" s="76">
        <f t="shared" ca="1" si="62"/>
        <v>0.42041641398827567</v>
      </c>
      <c r="AJ111" s="76">
        <f t="shared" ca="1" si="62"/>
        <v>0.42008740758893925</v>
      </c>
      <c r="AK111" s="76">
        <f t="shared" ca="1" si="62"/>
        <v>0.42025469981807156</v>
      </c>
      <c r="AL111" s="76">
        <f t="shared" ca="1" si="62"/>
        <v>0.42026753141467371</v>
      </c>
      <c r="AM111" s="76">
        <f t="shared" ca="1" si="62"/>
        <v>0.41962532722513096</v>
      </c>
      <c r="AN111" s="76">
        <f t="shared" ca="1" si="62"/>
        <v>0.42000732570916938</v>
      </c>
      <c r="AO111" s="76">
        <f t="shared" ca="1" si="62"/>
        <v>0.42035792371851971</v>
      </c>
      <c r="AP111" s="76">
        <f t="shared" ca="1" si="62"/>
        <v>0.41976977592069142</v>
      </c>
      <c r="AQ111" s="76">
        <f t="shared" ca="1" si="62"/>
        <v>0.41990013097576945</v>
      </c>
      <c r="AR111" s="76">
        <f t="shared" ca="1" si="62"/>
        <v>0.42000326850792608</v>
      </c>
      <c r="AS111" s="76">
        <f t="shared" ca="1" si="62"/>
        <v>0.42034843768947816</v>
      </c>
      <c r="AT111" s="76">
        <f t="shared" ca="1" si="62"/>
        <v>0.41951660637948052</v>
      </c>
      <c r="AU111" s="76">
        <f t="shared" ca="1" si="62"/>
        <v>0.42049854791868341</v>
      </c>
      <c r="AV111" s="76">
        <f t="shared" ca="1" si="62"/>
        <v>0.42028572591477059</v>
      </c>
      <c r="AW111" s="76">
        <f t="shared" ca="1" si="62"/>
        <v>0.42033089276323771</v>
      </c>
    </row>
    <row r="112" spans="1:49">
      <c r="A112" s="58" t="str">
        <f t="shared" ref="A112:A116" si="63">A109</f>
        <v>CWF</v>
      </c>
      <c r="B112" s="79"/>
      <c r="D112" s="76">
        <f t="shared" ca="1" si="53"/>
        <v>0.39539943649045056</v>
      </c>
      <c r="E112" s="76">
        <f t="shared" ca="1" si="54"/>
        <v>1.996159088832663E-4</v>
      </c>
      <c r="F112" s="76">
        <f t="shared" ca="1" si="55"/>
        <v>0.39510662919490824</v>
      </c>
      <c r="G112" s="76">
        <f t="shared" ca="1" si="56"/>
        <v>0.39621087314662273</v>
      </c>
      <c r="H112" s="59">
        <f t="shared" ca="1" si="57"/>
        <v>5.5318434181528202</v>
      </c>
      <c r="J112" s="76">
        <f ca="1">IF(J$3,J103/SUM(J102:J104),"")</f>
        <v>0.39527194577616137</v>
      </c>
      <c r="K112" s="76">
        <f t="shared" ref="K112:AW112" ca="1" si="64">IF(K$3,K103/SUM(K102:K104),"")</f>
        <v>0.3953719008264463</v>
      </c>
      <c r="L112" s="76">
        <f t="shared" ca="1" si="64"/>
        <v>0.39527248850952068</v>
      </c>
      <c r="M112" s="76" t="str">
        <f t="shared" ca="1" si="64"/>
        <v/>
      </c>
      <c r="N112" s="76">
        <f t="shared" ca="1" si="64"/>
        <v>0.39510662919490824</v>
      </c>
      <c r="O112" s="76">
        <f t="shared" ca="1" si="64"/>
        <v>0.39541405476740349</v>
      </c>
      <c r="P112" s="76">
        <f t="shared" ca="1" si="64"/>
        <v>0.39527687296416936</v>
      </c>
      <c r="Q112" s="76">
        <f t="shared" ca="1" si="64"/>
        <v>0.39536793692509853</v>
      </c>
      <c r="R112" s="76">
        <f t="shared" ca="1" si="64"/>
        <v>0.39527687296416936</v>
      </c>
      <c r="S112" s="76">
        <f t="shared" ca="1" si="64"/>
        <v>0.39539441450269475</v>
      </c>
      <c r="T112" s="76">
        <f t="shared" ca="1" si="64"/>
        <v>0.39516782876601264</v>
      </c>
      <c r="U112" s="76">
        <f t="shared" ca="1" si="64"/>
        <v>0.39539441450269475</v>
      </c>
      <c r="V112" s="76">
        <f t="shared" ca="1" si="64"/>
        <v>0.39526916802610113</v>
      </c>
      <c r="W112" s="76">
        <f t="shared" ca="1" si="64"/>
        <v>0.3954931417374265</v>
      </c>
      <c r="X112" s="76">
        <f t="shared" ca="1" si="64"/>
        <v>0.39539065053939199</v>
      </c>
      <c r="Y112" s="76">
        <f t="shared" ca="1" si="64"/>
        <v>0.39520078354554361</v>
      </c>
      <c r="Z112" s="76" t="str">
        <f t="shared" ca="1" si="64"/>
        <v/>
      </c>
      <c r="AA112" s="76">
        <f t="shared" ca="1" si="64"/>
        <v>0.39527302363488181</v>
      </c>
      <c r="AB112" s="76" t="str">
        <f t="shared" ca="1" si="64"/>
        <v/>
      </c>
      <c r="AC112" s="76">
        <f t="shared" ca="1" si="64"/>
        <v>0.39535264277532317</v>
      </c>
      <c r="AD112" s="76" t="str">
        <f t="shared" ca="1" si="64"/>
        <v/>
      </c>
      <c r="AE112" s="76">
        <f t="shared" ca="1" si="64"/>
        <v>0.39545157068062825</v>
      </c>
      <c r="AF112" s="76">
        <f t="shared" ca="1" si="64"/>
        <v>0.39550893296180956</v>
      </c>
      <c r="AG112" s="76" t="str">
        <f t="shared" ca="1" si="64"/>
        <v/>
      </c>
      <c r="AH112" s="76">
        <f t="shared" ca="1" si="64"/>
        <v>0.39531430457020295</v>
      </c>
      <c r="AI112" s="76">
        <f t="shared" ca="1" si="64"/>
        <v>0.39520078354554361</v>
      </c>
      <c r="AJ112" s="76">
        <f t="shared" ca="1" si="64"/>
        <v>0.39520469743924319</v>
      </c>
      <c r="AK112" s="76">
        <f t="shared" ca="1" si="64"/>
        <v>0.39573498290737424</v>
      </c>
      <c r="AL112" s="76">
        <f t="shared" ca="1" si="64"/>
        <v>0.39528838342810724</v>
      </c>
      <c r="AM112" s="76">
        <f t="shared" ca="1" si="64"/>
        <v>0.39534126079165988</v>
      </c>
      <c r="AN112" s="76">
        <f t="shared" ca="1" si="64"/>
        <v>0.39539441450269475</v>
      </c>
      <c r="AO112" s="76">
        <f t="shared" ca="1" si="64"/>
        <v>0.39556497635741072</v>
      </c>
      <c r="AP112" s="76">
        <f t="shared" ca="1" si="64"/>
        <v>0.39562948467058057</v>
      </c>
      <c r="AQ112" s="76">
        <f t="shared" ca="1" si="64"/>
        <v>0.39552726085537054</v>
      </c>
      <c r="AR112" s="76">
        <f t="shared" ca="1" si="64"/>
        <v>0.39562234563868015</v>
      </c>
      <c r="AS112" s="76">
        <f t="shared" ca="1" si="64"/>
        <v>0.39536023525567715</v>
      </c>
      <c r="AT112" s="76">
        <f t="shared" ca="1" si="64"/>
        <v>0.39621087314662273</v>
      </c>
      <c r="AU112" s="76">
        <f t="shared" ca="1" si="64"/>
        <v>0.39532619279454723</v>
      </c>
      <c r="AV112" s="76">
        <f t="shared" ca="1" si="64"/>
        <v>0.39556135770234985</v>
      </c>
      <c r="AW112" s="76">
        <f t="shared" ca="1" si="64"/>
        <v>0.39544344995931652</v>
      </c>
    </row>
    <row r="113" spans="1:49">
      <c r="A113" s="58" t="str">
        <f t="shared" si="63"/>
        <v>D65</v>
      </c>
      <c r="B113" s="79"/>
      <c r="D113" s="76">
        <f t="shared" ca="1" si="53"/>
        <v>0.35662312743818014</v>
      </c>
      <c r="E113" s="76">
        <f t="shared" ca="1" si="54"/>
        <v>4.4520631864649051E-4</v>
      </c>
      <c r="F113" s="76">
        <f t="shared" ca="1" si="55"/>
        <v>0.35594838471251272</v>
      </c>
      <c r="G113" s="76">
        <f t="shared" ca="1" si="56"/>
        <v>0.35787346113799229</v>
      </c>
      <c r="H113" s="59">
        <f t="shared" ca="1" si="57"/>
        <v>4.3240096666465879</v>
      </c>
      <c r="J113" s="76">
        <f ca="1">IF(J$3,J106/SUM(J105:J107),"")</f>
        <v>0.35618271205426588</v>
      </c>
      <c r="K113" s="76">
        <f t="shared" ref="K113:AW113" ca="1" si="65">IF(K$3,K106/SUM(K105:K107),"")</f>
        <v>0.35649717514124302</v>
      </c>
      <c r="L113" s="76">
        <f t="shared" ca="1" si="65"/>
        <v>0.35625722227427464</v>
      </c>
      <c r="M113" s="76" t="str">
        <f t="shared" ca="1" si="65"/>
        <v/>
      </c>
      <c r="N113" s="76">
        <f t="shared" ca="1" si="65"/>
        <v>0.3560384063844379</v>
      </c>
      <c r="O113" s="76">
        <f t="shared" ca="1" si="65"/>
        <v>0.35623520617914545</v>
      </c>
      <c r="P113" s="76">
        <f t="shared" ca="1" si="65"/>
        <v>0.3566018487031255</v>
      </c>
      <c r="Q113" s="76">
        <f t="shared" ca="1" si="65"/>
        <v>0.35750927070457356</v>
      </c>
      <c r="R113" s="76">
        <f t="shared" ca="1" si="65"/>
        <v>0.35703726516784728</v>
      </c>
      <c r="S113" s="76">
        <f t="shared" ca="1" si="65"/>
        <v>0.35687652152476046</v>
      </c>
      <c r="T113" s="76">
        <f t="shared" ca="1" si="65"/>
        <v>0.35676392572944293</v>
      </c>
      <c r="U113" s="76">
        <f t="shared" ca="1" si="65"/>
        <v>0.35675525682925324</v>
      </c>
      <c r="V113" s="76">
        <f t="shared" ca="1" si="65"/>
        <v>0.35787346113799229</v>
      </c>
      <c r="W113" s="76">
        <f t="shared" ca="1" si="65"/>
        <v>0.35728334357713581</v>
      </c>
      <c r="X113" s="76">
        <f t="shared" ca="1" si="65"/>
        <v>0.35709638442234409</v>
      </c>
      <c r="Y113" s="76">
        <f t="shared" ca="1" si="65"/>
        <v>0.35656016315431677</v>
      </c>
      <c r="Z113" s="76" t="str">
        <f t="shared" ca="1" si="65"/>
        <v/>
      </c>
      <c r="AA113" s="76">
        <f t="shared" ca="1" si="65"/>
        <v>0.35725722027218426</v>
      </c>
      <c r="AB113" s="76" t="str">
        <f t="shared" ca="1" si="65"/>
        <v/>
      </c>
      <c r="AC113" s="76">
        <f t="shared" ca="1" si="65"/>
        <v>0.35698194723036569</v>
      </c>
      <c r="AD113" s="76" t="str">
        <f t="shared" ca="1" si="65"/>
        <v/>
      </c>
      <c r="AE113" s="76">
        <f t="shared" ca="1" si="65"/>
        <v>0.35707214453656722</v>
      </c>
      <c r="AF113" s="76">
        <f t="shared" ca="1" si="65"/>
        <v>0.35716947152704465</v>
      </c>
      <c r="AG113" s="76" t="str">
        <f t="shared" ca="1" si="65"/>
        <v/>
      </c>
      <c r="AH113" s="76">
        <f t="shared" ca="1" si="65"/>
        <v>0.35633781071483711</v>
      </c>
      <c r="AI113" s="76">
        <f t="shared" ca="1" si="65"/>
        <v>0.3562066306861989</v>
      </c>
      <c r="AJ113" s="76">
        <f t="shared" ca="1" si="65"/>
        <v>0.35625057832886092</v>
      </c>
      <c r="AK113" s="76">
        <f t="shared" ca="1" si="65"/>
        <v>0.35594838471251272</v>
      </c>
      <c r="AL113" s="76">
        <f t="shared" ca="1" si="65"/>
        <v>0.35637920941553436</v>
      </c>
      <c r="AM113" s="76">
        <f t="shared" ca="1" si="65"/>
        <v>0.35645822418097206</v>
      </c>
      <c r="AN113" s="76">
        <f t="shared" ca="1" si="65"/>
        <v>0.35664206642066421</v>
      </c>
      <c r="AO113" s="76">
        <f t="shared" ca="1" si="65"/>
        <v>0.35646551724137937</v>
      </c>
      <c r="AP113" s="76">
        <f t="shared" ca="1" si="65"/>
        <v>0.356520664730957</v>
      </c>
      <c r="AQ113" s="76">
        <f t="shared" ca="1" si="65"/>
        <v>0.35630593228157581</v>
      </c>
      <c r="AR113" s="76">
        <f t="shared" ca="1" si="65"/>
        <v>0.35656728444802582</v>
      </c>
      <c r="AS113" s="76">
        <f t="shared" ca="1" si="65"/>
        <v>0.35606761675612308</v>
      </c>
      <c r="AT113" s="76">
        <f t="shared" ca="1" si="65"/>
        <v>0.35634908419270428</v>
      </c>
      <c r="AU113" s="76">
        <f t="shared" ca="1" si="65"/>
        <v>0.35644750176580781</v>
      </c>
      <c r="AV113" s="76">
        <f t="shared" ca="1" si="65"/>
        <v>0.35644690333487017</v>
      </c>
      <c r="AW113" s="76">
        <f t="shared" ca="1" si="65"/>
        <v>0.35636710457496229</v>
      </c>
    </row>
    <row r="114" spans="1:49">
      <c r="A114" s="58" t="str">
        <f t="shared" si="63"/>
        <v>A</v>
      </c>
      <c r="B114" s="79" t="s">
        <v>21</v>
      </c>
      <c r="D114" s="61">
        <f t="shared" ref="D114" ca="1" si="66">AVERAGE(J114:AW114)</f>
        <v>2860.2285714285713</v>
      </c>
      <c r="E114" s="59">
        <f t="shared" ref="E114" ca="1" si="67">STDEV(J114:AW114)</f>
        <v>33.721249814847162</v>
      </c>
      <c r="F114" s="61">
        <f t="shared" ref="F114" ca="1" si="68">MIN(J114:AW114)</f>
        <v>2778</v>
      </c>
      <c r="G114" s="61">
        <f t="shared" ref="G114" ca="1" si="69">MAX(J114:AW114)</f>
        <v>2893</v>
      </c>
      <c r="H114" s="59">
        <f t="shared" ref="H114" ca="1" si="70">(G114-F114)/E114</f>
        <v>3.4103125071410174</v>
      </c>
      <c r="J114" s="61">
        <f ca="1">IF(J$3,getCCTfromXY(J108,J111),"")</f>
        <v>2778</v>
      </c>
      <c r="K114" s="61">
        <f t="shared" ref="K114:AW114" ca="1" si="71">IF(K$3,getCCTfromXY(K108,K111),"")</f>
        <v>2785</v>
      </c>
      <c r="L114" s="61">
        <f t="shared" ca="1" si="71"/>
        <v>2790</v>
      </c>
      <c r="M114" s="61" t="str">
        <f t="shared" ca="1" si="71"/>
        <v/>
      </c>
      <c r="N114" s="61">
        <f t="shared" ca="1" si="71"/>
        <v>2782</v>
      </c>
      <c r="O114" s="61">
        <f t="shared" ca="1" si="71"/>
        <v>2780</v>
      </c>
      <c r="P114" s="61">
        <f t="shared" ca="1" si="71"/>
        <v>2849</v>
      </c>
      <c r="Q114" s="61">
        <f t="shared" ca="1" si="71"/>
        <v>2865</v>
      </c>
      <c r="R114" s="61">
        <f t="shared" ca="1" si="71"/>
        <v>2863</v>
      </c>
      <c r="S114" s="61">
        <f t="shared" ca="1" si="71"/>
        <v>2858</v>
      </c>
      <c r="T114" s="61">
        <f t="shared" ca="1" si="71"/>
        <v>2860</v>
      </c>
      <c r="U114" s="61">
        <f t="shared" ca="1" si="71"/>
        <v>2861</v>
      </c>
      <c r="V114" s="61">
        <f t="shared" ca="1" si="71"/>
        <v>2871</v>
      </c>
      <c r="W114" s="61">
        <f t="shared" ca="1" si="71"/>
        <v>2864</v>
      </c>
      <c r="X114" s="61">
        <f t="shared" ca="1" si="71"/>
        <v>2861</v>
      </c>
      <c r="Y114" s="61">
        <f t="shared" ca="1" si="71"/>
        <v>2863</v>
      </c>
      <c r="Z114" s="61" t="str">
        <f t="shared" ca="1" si="71"/>
        <v/>
      </c>
      <c r="AA114" s="61">
        <f t="shared" ca="1" si="71"/>
        <v>2866</v>
      </c>
      <c r="AB114" s="61" t="str">
        <f t="shared" ca="1" si="71"/>
        <v/>
      </c>
      <c r="AC114" s="61">
        <f t="shared" ca="1" si="71"/>
        <v>2864</v>
      </c>
      <c r="AD114" s="61" t="str">
        <f t="shared" ca="1" si="71"/>
        <v/>
      </c>
      <c r="AE114" s="61">
        <f t="shared" ca="1" si="71"/>
        <v>2861</v>
      </c>
      <c r="AF114" s="61">
        <f t="shared" ca="1" si="71"/>
        <v>2863</v>
      </c>
      <c r="AG114" s="61" t="str">
        <f t="shared" ca="1" si="71"/>
        <v/>
      </c>
      <c r="AH114" s="61">
        <f t="shared" ca="1" si="71"/>
        <v>2880</v>
      </c>
      <c r="AI114" s="61">
        <f t="shared" ca="1" si="71"/>
        <v>2877</v>
      </c>
      <c r="AJ114" s="61">
        <f t="shared" ca="1" si="71"/>
        <v>2880</v>
      </c>
      <c r="AK114" s="61">
        <f t="shared" ca="1" si="71"/>
        <v>2880</v>
      </c>
      <c r="AL114" s="61">
        <f t="shared" ca="1" si="71"/>
        <v>2881</v>
      </c>
      <c r="AM114" s="61">
        <f t="shared" ca="1" si="71"/>
        <v>2889</v>
      </c>
      <c r="AN114" s="61">
        <f t="shared" ca="1" si="71"/>
        <v>2884</v>
      </c>
      <c r="AO114" s="61">
        <f t="shared" ca="1" si="71"/>
        <v>2883</v>
      </c>
      <c r="AP114" s="61">
        <f t="shared" ca="1" si="71"/>
        <v>2888</v>
      </c>
      <c r="AQ114" s="61">
        <f t="shared" ca="1" si="71"/>
        <v>2885</v>
      </c>
      <c r="AR114" s="61">
        <f t="shared" ca="1" si="71"/>
        <v>2883</v>
      </c>
      <c r="AS114" s="61">
        <f t="shared" ca="1" si="71"/>
        <v>2881</v>
      </c>
      <c r="AT114" s="61">
        <f t="shared" ca="1" si="71"/>
        <v>2893</v>
      </c>
      <c r="AU114" s="61">
        <f t="shared" ca="1" si="71"/>
        <v>2877</v>
      </c>
      <c r="AV114" s="61">
        <f t="shared" ca="1" si="71"/>
        <v>2883</v>
      </c>
      <c r="AW114" s="61">
        <f t="shared" ca="1" si="71"/>
        <v>2880</v>
      </c>
    </row>
    <row r="115" spans="1:49">
      <c r="A115" s="58" t="str">
        <f t="shared" si="63"/>
        <v>CWF</v>
      </c>
      <c r="B115" s="79"/>
      <c r="D115" s="61">
        <f t="shared" ca="1" si="53"/>
        <v>3857.2857142857142</v>
      </c>
      <c r="E115" s="59">
        <f t="shared" ca="1" si="54"/>
        <v>4.1555875111438541</v>
      </c>
      <c r="F115" s="61">
        <f t="shared" ca="1" si="55"/>
        <v>3848</v>
      </c>
      <c r="G115" s="61">
        <f t="shared" ca="1" si="56"/>
        <v>3867</v>
      </c>
      <c r="H115" s="59">
        <f t="shared" ca="1" si="57"/>
        <v>4.5721573541764062</v>
      </c>
      <c r="J115" s="61">
        <f ca="1">IF(J$3,getCCTfromXY(J109,J112),"")</f>
        <v>3865</v>
      </c>
      <c r="K115" s="61">
        <f t="shared" ref="K115:AW115" ca="1" si="72">IF(K$3,getCCTfromXY(K109,K112),"")</f>
        <v>3867</v>
      </c>
      <c r="L115" s="61">
        <f t="shared" ca="1" si="72"/>
        <v>3864</v>
      </c>
      <c r="M115" s="61" t="str">
        <f t="shared" ca="1" si="72"/>
        <v/>
      </c>
      <c r="N115" s="61">
        <f t="shared" ca="1" si="72"/>
        <v>3860</v>
      </c>
      <c r="O115" s="61">
        <f t="shared" ca="1" si="72"/>
        <v>3858</v>
      </c>
      <c r="P115" s="61">
        <f t="shared" ca="1" si="72"/>
        <v>3856</v>
      </c>
      <c r="Q115" s="61">
        <f t="shared" ca="1" si="72"/>
        <v>3851</v>
      </c>
      <c r="R115" s="61">
        <f t="shared" ca="1" si="72"/>
        <v>3856</v>
      </c>
      <c r="S115" s="61">
        <f t="shared" ca="1" si="72"/>
        <v>3854</v>
      </c>
      <c r="T115" s="61">
        <f t="shared" ca="1" si="72"/>
        <v>3857</v>
      </c>
      <c r="U115" s="61">
        <f t="shared" ca="1" si="72"/>
        <v>3854</v>
      </c>
      <c r="V115" s="61">
        <f t="shared" ca="1" si="72"/>
        <v>3860</v>
      </c>
      <c r="W115" s="61">
        <f t="shared" ca="1" si="72"/>
        <v>3852</v>
      </c>
      <c r="X115" s="61">
        <f t="shared" ca="1" si="72"/>
        <v>3854</v>
      </c>
      <c r="Y115" s="61">
        <f t="shared" ca="1" si="72"/>
        <v>3857</v>
      </c>
      <c r="Z115" s="61" t="str">
        <f t="shared" ca="1" si="72"/>
        <v/>
      </c>
      <c r="AA115" s="61">
        <f t="shared" ca="1" si="72"/>
        <v>3856</v>
      </c>
      <c r="AB115" s="61" t="str">
        <f t="shared" ca="1" si="72"/>
        <v/>
      </c>
      <c r="AC115" s="61">
        <f t="shared" ca="1" si="72"/>
        <v>3859</v>
      </c>
      <c r="AD115" s="61" t="str">
        <f t="shared" ca="1" si="72"/>
        <v/>
      </c>
      <c r="AE115" s="61">
        <f t="shared" ca="1" si="72"/>
        <v>3853</v>
      </c>
      <c r="AF115" s="61">
        <f t="shared" ca="1" si="72"/>
        <v>3852</v>
      </c>
      <c r="AG115" s="61" t="str">
        <f t="shared" ca="1" si="72"/>
        <v/>
      </c>
      <c r="AH115" s="61">
        <f t="shared" ca="1" si="72"/>
        <v>3852</v>
      </c>
      <c r="AI115" s="61">
        <f t="shared" ca="1" si="72"/>
        <v>3857</v>
      </c>
      <c r="AJ115" s="61">
        <f t="shared" ca="1" si="72"/>
        <v>3857</v>
      </c>
      <c r="AK115" s="61">
        <f t="shared" ca="1" si="72"/>
        <v>3848</v>
      </c>
      <c r="AL115" s="61">
        <f t="shared" ca="1" si="72"/>
        <v>3855</v>
      </c>
      <c r="AM115" s="61">
        <f t="shared" ca="1" si="72"/>
        <v>3855</v>
      </c>
      <c r="AN115" s="61">
        <f t="shared" ca="1" si="72"/>
        <v>3858</v>
      </c>
      <c r="AO115" s="61">
        <f t="shared" ca="1" si="72"/>
        <v>3859</v>
      </c>
      <c r="AP115" s="61">
        <f t="shared" ca="1" si="72"/>
        <v>3858</v>
      </c>
      <c r="AQ115" s="61">
        <f t="shared" ca="1" si="72"/>
        <v>3860</v>
      </c>
      <c r="AR115" s="61">
        <f t="shared" ca="1" si="72"/>
        <v>3858</v>
      </c>
      <c r="AS115" s="61">
        <f t="shared" ca="1" si="72"/>
        <v>3863</v>
      </c>
      <c r="AT115" s="61">
        <f t="shared" ca="1" si="72"/>
        <v>3857</v>
      </c>
      <c r="AU115" s="61">
        <f t="shared" ca="1" si="72"/>
        <v>3859</v>
      </c>
      <c r="AV115" s="61">
        <f t="shared" ca="1" si="72"/>
        <v>3863</v>
      </c>
      <c r="AW115" s="61">
        <f t="shared" ca="1" si="72"/>
        <v>3861</v>
      </c>
    </row>
    <row r="116" spans="1:49">
      <c r="A116" s="58" t="str">
        <f t="shared" si="63"/>
        <v>D65</v>
      </c>
      <c r="B116" s="79"/>
      <c r="D116" s="61">
        <f t="shared" ca="1" si="53"/>
        <v>6324.1428571428569</v>
      </c>
      <c r="E116" s="59">
        <f t="shared" ca="1" si="54"/>
        <v>28.832317302142204</v>
      </c>
      <c r="F116" s="61">
        <f t="shared" ca="1" si="55"/>
        <v>6243</v>
      </c>
      <c r="G116" s="61">
        <f t="shared" ca="1" si="56"/>
        <v>6365</v>
      </c>
      <c r="H116" s="59">
        <f t="shared" ca="1" si="57"/>
        <v>4.2313629779225392</v>
      </c>
      <c r="J116" s="61">
        <f ca="1">IF(J$3,getCCTfromXY(J110,J113),"")</f>
        <v>6352</v>
      </c>
      <c r="K116" s="61">
        <f t="shared" ref="K116:AW116" ca="1" si="73">IF(K$3,getCCTfromXY(K110,K113),"")</f>
        <v>6341</v>
      </c>
      <c r="L116" s="61">
        <f t="shared" ca="1" si="73"/>
        <v>6353</v>
      </c>
      <c r="M116" s="61" t="str">
        <f t="shared" ca="1" si="73"/>
        <v/>
      </c>
      <c r="N116" s="61">
        <f t="shared" ca="1" si="73"/>
        <v>6360</v>
      </c>
      <c r="O116" s="61">
        <f t="shared" ca="1" si="73"/>
        <v>6338</v>
      </c>
      <c r="P116" s="61">
        <f t="shared" ca="1" si="73"/>
        <v>6328</v>
      </c>
      <c r="Q116" s="61">
        <f t="shared" ca="1" si="73"/>
        <v>6252</v>
      </c>
      <c r="R116" s="61">
        <f t="shared" ca="1" si="73"/>
        <v>6300</v>
      </c>
      <c r="S116" s="61">
        <f t="shared" ca="1" si="73"/>
        <v>6311</v>
      </c>
      <c r="T116" s="61">
        <f t="shared" ca="1" si="73"/>
        <v>6313</v>
      </c>
      <c r="U116" s="61">
        <f t="shared" ca="1" si="73"/>
        <v>6314</v>
      </c>
      <c r="V116" s="61">
        <f t="shared" ca="1" si="73"/>
        <v>6243</v>
      </c>
      <c r="W116" s="61">
        <f t="shared" ca="1" si="73"/>
        <v>6288</v>
      </c>
      <c r="X116" s="61">
        <f t="shared" ca="1" si="73"/>
        <v>6300</v>
      </c>
      <c r="Y116" s="61">
        <f t="shared" ca="1" si="73"/>
        <v>6328</v>
      </c>
      <c r="Z116" s="61" t="str">
        <f t="shared" ca="1" si="73"/>
        <v/>
      </c>
      <c r="AA116" s="61">
        <f t="shared" ca="1" si="73"/>
        <v>6281</v>
      </c>
      <c r="AB116" s="61" t="str">
        <f t="shared" ca="1" si="73"/>
        <v/>
      </c>
      <c r="AC116" s="61">
        <f t="shared" ca="1" si="73"/>
        <v>6300</v>
      </c>
      <c r="AD116" s="61" t="str">
        <f t="shared" ca="1" si="73"/>
        <v/>
      </c>
      <c r="AE116" s="61">
        <f t="shared" ca="1" si="73"/>
        <v>6301</v>
      </c>
      <c r="AF116" s="61">
        <f t="shared" ca="1" si="73"/>
        <v>6292</v>
      </c>
      <c r="AG116" s="61" t="str">
        <f t="shared" ca="1" si="73"/>
        <v/>
      </c>
      <c r="AH116" s="61">
        <f t="shared" ca="1" si="73"/>
        <v>6336</v>
      </c>
      <c r="AI116" s="61">
        <f t="shared" ca="1" si="73"/>
        <v>6343</v>
      </c>
      <c r="AJ116" s="61">
        <f t="shared" ca="1" si="73"/>
        <v>6347</v>
      </c>
      <c r="AK116" s="61">
        <f t="shared" ca="1" si="73"/>
        <v>6362</v>
      </c>
      <c r="AL116" s="61">
        <f t="shared" ca="1" si="73"/>
        <v>6341</v>
      </c>
      <c r="AM116" s="61">
        <f t="shared" ca="1" si="73"/>
        <v>6335</v>
      </c>
      <c r="AN116" s="61">
        <f t="shared" ca="1" si="73"/>
        <v>6321</v>
      </c>
      <c r="AO116" s="61">
        <f t="shared" ca="1" si="73"/>
        <v>6328</v>
      </c>
      <c r="AP116" s="61">
        <f t="shared" ca="1" si="73"/>
        <v>6332</v>
      </c>
      <c r="AQ116" s="61">
        <f t="shared" ca="1" si="73"/>
        <v>6343</v>
      </c>
      <c r="AR116" s="61">
        <f t="shared" ca="1" si="73"/>
        <v>6339</v>
      </c>
      <c r="AS116" s="61">
        <f t="shared" ca="1" si="73"/>
        <v>6365</v>
      </c>
      <c r="AT116" s="61">
        <f t="shared" ca="1" si="73"/>
        <v>6340</v>
      </c>
      <c r="AU116" s="61">
        <f t="shared" ca="1" si="73"/>
        <v>6334</v>
      </c>
      <c r="AV116" s="61">
        <f t="shared" ca="1" si="73"/>
        <v>6339</v>
      </c>
      <c r="AW116" s="61">
        <f t="shared" ca="1" si="73"/>
        <v>6345</v>
      </c>
    </row>
  </sheetData>
  <mergeCells count="34">
    <mergeCell ref="E2:E4"/>
    <mergeCell ref="G2:G4"/>
    <mergeCell ref="B108:B110"/>
    <mergeCell ref="B111:B113"/>
    <mergeCell ref="B114:B116"/>
    <mergeCell ref="A102:A104"/>
    <mergeCell ref="A105:A107"/>
    <mergeCell ref="A88:A90"/>
    <mergeCell ref="A91:A93"/>
    <mergeCell ref="A94:A96"/>
    <mergeCell ref="A97:C98"/>
    <mergeCell ref="A99:A101"/>
    <mergeCell ref="V17:X17"/>
    <mergeCell ref="A61:A69"/>
    <mergeCell ref="C61:C63"/>
    <mergeCell ref="C64:C66"/>
    <mergeCell ref="C67:C69"/>
    <mergeCell ref="N17:P17"/>
    <mergeCell ref="A70:A78"/>
    <mergeCell ref="C70:C72"/>
    <mergeCell ref="C73:C75"/>
    <mergeCell ref="C76:C78"/>
    <mergeCell ref="H2:H4"/>
    <mergeCell ref="G17:I17"/>
    <mergeCell ref="A52:A60"/>
    <mergeCell ref="C52:C54"/>
    <mergeCell ref="C55:C57"/>
    <mergeCell ref="C58:C60"/>
    <mergeCell ref="C29:C31"/>
    <mergeCell ref="C32:C34"/>
    <mergeCell ref="C35:C37"/>
    <mergeCell ref="A29:A37"/>
    <mergeCell ref="C14:C27"/>
    <mergeCell ref="F2:F4"/>
  </mergeCells>
  <conditionalFormatting sqref="J8:AW8">
    <cfRule type="top10" dxfId="136" priority="146" percent="1" bottom="1" rank="10"/>
    <cfRule type="top10" dxfId="135" priority="147" percent="1" rank="10"/>
  </conditionalFormatting>
  <conditionalFormatting sqref="J9:AW10">
    <cfRule type="top10" dxfId="134" priority="144" percent="1" bottom="1" rank="10"/>
    <cfRule type="top10" dxfId="133" priority="145" percent="1" rank="10"/>
  </conditionalFormatting>
  <conditionalFormatting sqref="J11:AW11">
    <cfRule type="top10" dxfId="132" priority="142" percent="1" bottom="1" rank="10"/>
    <cfRule type="top10" dxfId="131" priority="143" percent="1" rank="10"/>
  </conditionalFormatting>
  <conditionalFormatting sqref="J12:AW12">
    <cfRule type="top10" dxfId="130" priority="140" percent="1" bottom="1" rank="10"/>
    <cfRule type="top10" dxfId="129" priority="141" percent="1" rank="10"/>
  </conditionalFormatting>
  <conditionalFormatting sqref="J29:AW29">
    <cfRule type="top10" dxfId="128" priority="138" percent="1" bottom="1" rank="10"/>
    <cfRule type="top10" dxfId="127" priority="139" percent="1" rank="10"/>
  </conditionalFormatting>
  <conditionalFormatting sqref="J30:AW30">
    <cfRule type="top10" dxfId="126" priority="136" percent="1" bottom="1" rank="10"/>
    <cfRule type="top10" dxfId="125" priority="137" percent="1" rank="10"/>
  </conditionalFormatting>
  <conditionalFormatting sqref="J31:AW31">
    <cfRule type="top10" dxfId="124" priority="134" percent="1" bottom="1" rank="10"/>
    <cfRule type="top10" dxfId="123" priority="135" percent="1" rank="10"/>
  </conditionalFormatting>
  <conditionalFormatting sqref="J32:AW32">
    <cfRule type="top10" dxfId="122" priority="132" percent="1" bottom="1" rank="10"/>
    <cfRule type="top10" dxfId="121" priority="133" percent="1" rank="10"/>
  </conditionalFormatting>
  <conditionalFormatting sqref="J33:AW33">
    <cfRule type="top10" dxfId="120" priority="130" percent="1" bottom="1" rank="10"/>
    <cfRule type="top10" dxfId="119" priority="131" percent="1" rank="10"/>
  </conditionalFormatting>
  <conditionalFormatting sqref="J34:AW34">
    <cfRule type="top10" dxfId="118" priority="128" percent="1" bottom="1" rank="10"/>
    <cfRule type="top10" dxfId="117" priority="129" percent="1" rank="10"/>
  </conditionalFormatting>
  <conditionalFormatting sqref="J35:AW35">
    <cfRule type="top10" dxfId="116" priority="126" percent="1" bottom="1" rank="10"/>
    <cfRule type="top10" dxfId="115" priority="127" percent="1" rank="10"/>
  </conditionalFormatting>
  <conditionalFormatting sqref="J36:AW36">
    <cfRule type="top10" dxfId="114" priority="124" percent="1" bottom="1" rank="10"/>
    <cfRule type="top10" dxfId="113" priority="125" percent="1" rank="10"/>
  </conditionalFormatting>
  <conditionalFormatting sqref="J4:AW4">
    <cfRule type="cellIs" dxfId="112" priority="121" operator="equal">
      <formula>0</formula>
    </cfRule>
  </conditionalFormatting>
  <conditionalFormatting sqref="J52:AW52">
    <cfRule type="top10" dxfId="111" priority="109" percent="1" bottom="1" rank="10"/>
    <cfRule type="top10" dxfId="110" priority="110" percent="1" rank="10"/>
  </conditionalFormatting>
  <conditionalFormatting sqref="J53:AW53">
    <cfRule type="top10" dxfId="109" priority="107" percent="1" bottom="1" rank="10"/>
    <cfRule type="top10" dxfId="108" priority="108" percent="1" rank="10"/>
  </conditionalFormatting>
  <conditionalFormatting sqref="J54:AW54">
    <cfRule type="top10" dxfId="107" priority="105" percent="1" bottom="1" rank="10"/>
    <cfRule type="top10" dxfId="106" priority="106" percent="1" rank="10"/>
  </conditionalFormatting>
  <conditionalFormatting sqref="J55:AW55">
    <cfRule type="top10" dxfId="105" priority="103" percent="1" bottom="1" rank="10"/>
    <cfRule type="top10" dxfId="104" priority="104" percent="1" rank="10"/>
  </conditionalFormatting>
  <conditionalFormatting sqref="J56:AW56">
    <cfRule type="top10" dxfId="103" priority="101" percent="1" bottom="1" rank="10"/>
    <cfRule type="top10" dxfId="102" priority="102" percent="1" rank="10"/>
  </conditionalFormatting>
  <conditionalFormatting sqref="J57:AW57">
    <cfRule type="top10" dxfId="101" priority="99" percent="1" bottom="1" rank="10"/>
    <cfRule type="top10" dxfId="100" priority="100" percent="1" rank="10"/>
  </conditionalFormatting>
  <conditionalFormatting sqref="J58:AW58">
    <cfRule type="top10" dxfId="99" priority="97" percent="1" bottom="1" rank="10"/>
    <cfRule type="top10" dxfId="98" priority="98" percent="1" rank="10"/>
  </conditionalFormatting>
  <conditionalFormatting sqref="J59:AW59">
    <cfRule type="top10" dxfId="97" priority="95" percent="1" bottom="1" rank="10"/>
    <cfRule type="top10" dxfId="96" priority="96" percent="1" rank="10"/>
  </conditionalFormatting>
  <conditionalFormatting sqref="J60:AW60">
    <cfRule type="top10" dxfId="95" priority="93" percent="1" bottom="1" rank="10"/>
    <cfRule type="top10" dxfId="94" priority="94" percent="1" rank="10"/>
  </conditionalFormatting>
  <conditionalFormatting sqref="J61:AW61">
    <cfRule type="top10" dxfId="93" priority="91" percent="1" bottom="1" rank="10"/>
    <cfRule type="top10" dxfId="92" priority="92" percent="1" rank="10"/>
  </conditionalFormatting>
  <conditionalFormatting sqref="J62:AW62">
    <cfRule type="top10" dxfId="91" priority="89" percent="1" bottom="1" rank="10"/>
    <cfRule type="top10" dxfId="90" priority="90" percent="1" rank="10"/>
  </conditionalFormatting>
  <conditionalFormatting sqref="J63:AW63">
    <cfRule type="top10" dxfId="89" priority="87" percent="1" bottom="1" rank="10"/>
    <cfRule type="top10" dxfId="88" priority="88" percent="1" rank="10"/>
  </conditionalFormatting>
  <conditionalFormatting sqref="J64:AW64">
    <cfRule type="top10" dxfId="87" priority="85" percent="1" bottom="1" rank="10"/>
    <cfRule type="top10" dxfId="86" priority="86" percent="1" rank="10"/>
  </conditionalFormatting>
  <conditionalFormatting sqref="J65:AW65">
    <cfRule type="top10" dxfId="85" priority="83" percent="1" bottom="1" rank="10"/>
    <cfRule type="top10" dxfId="84" priority="84" percent="1" rank="10"/>
  </conditionalFormatting>
  <conditionalFormatting sqref="J66:AW66">
    <cfRule type="top10" dxfId="83" priority="81" percent="1" bottom="1" rank="10"/>
    <cfRule type="top10" dxfId="82" priority="82" percent="1" rank="10"/>
  </conditionalFormatting>
  <conditionalFormatting sqref="J67:AW67">
    <cfRule type="top10" dxfId="81" priority="79" percent="1" bottom="1" rank="10"/>
    <cfRule type="top10" dxfId="80" priority="80" percent="1" rank="10"/>
  </conditionalFormatting>
  <conditionalFormatting sqref="J68:AW68">
    <cfRule type="top10" dxfId="79" priority="77" percent="1" bottom="1" rank="10"/>
    <cfRule type="top10" dxfId="78" priority="78" percent="1" rank="10"/>
  </conditionalFormatting>
  <conditionalFormatting sqref="J69:AW69">
    <cfRule type="top10" dxfId="77" priority="75" percent="1" bottom="1" rank="10"/>
    <cfRule type="top10" dxfId="76" priority="76" percent="1" rank="10"/>
  </conditionalFormatting>
  <conditionalFormatting sqref="J70:AW70">
    <cfRule type="top10" dxfId="75" priority="73" percent="1" bottom="1" rank="10"/>
    <cfRule type="top10" dxfId="74" priority="74" percent="1" rank="10"/>
  </conditionalFormatting>
  <conditionalFormatting sqref="J71:AW71">
    <cfRule type="top10" dxfId="73" priority="71" percent="1" bottom="1" rank="10"/>
    <cfRule type="top10" dxfId="72" priority="72" percent="1" rank="10"/>
  </conditionalFormatting>
  <conditionalFormatting sqref="J72:AW72">
    <cfRule type="top10" dxfId="71" priority="69" percent="1" bottom="1" rank="10"/>
    <cfRule type="top10" dxfId="70" priority="70" percent="1" rank="10"/>
  </conditionalFormatting>
  <conditionalFormatting sqref="J73:AW73">
    <cfRule type="top10" dxfId="69" priority="67" percent="1" bottom="1" rank="10"/>
    <cfRule type="top10" dxfId="68" priority="68" percent="1" rank="10"/>
  </conditionalFormatting>
  <conditionalFormatting sqref="J74:AW74">
    <cfRule type="top10" dxfId="67" priority="65" percent="1" bottom="1" rank="10"/>
    <cfRule type="top10" dxfId="66" priority="66" percent="1" rank="10"/>
  </conditionalFormatting>
  <conditionalFormatting sqref="J75:AW75">
    <cfRule type="top10" dxfId="65" priority="63" percent="1" bottom="1" rank="10"/>
    <cfRule type="top10" dxfId="64" priority="64" percent="1" rank="10"/>
  </conditionalFormatting>
  <conditionalFormatting sqref="J76:AW76">
    <cfRule type="top10" dxfId="63" priority="61" percent="1" bottom="1" rank="10"/>
    <cfRule type="top10" dxfId="62" priority="62" percent="1" rank="10"/>
  </conditionalFormatting>
  <conditionalFormatting sqref="J77:AW77">
    <cfRule type="top10" dxfId="61" priority="59" percent="1" bottom="1" rank="10"/>
    <cfRule type="top10" dxfId="60" priority="60" percent="1" rank="10"/>
  </conditionalFormatting>
  <conditionalFormatting sqref="J78:AW78">
    <cfRule type="top10" dxfId="59" priority="57" percent="1" bottom="1" rank="10"/>
    <cfRule type="top10" dxfId="58" priority="58" percent="1" rank="10"/>
  </conditionalFormatting>
  <conditionalFormatting sqref="J38:AW38">
    <cfRule type="top10" dxfId="57" priority="55" percent="1" bottom="1" rank="10"/>
    <cfRule type="top10" dxfId="56" priority="56" percent="1" rank="10"/>
  </conditionalFormatting>
  <conditionalFormatting sqref="J39:AW39">
    <cfRule type="top10" dxfId="55" priority="53" percent="1" bottom="1" rank="10"/>
    <cfRule type="top10" dxfId="54" priority="54" percent="1" rank="10"/>
  </conditionalFormatting>
  <conditionalFormatting sqref="J40:AW40">
    <cfRule type="top10" dxfId="53" priority="51" percent="1" bottom="1" rank="10"/>
    <cfRule type="top10" dxfId="52" priority="52" percent="1" rank="10"/>
  </conditionalFormatting>
  <conditionalFormatting sqref="J79:AW79">
    <cfRule type="top10" dxfId="51" priority="47" percent="1" bottom="1" rank="10"/>
    <cfRule type="top10" dxfId="50" priority="48" percent="1" rank="10"/>
  </conditionalFormatting>
  <conditionalFormatting sqref="J80:AW80">
    <cfRule type="top10" dxfId="49" priority="45" percent="1" bottom="1" rank="10"/>
    <cfRule type="top10" dxfId="48" priority="46" percent="1" rank="10"/>
  </conditionalFormatting>
  <conditionalFormatting sqref="J81:AW81">
    <cfRule type="top10" dxfId="47" priority="43" percent="1" bottom="1" rank="10"/>
    <cfRule type="top10" dxfId="46" priority="44" percent="1" rank="10"/>
  </conditionalFormatting>
  <conditionalFormatting sqref="J37:AW51">
    <cfRule type="top10" dxfId="45" priority="172" percent="1" bottom="1" rank="10"/>
    <cfRule type="top10" dxfId="44" priority="173" percent="1" rank="10"/>
  </conditionalFormatting>
  <conditionalFormatting sqref="J41:AW51">
    <cfRule type="top10" dxfId="43" priority="181" percent="1" bottom="1" rank="10"/>
    <cfRule type="top10" dxfId="42" priority="182" percent="1" rank="10"/>
  </conditionalFormatting>
  <conditionalFormatting sqref="J99:AW99">
    <cfRule type="top10" dxfId="41" priority="41" percent="1" bottom="1" rank="10"/>
    <cfRule type="top10" dxfId="40" priority="42" percent="1" rank="10"/>
  </conditionalFormatting>
  <conditionalFormatting sqref="J100:AW100">
    <cfRule type="top10" dxfId="39" priority="39" percent="1" bottom="1" rank="10"/>
    <cfRule type="top10" dxfId="38" priority="40" percent="1" rank="10"/>
  </conditionalFormatting>
  <conditionalFormatting sqref="J101:AW101">
    <cfRule type="top10" dxfId="37" priority="37" percent="1" bottom="1" rank="10"/>
    <cfRule type="top10" dxfId="36" priority="38" percent="1" rank="10"/>
  </conditionalFormatting>
  <conditionalFormatting sqref="J102:AW102">
    <cfRule type="top10" dxfId="35" priority="35" percent="1" bottom="1" rank="10"/>
    <cfRule type="top10" dxfId="34" priority="36" percent="1" rank="10"/>
  </conditionalFormatting>
  <conditionalFormatting sqref="J103:AW103">
    <cfRule type="top10" dxfId="33" priority="33" percent="1" bottom="1" rank="10"/>
    <cfRule type="top10" dxfId="32" priority="34" percent="1" rank="10"/>
  </conditionalFormatting>
  <conditionalFormatting sqref="J104:AW104">
    <cfRule type="top10" dxfId="31" priority="31" percent="1" bottom="1" rank="10"/>
    <cfRule type="top10" dxfId="30" priority="32" percent="1" rank="10"/>
  </conditionalFormatting>
  <conditionalFormatting sqref="J105:AW105">
    <cfRule type="top10" dxfId="29" priority="29" percent="1" bottom="1" rank="10"/>
    <cfRule type="top10" dxfId="28" priority="30" percent="1" rank="10"/>
  </conditionalFormatting>
  <conditionalFormatting sqref="J106:AW106">
    <cfRule type="top10" dxfId="27" priority="27" percent="1" bottom="1" rank="10"/>
    <cfRule type="top10" dxfId="26" priority="28" percent="1" rank="10"/>
  </conditionalFormatting>
  <conditionalFormatting sqref="J107:AW107">
    <cfRule type="top10" dxfId="25" priority="25" percent="1" bottom="1" rank="10"/>
    <cfRule type="top10" dxfId="24" priority="26" percent="1" rank="10"/>
  </conditionalFormatting>
  <conditionalFormatting sqref="J108:AW108">
    <cfRule type="top10" dxfId="23" priority="23" percent="1" bottom="1" rank="10"/>
    <cfRule type="top10" dxfId="22" priority="24" percent="1" rank="10"/>
  </conditionalFormatting>
  <conditionalFormatting sqref="J109:AW109">
    <cfRule type="top10" dxfId="21" priority="21" percent="1" bottom="1" rank="10"/>
    <cfRule type="top10" dxfId="20" priority="22" percent="1" rank="10"/>
  </conditionalFormatting>
  <conditionalFormatting sqref="J110:AW110">
    <cfRule type="top10" dxfId="19" priority="19" percent="1" bottom="1" rank="10"/>
    <cfRule type="top10" dxfId="18" priority="20" percent="1" rank="10"/>
  </conditionalFormatting>
  <conditionalFormatting sqref="J111:AW111">
    <cfRule type="top10" dxfId="17" priority="17" percent="1" bottom="1" rank="10"/>
    <cfRule type="top10" dxfId="16" priority="18" percent="1" rank="10"/>
  </conditionalFormatting>
  <conditionalFormatting sqref="J112:AW112">
    <cfRule type="top10" dxfId="15" priority="15" percent="1" bottom="1" rank="10"/>
    <cfRule type="top10" dxfId="14" priority="16" percent="1" rank="10"/>
  </conditionalFormatting>
  <conditionalFormatting sqref="J113:AW113">
    <cfRule type="top10" dxfId="13" priority="13" percent="1" bottom="1" rank="10"/>
    <cfRule type="top10" dxfId="12" priority="14" percent="1" rank="10"/>
  </conditionalFormatting>
  <conditionalFormatting sqref="J114:AW114">
    <cfRule type="top10" dxfId="11" priority="9" percent="1" bottom="1" rank="10"/>
    <cfRule type="top10" dxfId="10" priority="10" percent="1" rank="10"/>
  </conditionalFormatting>
  <conditionalFormatting sqref="J115:AW115">
    <cfRule type="top10" dxfId="9" priority="7" percent="1" bottom="1" rank="10"/>
    <cfRule type="top10" dxfId="8" priority="8" percent="1" rank="10"/>
  </conditionalFormatting>
  <conditionalFormatting sqref="J116:AW116">
    <cfRule type="top10" dxfId="7" priority="5" percent="1" bottom="1" rank="10"/>
    <cfRule type="top10" dxfId="6" priority="6" percent="1" rank="10"/>
  </conditionalFormatting>
  <conditionalFormatting sqref="J6:AW6">
    <cfRule type="top10" dxfId="3" priority="1" percent="1" bottom="1" rank="10"/>
    <cfRule type="top10" dxfId="2" priority="2" percent="1" rank="10"/>
  </conditionalFormatting>
  <dataValidations count="2">
    <dataValidation type="list" allowBlank="1" showInputMessage="1" showErrorMessage="1" sqref="J4:AW4 H2:H3">
      <formula1>$E$14:$E$15</formula1>
    </dataValidation>
    <dataValidation type="list" allowBlank="1" showInputMessage="1" showErrorMessage="1" sqref="F2:F4">
      <formula1>$E$16:$E$18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X268"/>
  <sheetViews>
    <sheetView workbookViewId="0">
      <selection activeCell="K37" sqref="K37"/>
    </sheetView>
  </sheetViews>
  <sheetFormatPr defaultRowHeight="15"/>
  <cols>
    <col min="1" max="1" width="9.140625" style="1"/>
    <col min="2" max="2" width="9.5703125" style="1" bestFit="1" customWidth="1"/>
    <col min="3" max="10" width="9.140625" style="1"/>
    <col min="11" max="11" width="35.85546875" style="1" customWidth="1"/>
    <col min="12" max="12" width="9.140625" style="1"/>
    <col min="13" max="13" width="9.140625" style="2"/>
    <col min="14" max="16384" width="9.140625" style="1"/>
  </cols>
  <sheetData>
    <row r="2" spans="1:17" s="2" customFormat="1">
      <c r="C2" s="79" t="s">
        <v>26</v>
      </c>
      <c r="D2" s="79"/>
      <c r="E2" s="79"/>
      <c r="F2" s="79"/>
      <c r="K2" s="12" t="s">
        <v>19</v>
      </c>
      <c r="M2" s="2">
        <f>MIN(M3:M66)</f>
        <v>3.6845839881305338</v>
      </c>
      <c r="O2" s="2" t="str">
        <f>D3</f>
        <v>A</v>
      </c>
      <c r="P2" s="2" t="str">
        <f>E3</f>
        <v>CWF</v>
      </c>
      <c r="Q2" s="2" t="str">
        <f>F3</f>
        <v>D65</v>
      </c>
    </row>
    <row r="3" spans="1:17">
      <c r="D3" s="2" t="str">
        <f>B13</f>
        <v>A</v>
      </c>
      <c r="E3" s="1" t="str">
        <f>B16</f>
        <v>CWF</v>
      </c>
      <c r="F3" s="1" t="str">
        <f>B19</f>
        <v>D65</v>
      </c>
      <c r="K3" s="11" t="str">
        <f>CHAR(34) &amp; "EEpromVersion" &amp;CHAR(34)  &amp; ",2,"</f>
        <v>"EEpromVersion",2,</v>
      </c>
      <c r="M3" s="1">
        <f t="shared" ref="M3:M66" si="0">MAX(O3:Q3)-MIN(O3:Q3)</f>
        <v>94.135268003615778</v>
      </c>
      <c r="N3" s="1">
        <v>0</v>
      </c>
      <c r="O3" s="41">
        <f>G$5-N3*G$7</f>
        <v>136.0804780876494</v>
      </c>
      <c r="P3" s="41">
        <f>H$5-N3*H$7</f>
        <v>41.945210084033612</v>
      </c>
      <c r="Q3" s="41">
        <f>I$5-N3*I$7</f>
        <v>55.425614035087712</v>
      </c>
    </row>
    <row r="4" spans="1:17">
      <c r="C4" s="2" t="s">
        <v>20</v>
      </c>
      <c r="D4" s="7">
        <v>502</v>
      </c>
      <c r="E4" s="7">
        <v>1190</v>
      </c>
      <c r="F4" s="7">
        <v>570</v>
      </c>
      <c r="G4" s="41">
        <f>AVERAGE(D4:F4)</f>
        <v>754</v>
      </c>
      <c r="H4" s="41">
        <f>G4</f>
        <v>754</v>
      </c>
      <c r="I4" s="41">
        <f>H4</f>
        <v>754</v>
      </c>
      <c r="K4" s="13" t="str">
        <f>linefmt("Compensation",B12)</f>
        <v>"Compensation",45,</v>
      </c>
      <c r="M4" s="39">
        <f t="shared" si="0"/>
        <v>92.04525669893286</v>
      </c>
      <c r="N4" s="1">
        <f>N3+1</f>
        <v>1</v>
      </c>
      <c r="O4" s="50">
        <f t="shared" ref="O4:O66" si="1">G$5-N4*G$7</f>
        <v>133.90418750529795</v>
      </c>
      <c r="P4" s="50">
        <f t="shared" ref="P4:P66" si="2">H$5-N4*H$7</f>
        <v>41.858930806365095</v>
      </c>
      <c r="Q4" s="50">
        <f t="shared" ref="Q4:Q66" si="3">I$5-N4*I$7</f>
        <v>55.121649869354229</v>
      </c>
    </row>
    <row r="5" spans="1:17">
      <c r="C5" s="1">
        <v>0</v>
      </c>
      <c r="D5" s="9">
        <v>90.6</v>
      </c>
      <c r="E5" s="9">
        <v>66.2</v>
      </c>
      <c r="F5" s="9">
        <v>41.9</v>
      </c>
      <c r="G5" s="41">
        <f>G$4/D$4*D5</f>
        <v>136.0804780876494</v>
      </c>
      <c r="H5" s="41">
        <f t="shared" ref="H5:I5" si="4">H$4/E$4*E5</f>
        <v>41.945210084033612</v>
      </c>
      <c r="I5" s="41">
        <f t="shared" si="4"/>
        <v>55.425614035087712</v>
      </c>
      <c r="K5" s="14" t="str">
        <f>linefmt("CardGain",J54)</f>
        <v>"CardGain",19.18229,</v>
      </c>
      <c r="M5" s="39">
        <f t="shared" si="0"/>
        <v>89.955245394249928</v>
      </c>
      <c r="N5" s="2">
        <f t="shared" ref="N5:N66" si="5">N4+1</f>
        <v>2</v>
      </c>
      <c r="O5" s="50">
        <f t="shared" si="1"/>
        <v>131.72789692294651</v>
      </c>
      <c r="P5" s="50">
        <f t="shared" si="2"/>
        <v>41.772651528696585</v>
      </c>
      <c r="Q5" s="50">
        <f t="shared" si="3"/>
        <v>54.817685703620747</v>
      </c>
    </row>
    <row r="6" spans="1:17">
      <c r="B6" s="50">
        <f>D5/4</f>
        <v>22.65</v>
      </c>
      <c r="C6" s="7">
        <v>47</v>
      </c>
      <c r="D6" s="9">
        <v>22.5</v>
      </c>
      <c r="E6" s="9">
        <v>59.8</v>
      </c>
      <c r="F6" s="9">
        <v>31.1</v>
      </c>
      <c r="G6" s="41">
        <f>G$4/D$4*D6</f>
        <v>33.794820717131472</v>
      </c>
      <c r="H6" s="41">
        <f t="shared" ref="H6" si="6">H$4/E$4*E6</f>
        <v>37.890084033613441</v>
      </c>
      <c r="I6" s="41">
        <f t="shared" ref="I6" si="7">I$4/F$4*F6</f>
        <v>41.139298245614036</v>
      </c>
      <c r="K6" s="14" t="str">
        <f>linefmt("Range",1,J34,J37)</f>
        <v>"Range",1,0.8586136,1.057481,</v>
      </c>
      <c r="M6" s="39">
        <f t="shared" si="0"/>
        <v>87.865234089566997</v>
      </c>
      <c r="N6" s="2">
        <f t="shared" si="5"/>
        <v>3</v>
      </c>
      <c r="O6" s="50">
        <f t="shared" si="1"/>
        <v>129.55160634059507</v>
      </c>
      <c r="P6" s="50">
        <f t="shared" si="2"/>
        <v>41.686372251028068</v>
      </c>
      <c r="Q6" s="50">
        <f t="shared" si="3"/>
        <v>54.513721537887264</v>
      </c>
    </row>
    <row r="7" spans="1:17">
      <c r="C7" s="1">
        <f>C5</f>
        <v>0</v>
      </c>
      <c r="D7" s="1">
        <f t="shared" ref="D7:F8" si="8">D$4/D5</f>
        <v>5.5408388520971306</v>
      </c>
      <c r="E7" s="2">
        <f t="shared" si="8"/>
        <v>17.975830815709969</v>
      </c>
      <c r="F7" s="2">
        <f t="shared" si="8"/>
        <v>13.603818615751791</v>
      </c>
      <c r="G7" s="40">
        <f>(G5-G6)/($C6-$C5)</f>
        <v>2.1762905823514451</v>
      </c>
      <c r="H7" s="40">
        <f t="shared" ref="H7:I7" si="9">(H5-H6)/($C6-$C5)</f>
        <v>8.6279277668514273E-2</v>
      </c>
      <c r="I7" s="40">
        <f t="shared" si="9"/>
        <v>0.30396416573348245</v>
      </c>
      <c r="K7" s="14" t="str">
        <f>linefmt("CCM" )</f>
        <v>"CCM",</v>
      </c>
      <c r="M7" s="39">
        <f t="shared" si="0"/>
        <v>85.775222784884065</v>
      </c>
      <c r="N7" s="2">
        <f t="shared" si="5"/>
        <v>4</v>
      </c>
      <c r="O7" s="50">
        <f t="shared" si="1"/>
        <v>127.37531575824362</v>
      </c>
      <c r="P7" s="50">
        <f t="shared" si="2"/>
        <v>41.600092973359551</v>
      </c>
      <c r="Q7" s="50">
        <f t="shared" si="3"/>
        <v>54.209757372153781</v>
      </c>
    </row>
    <row r="8" spans="1:17">
      <c r="C8" s="2">
        <f>C6</f>
        <v>47</v>
      </c>
      <c r="D8" s="2">
        <f t="shared" si="8"/>
        <v>22.31111111111111</v>
      </c>
      <c r="E8" s="2">
        <f t="shared" si="8"/>
        <v>19.899665551839465</v>
      </c>
      <c r="F8" s="2">
        <f t="shared" si="8"/>
        <v>18.327974276527332</v>
      </c>
      <c r="K8" s="15" t="str">
        <f>linefmt("",D54,E54,F54)</f>
        <v>0.2073757,1.010003,-0.3070605,</v>
      </c>
      <c r="M8" s="39">
        <f t="shared" si="0"/>
        <v>83.685211480201133</v>
      </c>
      <c r="N8" s="2">
        <f t="shared" si="5"/>
        <v>5</v>
      </c>
      <c r="O8" s="50">
        <f t="shared" si="1"/>
        <v>125.19902517589217</v>
      </c>
      <c r="P8" s="50">
        <f t="shared" si="2"/>
        <v>41.513813695691042</v>
      </c>
      <c r="Q8" s="50">
        <f t="shared" si="3"/>
        <v>53.905793206420299</v>
      </c>
    </row>
    <row r="9" spans="1:17" s="2" customFormat="1">
      <c r="C9" s="2" t="s">
        <v>23</v>
      </c>
      <c r="D9" s="2">
        <f>(D8-D7)/($C8-$C7)</f>
        <v>0.35681430338327613</v>
      </c>
      <c r="E9" s="2">
        <f>(E8-E7)/($C8-$C7)</f>
        <v>4.0932653960202049E-2</v>
      </c>
      <c r="F9" s="2">
        <f>(F8-F7)/($C8-$C7)</f>
        <v>0.10051395022926682</v>
      </c>
      <c r="K9" s="15" t="str">
        <f>linefmt("",D55,E55,F55)</f>
        <v>3.174079E-02,1,-1.610399E-02,</v>
      </c>
      <c r="M9" s="39">
        <f t="shared" si="0"/>
        <v>81.595200175518187</v>
      </c>
      <c r="N9" s="2">
        <f t="shared" si="5"/>
        <v>6</v>
      </c>
      <c r="O9" s="50">
        <f t="shared" si="1"/>
        <v>123.02273459354072</v>
      </c>
      <c r="P9" s="50">
        <f t="shared" si="2"/>
        <v>41.427534418022525</v>
      </c>
      <c r="Q9" s="50">
        <f t="shared" si="3"/>
        <v>53.601829040686816</v>
      </c>
    </row>
    <row r="10" spans="1:17" s="2" customFormat="1">
      <c r="K10" s="16" t="str">
        <f>linefmt("",D56,E56,F56)</f>
        <v>-0.5626101,0.4242688,1.043414,</v>
      </c>
      <c r="M10" s="39">
        <f t="shared" si="0"/>
        <v>79.505188870835269</v>
      </c>
      <c r="N10" s="2">
        <f t="shared" si="5"/>
        <v>7</v>
      </c>
      <c r="O10" s="50">
        <f t="shared" si="1"/>
        <v>120.84644401118928</v>
      </c>
      <c r="P10" s="50">
        <f t="shared" si="2"/>
        <v>41.341255140354015</v>
      </c>
      <c r="Q10" s="50">
        <f t="shared" si="3"/>
        <v>53.297864874953333</v>
      </c>
    </row>
    <row r="11" spans="1:17" s="2" customFormat="1">
      <c r="A11" s="1"/>
      <c r="B11" s="1"/>
      <c r="C11" s="1"/>
      <c r="D11" s="79" t="s">
        <v>17</v>
      </c>
      <c r="E11" s="79"/>
      <c r="F11" s="79"/>
      <c r="G11" s="79" t="s">
        <v>18</v>
      </c>
      <c r="H11" s="79"/>
      <c r="I11" s="79"/>
      <c r="J11" s="1"/>
      <c r="M11" s="39">
        <f t="shared" si="0"/>
        <v>77.415177566152337</v>
      </c>
      <c r="N11" s="2">
        <f t="shared" si="5"/>
        <v>8</v>
      </c>
      <c r="O11" s="50">
        <f t="shared" si="1"/>
        <v>118.67015342883784</v>
      </c>
      <c r="P11" s="50">
        <f t="shared" si="2"/>
        <v>41.254975862685498</v>
      </c>
      <c r="Q11" s="50">
        <f t="shared" si="3"/>
        <v>52.993900709219851</v>
      </c>
    </row>
    <row r="12" spans="1:17" s="2" customFormat="1">
      <c r="A12" s="1" t="s">
        <v>16</v>
      </c>
      <c r="B12" s="10">
        <f>MATCH(M2,M3:M66,0)-1</f>
        <v>45</v>
      </c>
      <c r="C12" s="1" t="s">
        <v>10</v>
      </c>
      <c r="D12" s="1" t="s">
        <v>3</v>
      </c>
      <c r="E12" s="1" t="s">
        <v>4</v>
      </c>
      <c r="F12" s="1" t="s">
        <v>5</v>
      </c>
      <c r="G12" s="1" t="s">
        <v>6</v>
      </c>
      <c r="H12" s="1" t="s">
        <v>7</v>
      </c>
      <c r="I12" s="1" t="s">
        <v>8</v>
      </c>
      <c r="J12" s="1"/>
      <c r="K12" s="2" t="str">
        <f>"Compensation="&amp;B12</f>
        <v>Compensation=45</v>
      </c>
      <c r="M12" s="39">
        <f t="shared" si="0"/>
        <v>75.325166261469406</v>
      </c>
      <c r="N12" s="2">
        <f t="shared" si="5"/>
        <v>9</v>
      </c>
      <c r="O12" s="50">
        <f t="shared" si="1"/>
        <v>116.49386284648639</v>
      </c>
      <c r="P12" s="50">
        <f t="shared" si="2"/>
        <v>41.168696585016981</v>
      </c>
      <c r="Q12" s="50">
        <f t="shared" si="3"/>
        <v>52.689936543486368</v>
      </c>
    </row>
    <row r="13" spans="1:17" s="2" customFormat="1">
      <c r="A13" s="78"/>
      <c r="B13" s="79" t="s">
        <v>0</v>
      </c>
      <c r="C13" s="1">
        <v>0</v>
      </c>
      <c r="D13" s="7">
        <v>546</v>
      </c>
      <c r="E13" s="7">
        <v>498</v>
      </c>
      <c r="F13" s="7">
        <v>145.80000000000001</v>
      </c>
      <c r="G13" s="8">
        <v>85.1</v>
      </c>
      <c r="H13" s="8">
        <v>24.8</v>
      </c>
      <c r="I13" s="8">
        <v>41.9</v>
      </c>
      <c r="J13" s="1"/>
      <c r="M13" s="39">
        <f t="shared" si="0"/>
        <v>73.235154956786488</v>
      </c>
      <c r="N13" s="2">
        <f t="shared" si="5"/>
        <v>10</v>
      </c>
      <c r="O13" s="50">
        <f t="shared" si="1"/>
        <v>114.31757226413495</v>
      </c>
      <c r="P13" s="50">
        <f t="shared" si="2"/>
        <v>41.082417307348472</v>
      </c>
      <c r="Q13" s="50">
        <f t="shared" si="3"/>
        <v>52.385972377752886</v>
      </c>
    </row>
    <row r="14" spans="1:17" s="2" customFormat="1">
      <c r="A14" s="78"/>
      <c r="B14" s="79"/>
      <c r="C14" s="1">
        <f>C13+1</f>
        <v>1</v>
      </c>
      <c r="D14" s="7">
        <v>551</v>
      </c>
      <c r="E14" s="7">
        <v>502.6</v>
      </c>
      <c r="F14" s="7">
        <v>145.80000000000001</v>
      </c>
      <c r="G14" s="8">
        <v>94.4</v>
      </c>
      <c r="H14" s="8">
        <v>28.5</v>
      </c>
      <c r="I14" s="8">
        <v>48</v>
      </c>
      <c r="J14" s="1"/>
      <c r="M14" s="39">
        <f t="shared" si="0"/>
        <v>71.145143652103542</v>
      </c>
      <c r="N14" s="2">
        <f t="shared" si="5"/>
        <v>11</v>
      </c>
      <c r="O14" s="50">
        <f t="shared" si="1"/>
        <v>112.1412816817835</v>
      </c>
      <c r="P14" s="50">
        <f t="shared" si="2"/>
        <v>40.996138029679955</v>
      </c>
      <c r="Q14" s="50">
        <f t="shared" si="3"/>
        <v>52.082008212019403</v>
      </c>
    </row>
    <row r="15" spans="1:17" s="2" customFormat="1">
      <c r="A15" s="78"/>
      <c r="B15" s="79"/>
      <c r="C15" s="1">
        <f>C14+1</f>
        <v>2</v>
      </c>
      <c r="D15" s="6">
        <f>2*(D13-D14)/(D13+D14)</f>
        <v>-9.1157702825888781E-3</v>
      </c>
      <c r="E15" s="6">
        <f t="shared" ref="E15:F15" si="10">2*(E13-E14)/(E13+E14)</f>
        <v>-9.1944833100140368E-3</v>
      </c>
      <c r="F15" s="6">
        <f t="shared" si="10"/>
        <v>0</v>
      </c>
      <c r="G15" s="8">
        <v>74.599999999999994</v>
      </c>
      <c r="H15" s="8">
        <v>22</v>
      </c>
      <c r="I15" s="8">
        <v>39.200000000000003</v>
      </c>
      <c r="J15" s="1"/>
      <c r="M15" s="39">
        <f t="shared" si="0"/>
        <v>69.055132347420624</v>
      </c>
      <c r="N15" s="2">
        <f t="shared" si="5"/>
        <v>12</v>
      </c>
      <c r="O15" s="50">
        <f t="shared" si="1"/>
        <v>109.96499109943205</v>
      </c>
      <c r="P15" s="50">
        <f t="shared" si="2"/>
        <v>40.909858752011438</v>
      </c>
      <c r="Q15" s="50">
        <f t="shared" si="3"/>
        <v>51.77804404628592</v>
      </c>
    </row>
    <row r="16" spans="1:17" s="2" customFormat="1">
      <c r="A16" s="78"/>
      <c r="B16" s="79" t="s">
        <v>1</v>
      </c>
      <c r="C16" s="1">
        <f>C13</f>
        <v>0</v>
      </c>
      <c r="D16" s="7">
        <v>1185</v>
      </c>
      <c r="E16" s="7">
        <v>1195</v>
      </c>
      <c r="F16" s="7">
        <v>644</v>
      </c>
      <c r="G16" s="8">
        <v>51.8</v>
      </c>
      <c r="H16" s="8">
        <v>60.2</v>
      </c>
      <c r="I16" s="8">
        <v>35.9</v>
      </c>
      <c r="J16" s="1"/>
      <c r="M16" s="39">
        <f t="shared" si="0"/>
        <v>66.965121042737678</v>
      </c>
      <c r="N16" s="2">
        <f t="shared" si="5"/>
        <v>13</v>
      </c>
      <c r="O16" s="50">
        <f t="shared" si="1"/>
        <v>107.78870051708061</v>
      </c>
      <c r="P16" s="50">
        <f t="shared" si="2"/>
        <v>40.823579474342928</v>
      </c>
      <c r="Q16" s="50">
        <f t="shared" si="3"/>
        <v>51.474079880552438</v>
      </c>
    </row>
    <row r="17" spans="1:21" s="2" customFormat="1">
      <c r="A17" s="78"/>
      <c r="B17" s="79"/>
      <c r="C17" s="1">
        <f t="shared" ref="C17:C21" si="11">C14</f>
        <v>1</v>
      </c>
      <c r="D17" s="7">
        <v>1186</v>
      </c>
      <c r="E17" s="7">
        <v>1196</v>
      </c>
      <c r="F17" s="7">
        <v>643</v>
      </c>
      <c r="G17" s="8">
        <v>59</v>
      </c>
      <c r="H17" s="8">
        <v>68.5</v>
      </c>
      <c r="I17" s="8">
        <v>41.1</v>
      </c>
      <c r="J17" s="1"/>
      <c r="M17" s="39">
        <f t="shared" si="0"/>
        <v>64.875109738054746</v>
      </c>
      <c r="N17" s="2">
        <f t="shared" si="5"/>
        <v>14</v>
      </c>
      <c r="O17" s="50">
        <f t="shared" si="1"/>
        <v>105.61240993472916</v>
      </c>
      <c r="P17" s="50">
        <f t="shared" si="2"/>
        <v>40.737300196674411</v>
      </c>
      <c r="Q17" s="50">
        <f t="shared" si="3"/>
        <v>51.170115714818955</v>
      </c>
    </row>
    <row r="18" spans="1:21" s="2" customFormat="1">
      <c r="A18" s="78"/>
      <c r="B18" s="79"/>
      <c r="C18" s="1">
        <f t="shared" si="11"/>
        <v>2</v>
      </c>
      <c r="D18" s="6">
        <f>2*(D16-D17)/(D16+D17)</f>
        <v>-8.4352593842260647E-4</v>
      </c>
      <c r="E18" s="6">
        <f t="shared" ref="E18" si="12">2*(E16-E17)/(E16+E17)</f>
        <v>-8.3647009619406104E-4</v>
      </c>
      <c r="F18" s="6">
        <f t="shared" ref="F18" si="13">2*(F16-F17)/(F16+F17)</f>
        <v>1.554001554001554E-3</v>
      </c>
      <c r="G18" s="8">
        <v>50.1</v>
      </c>
      <c r="H18" s="8">
        <v>60.5</v>
      </c>
      <c r="I18" s="8">
        <v>32.9</v>
      </c>
      <c r="J18" s="1"/>
      <c r="M18" s="39">
        <f t="shared" si="0"/>
        <v>62.785098433371822</v>
      </c>
      <c r="N18" s="2">
        <f t="shared" si="5"/>
        <v>15</v>
      </c>
      <c r="O18" s="50">
        <f t="shared" si="1"/>
        <v>103.43611935237772</v>
      </c>
      <c r="P18" s="50">
        <f t="shared" si="2"/>
        <v>40.651020919005894</v>
      </c>
      <c r="Q18" s="50">
        <f t="shared" si="3"/>
        <v>50.866151549085473</v>
      </c>
    </row>
    <row r="19" spans="1:21" s="2" customFormat="1">
      <c r="A19" s="78"/>
      <c r="B19" s="79" t="s">
        <v>2</v>
      </c>
      <c r="C19" s="1">
        <f t="shared" si="11"/>
        <v>0</v>
      </c>
      <c r="D19" s="7">
        <v>505.3</v>
      </c>
      <c r="E19" s="7">
        <v>571.9</v>
      </c>
      <c r="F19" s="7">
        <v>528.5</v>
      </c>
      <c r="G19" s="8">
        <v>22</v>
      </c>
      <c r="H19" s="8">
        <v>28.3</v>
      </c>
      <c r="I19" s="8">
        <v>25.3</v>
      </c>
      <c r="J19" s="1"/>
      <c r="M19" s="39">
        <f t="shared" si="0"/>
        <v>60.69508712868889</v>
      </c>
      <c r="N19" s="2">
        <f t="shared" si="5"/>
        <v>16</v>
      </c>
      <c r="O19" s="50">
        <f t="shared" si="1"/>
        <v>101.25982877002627</v>
      </c>
      <c r="P19" s="50">
        <f t="shared" si="2"/>
        <v>40.564741641337385</v>
      </c>
      <c r="Q19" s="50">
        <f t="shared" si="3"/>
        <v>50.56218738335199</v>
      </c>
    </row>
    <row r="20" spans="1:21" s="2" customFormat="1">
      <c r="A20" s="78"/>
      <c r="B20" s="79"/>
      <c r="C20" s="1">
        <f t="shared" si="11"/>
        <v>1</v>
      </c>
      <c r="D20" s="7">
        <v>506.5</v>
      </c>
      <c r="E20" s="7">
        <v>572.79999999999995</v>
      </c>
      <c r="F20" s="7">
        <v>528.79999999999995</v>
      </c>
      <c r="G20" s="8">
        <v>28.6</v>
      </c>
      <c r="H20" s="8">
        <v>36.299999999999997</v>
      </c>
      <c r="I20" s="8">
        <v>32.700000000000003</v>
      </c>
      <c r="J20" s="1"/>
      <c r="M20" s="39">
        <f t="shared" si="0"/>
        <v>58.605075824005965</v>
      </c>
      <c r="N20" s="2">
        <f t="shared" si="5"/>
        <v>17</v>
      </c>
      <c r="O20" s="50">
        <f t="shared" si="1"/>
        <v>99.083538187674833</v>
      </c>
      <c r="P20" s="50">
        <f t="shared" si="2"/>
        <v>40.478462363668868</v>
      </c>
      <c r="Q20" s="50">
        <f t="shared" si="3"/>
        <v>50.258223217618507</v>
      </c>
    </row>
    <row r="21" spans="1:21" s="2" customFormat="1">
      <c r="A21" s="78"/>
      <c r="B21" s="79"/>
      <c r="C21" s="1">
        <f t="shared" si="11"/>
        <v>2</v>
      </c>
      <c r="D21" s="6">
        <f>2*(D19-D20)/(D19+D20)</f>
        <v>-2.3720102787111856E-3</v>
      </c>
      <c r="E21" s="6">
        <f t="shared" ref="E21" si="14">2*(E19-E20)/(E19+E20)</f>
        <v>-1.5724644011531012E-3</v>
      </c>
      <c r="F21" s="6">
        <f t="shared" ref="F21" si="15">2*(F19-F20)/(F19+F20)</f>
        <v>-5.6748321195489366E-4</v>
      </c>
      <c r="G21" s="8">
        <v>22</v>
      </c>
      <c r="H21" s="8">
        <v>28.3</v>
      </c>
      <c r="I21" s="8">
        <v>25.3</v>
      </c>
      <c r="J21" s="1"/>
      <c r="M21" s="39">
        <f t="shared" si="0"/>
        <v>56.515064519323033</v>
      </c>
      <c r="N21" s="2">
        <f t="shared" si="5"/>
        <v>18</v>
      </c>
      <c r="O21" s="50">
        <f t="shared" si="1"/>
        <v>96.907247605323391</v>
      </c>
      <c r="P21" s="50">
        <f t="shared" si="2"/>
        <v>40.392183086000358</v>
      </c>
      <c r="Q21" s="50">
        <f t="shared" si="3"/>
        <v>49.954259051885025</v>
      </c>
    </row>
    <row r="22" spans="1:21" s="2" customFormat="1">
      <c r="A22" s="78" t="s">
        <v>11</v>
      </c>
      <c r="B22" s="1" t="str">
        <f>B13</f>
        <v>A</v>
      </c>
      <c r="C22" s="79">
        <f>C13</f>
        <v>0</v>
      </c>
      <c r="D22" s="1">
        <f>(D13+D14)/2</f>
        <v>548.5</v>
      </c>
      <c r="E22" s="1">
        <f t="shared" ref="E22:F22" si="16">(E13+E14)/2</f>
        <v>500.3</v>
      </c>
      <c r="F22" s="1">
        <f t="shared" si="16"/>
        <v>145.80000000000001</v>
      </c>
      <c r="G22" s="5">
        <f>G13</f>
        <v>85.1</v>
      </c>
      <c r="H22" s="5">
        <f t="shared" ref="H22:I22" si="17">H13</f>
        <v>24.8</v>
      </c>
      <c r="I22" s="5">
        <f t="shared" si="17"/>
        <v>41.9</v>
      </c>
      <c r="J22" s="99">
        <f>AVERAGE(G22:I24)</f>
        <v>41.699999999999996</v>
      </c>
      <c r="M22" s="39">
        <f t="shared" si="0"/>
        <v>54.425053214640094</v>
      </c>
      <c r="N22" s="2">
        <f t="shared" si="5"/>
        <v>19</v>
      </c>
      <c r="O22" s="50">
        <f t="shared" si="1"/>
        <v>94.730957022971936</v>
      </c>
      <c r="P22" s="50">
        <f t="shared" si="2"/>
        <v>40.305903808331841</v>
      </c>
      <c r="Q22" s="50">
        <f t="shared" si="3"/>
        <v>49.650294886151542</v>
      </c>
      <c r="U22" s="27"/>
    </row>
    <row r="23" spans="1:21" s="2" customFormat="1">
      <c r="A23" s="78"/>
      <c r="B23" s="1" t="str">
        <f>B16</f>
        <v>CWF</v>
      </c>
      <c r="C23" s="79"/>
      <c r="D23" s="1">
        <f>(D16+D17)/2</f>
        <v>1185.5</v>
      </c>
      <c r="E23" s="1">
        <f>(E16+E17)/2</f>
        <v>1195.5</v>
      </c>
      <c r="F23" s="1">
        <f>(F16+F17)/2</f>
        <v>643.5</v>
      </c>
      <c r="G23" s="5">
        <f>G16</f>
        <v>51.8</v>
      </c>
      <c r="H23" s="5">
        <f>H16</f>
        <v>60.2</v>
      </c>
      <c r="I23" s="5">
        <f>I16</f>
        <v>35.9</v>
      </c>
      <c r="J23" s="99"/>
      <c r="M23" s="39">
        <f t="shared" si="0"/>
        <v>52.33504190995717</v>
      </c>
      <c r="N23" s="2">
        <f t="shared" si="5"/>
        <v>20</v>
      </c>
      <c r="O23" s="50">
        <f t="shared" si="1"/>
        <v>92.554666440620494</v>
      </c>
      <c r="P23" s="50">
        <f t="shared" si="2"/>
        <v>40.219624530663324</v>
      </c>
      <c r="Q23" s="50">
        <f t="shared" si="3"/>
        <v>49.346330720418067</v>
      </c>
    </row>
    <row r="24" spans="1:21" s="2" customFormat="1">
      <c r="A24" s="78"/>
      <c r="B24" s="1" t="str">
        <f>B19</f>
        <v>D65</v>
      </c>
      <c r="C24" s="79"/>
      <c r="D24" s="1">
        <f>(D19+D20)/2</f>
        <v>505.9</v>
      </c>
      <c r="E24" s="1">
        <f>(E19+E20)/2</f>
        <v>572.34999999999991</v>
      </c>
      <c r="F24" s="1">
        <f>(F19+F20)/2</f>
        <v>528.65</v>
      </c>
      <c r="G24" s="5">
        <f>G19</f>
        <v>22</v>
      </c>
      <c r="H24" s="5">
        <f>H19</f>
        <v>28.3</v>
      </c>
      <c r="I24" s="5">
        <f>I19</f>
        <v>25.3</v>
      </c>
      <c r="J24" s="99"/>
      <c r="M24" s="39">
        <f t="shared" si="0"/>
        <v>50.245030605274238</v>
      </c>
      <c r="N24" s="2">
        <f t="shared" si="5"/>
        <v>21</v>
      </c>
      <c r="O24" s="50">
        <f t="shared" si="1"/>
        <v>90.378375858269052</v>
      </c>
      <c r="P24" s="50">
        <f t="shared" si="2"/>
        <v>40.133345252994815</v>
      </c>
      <c r="Q24" s="50">
        <f t="shared" si="3"/>
        <v>49.042366554684577</v>
      </c>
    </row>
    <row r="25" spans="1:21" s="2" customFormat="1">
      <c r="A25" s="78"/>
      <c r="B25" s="1" t="str">
        <f>B13</f>
        <v>A</v>
      </c>
      <c r="C25" s="79">
        <f t="shared" ref="C25" si="18">C14</f>
        <v>1</v>
      </c>
      <c r="D25" s="1">
        <f>(D13+D14)/2</f>
        <v>548.5</v>
      </c>
      <c r="E25" s="1">
        <f t="shared" ref="E25:F25" si="19">(E13+E14)/2</f>
        <v>500.3</v>
      </c>
      <c r="F25" s="1">
        <f t="shared" si="19"/>
        <v>145.80000000000001</v>
      </c>
      <c r="G25" s="5">
        <f t="shared" ref="G25:I25" si="20">G14</f>
        <v>94.4</v>
      </c>
      <c r="H25" s="5">
        <f t="shared" si="20"/>
        <v>28.5</v>
      </c>
      <c r="I25" s="5">
        <f t="shared" si="20"/>
        <v>48</v>
      </c>
      <c r="J25" s="99">
        <f>AVERAGE(G25:I27)</f>
        <v>48.56666666666667</v>
      </c>
      <c r="M25" s="39">
        <f t="shared" si="0"/>
        <v>48.155019300591299</v>
      </c>
      <c r="N25" s="2">
        <f t="shared" si="5"/>
        <v>22</v>
      </c>
      <c r="O25" s="50">
        <f t="shared" si="1"/>
        <v>88.202085275917597</v>
      </c>
      <c r="P25" s="50">
        <f t="shared" si="2"/>
        <v>40.047065975326298</v>
      </c>
      <c r="Q25" s="50">
        <f t="shared" si="3"/>
        <v>48.738402388951101</v>
      </c>
    </row>
    <row r="26" spans="1:21" s="2" customFormat="1">
      <c r="A26" s="78"/>
      <c r="B26" s="1" t="str">
        <f>B16</f>
        <v>CWF</v>
      </c>
      <c r="C26" s="79"/>
      <c r="D26" s="1">
        <f>(D16+D17)/2</f>
        <v>1185.5</v>
      </c>
      <c r="E26" s="1">
        <f>(E16+E17)/2</f>
        <v>1195.5</v>
      </c>
      <c r="F26" s="1">
        <f>(F16+F17)/2</f>
        <v>643.5</v>
      </c>
      <c r="G26" s="5">
        <f>G17</f>
        <v>59</v>
      </c>
      <c r="H26" s="5">
        <f>H17</f>
        <v>68.5</v>
      </c>
      <c r="I26" s="5">
        <f>I17</f>
        <v>41.1</v>
      </c>
      <c r="J26" s="99"/>
      <c r="M26" s="39">
        <f t="shared" si="0"/>
        <v>46.065007995908374</v>
      </c>
      <c r="N26" s="2">
        <f t="shared" si="5"/>
        <v>23</v>
      </c>
      <c r="O26" s="50">
        <f t="shared" si="1"/>
        <v>86.025794693566155</v>
      </c>
      <c r="P26" s="50">
        <f t="shared" si="2"/>
        <v>39.960786697657781</v>
      </c>
      <c r="Q26" s="50">
        <f t="shared" si="3"/>
        <v>48.434438223217612</v>
      </c>
    </row>
    <row r="27" spans="1:21" s="2" customFormat="1">
      <c r="A27" s="78"/>
      <c r="B27" s="1" t="str">
        <f>B19</f>
        <v>D65</v>
      </c>
      <c r="C27" s="79"/>
      <c r="D27" s="1">
        <f>(D19+D20)/2</f>
        <v>505.9</v>
      </c>
      <c r="E27" s="1">
        <f>(E19+E20)/2</f>
        <v>572.34999999999991</v>
      </c>
      <c r="F27" s="1">
        <f>(F19+F20)/2</f>
        <v>528.65</v>
      </c>
      <c r="G27" s="5">
        <f>G20</f>
        <v>28.6</v>
      </c>
      <c r="H27" s="5">
        <f>H20</f>
        <v>36.299999999999997</v>
      </c>
      <c r="I27" s="5">
        <f>I20</f>
        <v>32.700000000000003</v>
      </c>
      <c r="J27" s="99"/>
      <c r="M27" s="39">
        <f t="shared" si="0"/>
        <v>43.974996691225442</v>
      </c>
      <c r="N27" s="2">
        <f t="shared" si="5"/>
        <v>24</v>
      </c>
      <c r="O27" s="50">
        <f t="shared" si="1"/>
        <v>83.849504111214713</v>
      </c>
      <c r="P27" s="50">
        <f t="shared" si="2"/>
        <v>39.874507419989271</v>
      </c>
      <c r="Q27" s="50">
        <f t="shared" si="3"/>
        <v>48.130474057484136</v>
      </c>
    </row>
    <row r="28" spans="1:21" s="2" customFormat="1">
      <c r="A28" s="78"/>
      <c r="B28" s="1" t="str">
        <f>B13</f>
        <v>A</v>
      </c>
      <c r="C28" s="79">
        <f>C15</f>
        <v>2</v>
      </c>
      <c r="D28" s="1">
        <f>(D13+D14)/2</f>
        <v>548.5</v>
      </c>
      <c r="E28" s="1">
        <f t="shared" ref="E28:F28" si="21">(E13+E14)/2</f>
        <v>500.3</v>
      </c>
      <c r="F28" s="1">
        <f t="shared" si="21"/>
        <v>145.80000000000001</v>
      </c>
      <c r="G28" s="5">
        <f t="shared" ref="G28:I28" si="22">G15</f>
        <v>74.599999999999994</v>
      </c>
      <c r="H28" s="5">
        <f t="shared" si="22"/>
        <v>22</v>
      </c>
      <c r="I28" s="5">
        <f t="shared" si="22"/>
        <v>39.200000000000003</v>
      </c>
      <c r="J28" s="99">
        <f>AVERAGE(G28:I30)</f>
        <v>39.433333333333337</v>
      </c>
      <c r="M28" s="39">
        <f t="shared" si="0"/>
        <v>41.884985386542517</v>
      </c>
      <c r="N28" s="2">
        <f t="shared" si="5"/>
        <v>25</v>
      </c>
      <c r="O28" s="50">
        <f t="shared" si="1"/>
        <v>81.673213528863272</v>
      </c>
      <c r="P28" s="50">
        <f t="shared" si="2"/>
        <v>39.788228142320754</v>
      </c>
      <c r="Q28" s="50">
        <f t="shared" si="3"/>
        <v>47.826509891750653</v>
      </c>
    </row>
    <row r="29" spans="1:21" s="2" customFormat="1">
      <c r="A29" s="78"/>
      <c r="B29" s="1" t="str">
        <f t="shared" ref="B29" si="23">B16</f>
        <v>CWF</v>
      </c>
      <c r="C29" s="79"/>
      <c r="D29" s="1">
        <f t="shared" ref="D29:F29" si="24">(D16+D17)/2</f>
        <v>1185.5</v>
      </c>
      <c r="E29" s="1">
        <f t="shared" si="24"/>
        <v>1195.5</v>
      </c>
      <c r="F29" s="1">
        <f t="shared" si="24"/>
        <v>643.5</v>
      </c>
      <c r="G29" s="5">
        <f t="shared" ref="G29:I29" si="25">G18</f>
        <v>50.1</v>
      </c>
      <c r="H29" s="5">
        <f t="shared" si="25"/>
        <v>60.5</v>
      </c>
      <c r="I29" s="5">
        <f t="shared" si="25"/>
        <v>32.9</v>
      </c>
      <c r="J29" s="99"/>
      <c r="M29" s="39">
        <f t="shared" si="0"/>
        <v>39.794974081859593</v>
      </c>
      <c r="N29" s="2">
        <f t="shared" si="5"/>
        <v>26</v>
      </c>
      <c r="O29" s="50">
        <f t="shared" si="1"/>
        <v>79.49692294651183</v>
      </c>
      <c r="P29" s="50">
        <f t="shared" si="2"/>
        <v>39.701948864652238</v>
      </c>
      <c r="Q29" s="50">
        <f t="shared" si="3"/>
        <v>47.522545726017171</v>
      </c>
    </row>
    <row r="30" spans="1:21" s="2" customFormat="1">
      <c r="A30" s="78"/>
      <c r="B30" s="1" t="str">
        <f t="shared" ref="B30" si="26">B19</f>
        <v>D65</v>
      </c>
      <c r="C30" s="79"/>
      <c r="D30" s="1">
        <f t="shared" ref="D30:F30" si="27">(D19+D20)/2</f>
        <v>505.9</v>
      </c>
      <c r="E30" s="1">
        <f t="shared" si="27"/>
        <v>572.34999999999991</v>
      </c>
      <c r="F30" s="1">
        <f t="shared" si="27"/>
        <v>528.65</v>
      </c>
      <c r="G30" s="5">
        <f t="shared" ref="G30:I30" si="28">G21</f>
        <v>22</v>
      </c>
      <c r="H30" s="5">
        <f t="shared" si="28"/>
        <v>28.3</v>
      </c>
      <c r="I30" s="5">
        <f t="shared" si="28"/>
        <v>25.3</v>
      </c>
      <c r="J30" s="99"/>
      <c r="M30" s="39">
        <f t="shared" si="0"/>
        <v>37.704962777176647</v>
      </c>
      <c r="N30" s="2">
        <f t="shared" si="5"/>
        <v>27</v>
      </c>
      <c r="O30" s="50">
        <f t="shared" si="1"/>
        <v>77.320632364160375</v>
      </c>
      <c r="P30" s="50">
        <f t="shared" si="2"/>
        <v>39.615669586983728</v>
      </c>
      <c r="Q30" s="50">
        <f t="shared" si="3"/>
        <v>47.218581560283688</v>
      </c>
    </row>
    <row r="31" spans="1:21">
      <c r="A31" s="78" t="s">
        <v>13</v>
      </c>
      <c r="B31" s="1" t="str">
        <f>B22</f>
        <v>A</v>
      </c>
      <c r="C31" s="79">
        <f t="shared" ref="C31:F31" si="29">C22</f>
        <v>0</v>
      </c>
      <c r="D31" s="1">
        <f t="shared" si="29"/>
        <v>548.5</v>
      </c>
      <c r="E31" s="1">
        <f t="shared" si="29"/>
        <v>500.3</v>
      </c>
      <c r="F31" s="1">
        <f t="shared" si="29"/>
        <v>145.80000000000001</v>
      </c>
      <c r="G31" s="5">
        <f t="shared" ref="G31:I33" si="30">G22*$J$31</f>
        <v>85.1</v>
      </c>
      <c r="H31" s="5">
        <f t="shared" si="30"/>
        <v>24.8</v>
      </c>
      <c r="I31" s="5">
        <f t="shared" si="30"/>
        <v>41.9</v>
      </c>
      <c r="J31" s="96">
        <f>J$22/J22</f>
        <v>1</v>
      </c>
      <c r="M31" s="39">
        <f t="shared" si="0"/>
        <v>35.614951472493722</v>
      </c>
      <c r="N31" s="2">
        <f t="shared" si="5"/>
        <v>28</v>
      </c>
      <c r="O31" s="50">
        <f t="shared" si="1"/>
        <v>75.144341781808933</v>
      </c>
      <c r="P31" s="50">
        <f t="shared" si="2"/>
        <v>39.529390309315211</v>
      </c>
      <c r="Q31" s="50">
        <f t="shared" si="3"/>
        <v>46.914617394550206</v>
      </c>
    </row>
    <row r="32" spans="1:21">
      <c r="A32" s="78"/>
      <c r="B32" s="1" t="str">
        <f t="shared" ref="B32:F32" si="31">B23</f>
        <v>CWF</v>
      </c>
      <c r="C32" s="79"/>
      <c r="D32" s="1">
        <f t="shared" si="31"/>
        <v>1185.5</v>
      </c>
      <c r="E32" s="1">
        <f t="shared" si="31"/>
        <v>1195.5</v>
      </c>
      <c r="F32" s="1">
        <f t="shared" si="31"/>
        <v>643.5</v>
      </c>
      <c r="G32" s="5">
        <f t="shared" si="30"/>
        <v>51.8</v>
      </c>
      <c r="H32" s="5">
        <f t="shared" si="30"/>
        <v>60.2</v>
      </c>
      <c r="I32" s="5">
        <f t="shared" si="30"/>
        <v>35.9</v>
      </c>
      <c r="J32" s="96"/>
      <c r="M32" s="39">
        <f t="shared" si="0"/>
        <v>33.524940167810797</v>
      </c>
      <c r="N32" s="2">
        <f t="shared" si="5"/>
        <v>29</v>
      </c>
      <c r="O32" s="50">
        <f t="shared" si="1"/>
        <v>72.968051199457491</v>
      </c>
      <c r="P32" s="50">
        <f t="shared" si="2"/>
        <v>39.443111031646694</v>
      </c>
      <c r="Q32" s="50">
        <f t="shared" si="3"/>
        <v>46.610653228816723</v>
      </c>
    </row>
    <row r="33" spans="1:17">
      <c r="A33" s="78"/>
      <c r="B33" s="1" t="str">
        <f t="shared" ref="B33:F33" si="32">B24</f>
        <v>D65</v>
      </c>
      <c r="C33" s="79"/>
      <c r="D33" s="1">
        <f t="shared" si="32"/>
        <v>505.9</v>
      </c>
      <c r="E33" s="1">
        <f t="shared" si="32"/>
        <v>572.34999999999991</v>
      </c>
      <c r="F33" s="1">
        <f t="shared" si="32"/>
        <v>528.65</v>
      </c>
      <c r="G33" s="5">
        <f t="shared" si="30"/>
        <v>22</v>
      </c>
      <c r="H33" s="5">
        <f t="shared" si="30"/>
        <v>28.3</v>
      </c>
      <c r="I33" s="5">
        <f t="shared" si="30"/>
        <v>25.3</v>
      </c>
      <c r="J33" s="96"/>
      <c r="M33" s="39">
        <f t="shared" si="0"/>
        <v>31.434928863127851</v>
      </c>
      <c r="N33" s="2">
        <f t="shared" si="5"/>
        <v>30</v>
      </c>
      <c r="O33" s="50">
        <f t="shared" si="1"/>
        <v>70.791760617106036</v>
      </c>
      <c r="P33" s="50">
        <f t="shared" si="2"/>
        <v>39.356831753978184</v>
      </c>
      <c r="Q33" s="50">
        <f t="shared" si="3"/>
        <v>46.30668906308324</v>
      </c>
    </row>
    <row r="34" spans="1:17">
      <c r="A34" s="78"/>
      <c r="B34" s="1" t="str">
        <f t="shared" ref="B34:F34" si="33">B25</f>
        <v>A</v>
      </c>
      <c r="C34" s="79">
        <f t="shared" si="33"/>
        <v>1</v>
      </c>
      <c r="D34" s="1">
        <f t="shared" si="33"/>
        <v>548.5</v>
      </c>
      <c r="E34" s="1">
        <f t="shared" si="33"/>
        <v>500.3</v>
      </c>
      <c r="F34" s="1">
        <f t="shared" si="33"/>
        <v>145.80000000000001</v>
      </c>
      <c r="G34" s="5">
        <f t="shared" ref="G34:I36" si="34">G25*$J$34</f>
        <v>81.053122855181869</v>
      </c>
      <c r="H34" s="5">
        <f t="shared" si="34"/>
        <v>24.470487302676727</v>
      </c>
      <c r="I34" s="5">
        <f t="shared" si="34"/>
        <v>41.213452299245013</v>
      </c>
      <c r="J34" s="96">
        <f>J$22/J25</f>
        <v>0.85861358956760447</v>
      </c>
      <c r="M34" s="39">
        <f t="shared" si="0"/>
        <v>29.344917558444926</v>
      </c>
      <c r="N34" s="2">
        <f t="shared" si="5"/>
        <v>31</v>
      </c>
      <c r="O34" s="50">
        <f t="shared" si="1"/>
        <v>68.615470034754594</v>
      </c>
      <c r="P34" s="50">
        <f t="shared" si="2"/>
        <v>39.270552476309668</v>
      </c>
      <c r="Q34" s="50">
        <f t="shared" si="3"/>
        <v>46.002724897349758</v>
      </c>
    </row>
    <row r="35" spans="1:17">
      <c r="A35" s="78"/>
      <c r="B35" s="1" t="str">
        <f t="shared" ref="B35:F35" si="35">B26</f>
        <v>CWF</v>
      </c>
      <c r="C35" s="79"/>
      <c r="D35" s="1">
        <f t="shared" si="35"/>
        <v>1185.5</v>
      </c>
      <c r="E35" s="1">
        <f t="shared" si="35"/>
        <v>1195.5</v>
      </c>
      <c r="F35" s="1">
        <f t="shared" si="35"/>
        <v>643.5</v>
      </c>
      <c r="G35" s="5">
        <f t="shared" si="34"/>
        <v>50.658201784488661</v>
      </c>
      <c r="H35" s="5">
        <f t="shared" si="34"/>
        <v>58.815030885380907</v>
      </c>
      <c r="I35" s="5">
        <f t="shared" si="34"/>
        <v>35.289018531228542</v>
      </c>
      <c r="J35" s="96"/>
      <c r="M35" s="39">
        <f t="shared" si="0"/>
        <v>27.254906253761995</v>
      </c>
      <c r="N35" s="2">
        <f t="shared" si="5"/>
        <v>32</v>
      </c>
      <c r="O35" s="50">
        <f t="shared" si="1"/>
        <v>66.439179452403152</v>
      </c>
      <c r="P35" s="50">
        <f t="shared" si="2"/>
        <v>39.184273198641158</v>
      </c>
      <c r="Q35" s="50">
        <f t="shared" si="3"/>
        <v>45.698760731616275</v>
      </c>
    </row>
    <row r="36" spans="1:17">
      <c r="A36" s="78"/>
      <c r="B36" s="1" t="str">
        <f t="shared" ref="B36:F36" si="36">B27</f>
        <v>D65</v>
      </c>
      <c r="C36" s="79"/>
      <c r="D36" s="1">
        <f t="shared" si="36"/>
        <v>505.9</v>
      </c>
      <c r="E36" s="1">
        <f t="shared" si="36"/>
        <v>572.34999999999991</v>
      </c>
      <c r="F36" s="1">
        <f t="shared" si="36"/>
        <v>528.65</v>
      </c>
      <c r="G36" s="5">
        <f t="shared" si="34"/>
        <v>24.556348661633489</v>
      </c>
      <c r="H36" s="5">
        <f t="shared" si="34"/>
        <v>31.167673301304038</v>
      </c>
      <c r="I36" s="5">
        <f t="shared" si="34"/>
        <v>28.07666437886067</v>
      </c>
      <c r="J36" s="96"/>
      <c r="M36" s="39">
        <f t="shared" si="0"/>
        <v>25.16489494907907</v>
      </c>
      <c r="N36" s="2">
        <f t="shared" si="5"/>
        <v>33</v>
      </c>
      <c r="O36" s="50">
        <f t="shared" si="1"/>
        <v>64.262888870051711</v>
      </c>
      <c r="P36" s="50">
        <f t="shared" si="2"/>
        <v>39.097993920972641</v>
      </c>
      <c r="Q36" s="50">
        <f t="shared" si="3"/>
        <v>45.394796565882793</v>
      </c>
    </row>
    <row r="37" spans="1:17">
      <c r="A37" s="78"/>
      <c r="B37" s="1" t="str">
        <f t="shared" ref="B37:F37" si="37">B28</f>
        <v>A</v>
      </c>
      <c r="C37" s="79">
        <f t="shared" si="37"/>
        <v>2</v>
      </c>
      <c r="D37" s="1">
        <f t="shared" si="37"/>
        <v>548.5</v>
      </c>
      <c r="E37" s="1">
        <f t="shared" si="37"/>
        <v>500.3</v>
      </c>
      <c r="F37" s="1">
        <f t="shared" si="37"/>
        <v>145.80000000000001</v>
      </c>
      <c r="G37" s="5">
        <f t="shared" ref="G37:I39" si="38">G28*$J$37</f>
        <v>78.888081149619595</v>
      </c>
      <c r="H37" s="5">
        <f t="shared" si="38"/>
        <v>23.264581572273876</v>
      </c>
      <c r="I37" s="5">
        <f t="shared" si="38"/>
        <v>41.453254437869823</v>
      </c>
      <c r="J37" s="96">
        <f>J$22/J28</f>
        <v>1.0574809805579035</v>
      </c>
      <c r="K37" s="51" t="str">
        <f>CHAR(34) &amp; "EEpromVersion" &amp;CHAR(34)  &amp; ",3,"</f>
        <v>"EEpromVersion",3,</v>
      </c>
      <c r="M37" s="39">
        <f t="shared" si="0"/>
        <v>23.074883644396145</v>
      </c>
      <c r="N37" s="2">
        <f t="shared" si="5"/>
        <v>34</v>
      </c>
      <c r="O37" s="50">
        <f t="shared" si="1"/>
        <v>62.086598287700269</v>
      </c>
      <c r="P37" s="50">
        <f t="shared" si="2"/>
        <v>39.011714643304124</v>
      </c>
      <c r="Q37" s="50">
        <f t="shared" si="3"/>
        <v>45.09083240014931</v>
      </c>
    </row>
    <row r="38" spans="1:17">
      <c r="A38" s="78"/>
      <c r="B38" s="1" t="str">
        <f t="shared" ref="B38:F38" si="39">B29</f>
        <v>CWF</v>
      </c>
      <c r="C38" s="79"/>
      <c r="D38" s="1">
        <f t="shared" si="39"/>
        <v>1185.5</v>
      </c>
      <c r="E38" s="1">
        <f t="shared" si="39"/>
        <v>1195.5</v>
      </c>
      <c r="F38" s="1">
        <f t="shared" si="39"/>
        <v>643.5</v>
      </c>
      <c r="G38" s="5">
        <f t="shared" si="38"/>
        <v>52.979797125950967</v>
      </c>
      <c r="H38" s="5">
        <f t="shared" si="38"/>
        <v>63.977599323753161</v>
      </c>
      <c r="I38" s="5">
        <f t="shared" si="38"/>
        <v>34.791124260355026</v>
      </c>
      <c r="J38" s="96"/>
      <c r="K38" s="52" t="str">
        <f>K4</f>
        <v>"Compensation",45,</v>
      </c>
      <c r="M38" s="39">
        <f t="shared" si="0"/>
        <v>20.984872339713199</v>
      </c>
      <c r="N38" s="2">
        <f t="shared" si="5"/>
        <v>35</v>
      </c>
      <c r="O38" s="50">
        <f t="shared" si="1"/>
        <v>59.910307705348814</v>
      </c>
      <c r="P38" s="50">
        <f t="shared" si="2"/>
        <v>38.925435365635614</v>
      </c>
      <c r="Q38" s="50">
        <f t="shared" si="3"/>
        <v>44.786868234415827</v>
      </c>
    </row>
    <row r="39" spans="1:17">
      <c r="A39" s="78"/>
      <c r="B39" s="1" t="str">
        <f t="shared" ref="B39:F39" si="40">B30</f>
        <v>D65</v>
      </c>
      <c r="C39" s="79"/>
      <c r="D39" s="1">
        <f t="shared" si="40"/>
        <v>505.9</v>
      </c>
      <c r="E39" s="1">
        <f t="shared" si="40"/>
        <v>572.34999999999991</v>
      </c>
      <c r="F39" s="1">
        <f t="shared" si="40"/>
        <v>528.65</v>
      </c>
      <c r="G39" s="5">
        <f t="shared" si="38"/>
        <v>23.264581572273876</v>
      </c>
      <c r="H39" s="5">
        <f t="shared" si="38"/>
        <v>29.926711749788669</v>
      </c>
      <c r="I39" s="5">
        <f t="shared" si="38"/>
        <v>26.754268808114961</v>
      </c>
      <c r="J39" s="96"/>
      <c r="K39" s="53" t="str">
        <f>linefmt("CardGain",J42,J45,J48)</f>
        <v>"CardGain",19.49343,21.57204,17.5857,</v>
      </c>
      <c r="M39" s="39">
        <f t="shared" si="0"/>
        <v>18.894861035030274</v>
      </c>
      <c r="N39" s="2">
        <f t="shared" si="5"/>
        <v>36</v>
      </c>
      <c r="O39" s="50">
        <f t="shared" si="1"/>
        <v>57.734017122997372</v>
      </c>
      <c r="P39" s="50">
        <f t="shared" si="2"/>
        <v>38.839156087967098</v>
      </c>
      <c r="Q39" s="50">
        <f t="shared" si="3"/>
        <v>44.482904068682345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"Range",1,0.8586136,1.057481,</v>
      </c>
      <c r="M40" s="39">
        <f t="shared" si="0"/>
        <v>16.80484973034735</v>
      </c>
      <c r="N40" s="2">
        <f t="shared" si="5"/>
        <v>37</v>
      </c>
      <c r="O40" s="50">
        <f t="shared" si="1"/>
        <v>55.55772654064593</v>
      </c>
      <c r="P40" s="50">
        <f t="shared" si="2"/>
        <v>38.752876810298581</v>
      </c>
      <c r="Q40" s="50">
        <f t="shared" si="3"/>
        <v>44.178939902948862</v>
      </c>
    </row>
    <row r="41" spans="1:17">
      <c r="B41" s="79"/>
      <c r="C41" s="79"/>
      <c r="D41" s="1" t="s">
        <v>6</v>
      </c>
      <c r="E41" s="1" t="s">
        <v>7</v>
      </c>
      <c r="F41" s="1" t="s">
        <v>8</v>
      </c>
      <c r="G41" s="79"/>
      <c r="H41" s="79"/>
      <c r="I41" s="79"/>
      <c r="J41" s="79"/>
      <c r="K41" s="53" t="str">
        <f>K7</f>
        <v>"CCM",</v>
      </c>
      <c r="M41" s="39">
        <f t="shared" si="0"/>
        <v>14.714838425664404</v>
      </c>
      <c r="N41" s="2">
        <f t="shared" si="5"/>
        <v>38</v>
      </c>
      <c r="O41" s="50">
        <f t="shared" si="1"/>
        <v>53.381435958294475</v>
      </c>
      <c r="P41" s="50">
        <f t="shared" si="2"/>
        <v>38.666597532630071</v>
      </c>
      <c r="Q41" s="50">
        <f t="shared" si="3"/>
        <v>43.874975737215379</v>
      </c>
    </row>
    <row r="42" spans="1:17">
      <c r="A42" s="4"/>
      <c r="B42" s="1" t="s">
        <v>3</v>
      </c>
      <c r="C42" s="79">
        <f>C31</f>
        <v>0</v>
      </c>
      <c r="D42" s="1">
        <f>I42/$H$43</f>
        <v>0.16222529773011637</v>
      </c>
      <c r="E42" s="1">
        <f>H42/$H$43</f>
        <v>1.0303152920410725</v>
      </c>
      <c r="F42" s="1">
        <f>G42/$H$43</f>
        <v>-0.26776876035674846</v>
      </c>
      <c r="G42" s="1">
        <f t="array" ref="G42:I42">LINEST($D31:$D33,$G31:$I33,FALSE)</f>
        <v>-5.2197323919001146</v>
      </c>
      <c r="H42" s="1">
        <v>20.084382123484978</v>
      </c>
      <c r="I42" s="1">
        <v>3.1623279736567214</v>
      </c>
      <c r="J42" s="97">
        <f>H43</f>
        <v>19.493433008936002</v>
      </c>
      <c r="K42" s="53" t="str">
        <f t="shared" ref="K42:K50" si="41">linefmt("",D42,E42,F42)</f>
        <v>0.1622253,1.030315,-0.2677688,</v>
      </c>
      <c r="M42" s="39">
        <f t="shared" si="0"/>
        <v>12.624827120981479</v>
      </c>
      <c r="N42" s="2">
        <f t="shared" si="5"/>
        <v>39</v>
      </c>
      <c r="O42" s="50">
        <f t="shared" si="1"/>
        <v>51.205145375943033</v>
      </c>
      <c r="P42" s="50">
        <f t="shared" si="2"/>
        <v>38.580318254961554</v>
      </c>
      <c r="Q42" s="50">
        <f t="shared" si="3"/>
        <v>43.571011571481897</v>
      </c>
    </row>
    <row r="43" spans="1:17">
      <c r="A43" s="4"/>
      <c r="B43" s="1" t="s">
        <v>4</v>
      </c>
      <c r="C43" s="79"/>
      <c r="D43" s="1">
        <f>I43/$H$43</f>
        <v>-1.8337085561653563E-2</v>
      </c>
      <c r="E43" s="1">
        <f>H43/$H$43</f>
        <v>1</v>
      </c>
      <c r="F43" s="1">
        <f>G43/$H$43</f>
        <v>5.7888769122961786E-2</v>
      </c>
      <c r="G43" s="1">
        <f t="array" ref="G43:I43">LINEST($E31:$E33,$G31:$I33,FALSE)</f>
        <v>1.1284508428682185</v>
      </c>
      <c r="H43" s="1">
        <v>19.493433008936002</v>
      </c>
      <c r="I43" s="1">
        <v>-0.35745274897522133</v>
      </c>
      <c r="J43" s="97"/>
      <c r="K43" s="53" t="str">
        <f t="shared" si="41"/>
        <v>-1.833709E-02,1,5.788877E-02,</v>
      </c>
      <c r="M43" s="39">
        <f t="shared" si="0"/>
        <v>10.534815816298554</v>
      </c>
      <c r="N43" s="2">
        <f t="shared" si="5"/>
        <v>40</v>
      </c>
      <c r="O43" s="50">
        <f t="shared" si="1"/>
        <v>49.028854793591591</v>
      </c>
      <c r="P43" s="50">
        <f t="shared" si="2"/>
        <v>38.494038977293037</v>
      </c>
      <c r="Q43" s="50">
        <f t="shared" si="3"/>
        <v>43.267047405748414</v>
      </c>
    </row>
    <row r="44" spans="1:17">
      <c r="A44" s="4"/>
      <c r="B44" s="1" t="s">
        <v>5</v>
      </c>
      <c r="C44" s="79"/>
      <c r="D44" s="1">
        <f>I44/$H$43</f>
        <v>-0.6092592735565332</v>
      </c>
      <c r="E44" s="1">
        <f>H44/$H$43</f>
        <v>0.35272014546487224</v>
      </c>
      <c r="F44" s="1">
        <f>G44/$H$43</f>
        <v>1.2071586274828039</v>
      </c>
      <c r="G44" s="1">
        <f t="array" ref="G44:I44">LINEST($F$31:$F$33,$G31:$I33,FALSE)</f>
        <v>23.531665835995167</v>
      </c>
      <c r="H44" s="1">
        <v>6.8757265265216487</v>
      </c>
      <c r="I44" s="1">
        <v>-11.876554834147294</v>
      </c>
      <c r="J44" s="97"/>
      <c r="K44" s="53" t="str">
        <f t="shared" si="41"/>
        <v>-0.6092592,0.3527201,1.207159,</v>
      </c>
      <c r="M44" s="39">
        <f t="shared" si="0"/>
        <v>8.4448045116156223</v>
      </c>
      <c r="N44" s="2">
        <f t="shared" si="5"/>
        <v>41</v>
      </c>
      <c r="O44" s="50">
        <f t="shared" si="1"/>
        <v>46.85256421124015</v>
      </c>
      <c r="P44" s="50">
        <f t="shared" si="2"/>
        <v>38.407759699624528</v>
      </c>
      <c r="Q44" s="50">
        <f t="shared" si="3"/>
        <v>42.963083240014932</v>
      </c>
    </row>
    <row r="45" spans="1:17">
      <c r="A45" s="4"/>
      <c r="B45" s="1" t="str">
        <f>B42</f>
        <v>X</v>
      </c>
      <c r="C45" s="79">
        <f>C34</f>
        <v>1</v>
      </c>
      <c r="D45" s="1">
        <f>I45/$H$46</f>
        <v>0.28001747271101673</v>
      </c>
      <c r="E45" s="1">
        <f>H45/$H$46</f>
        <v>1.0150638820327564</v>
      </c>
      <c r="F45" s="1">
        <f>G45/$H$46</f>
        <v>-0.53645031812508115</v>
      </c>
      <c r="G45" s="1">
        <f t="array" ref="G45:I45">LINEST($D34:$D36,$G34:$I36,FALSE)</f>
        <v>-11.572328978906487</v>
      </c>
      <c r="H45" s="1">
        <v>21.897001046702862</v>
      </c>
      <c r="I45" s="1">
        <v>6.0405487788308054</v>
      </c>
      <c r="J45" s="97">
        <f>H46</f>
        <v>21.572042345603069</v>
      </c>
      <c r="K45" s="53" t="str">
        <f t="shared" si="41"/>
        <v>0.2800175,1.015064,-0.5364503,</v>
      </c>
      <c r="M45" s="39">
        <f t="shared" si="0"/>
        <v>6.3547932069326976</v>
      </c>
      <c r="N45" s="2">
        <f t="shared" si="5"/>
        <v>42</v>
      </c>
      <c r="O45" s="50">
        <f t="shared" si="1"/>
        <v>44.676273628888708</v>
      </c>
      <c r="P45" s="50">
        <f t="shared" si="2"/>
        <v>38.321480421956011</v>
      </c>
      <c r="Q45" s="50">
        <f t="shared" si="3"/>
        <v>42.659119074281449</v>
      </c>
    </row>
    <row r="46" spans="1:17">
      <c r="A46" s="4"/>
      <c r="B46" s="1" t="str">
        <f t="shared" ref="B46:B53" si="42">B43</f>
        <v>Y</v>
      </c>
      <c r="C46" s="79"/>
      <c r="D46" s="1">
        <f>I46/$H$46</f>
        <v>0.12278476840527722</v>
      </c>
      <c r="E46" s="1">
        <f>H46/$H$46</f>
        <v>1</v>
      </c>
      <c r="F46" s="1">
        <f>G46/$H$46</f>
        <v>-0.27249648473235477</v>
      </c>
      <c r="G46" s="1">
        <f t="array" ref="G46:I46">LINEST($E34:$E36,$G34:$I36,FALSE)</f>
        <v>-5.878305707674337</v>
      </c>
      <c r="H46" s="1">
        <v>21.572042345603069</v>
      </c>
      <c r="I46" s="1">
        <v>2.6487182234337059</v>
      </c>
      <c r="J46" s="97"/>
      <c r="K46" s="53" t="str">
        <f t="shared" si="41"/>
        <v>0.1227848,1,-0.2724965,</v>
      </c>
      <c r="M46" s="39">
        <f t="shared" si="0"/>
        <v>4.2647819022497515</v>
      </c>
      <c r="N46" s="2">
        <f t="shared" si="5"/>
        <v>43</v>
      </c>
      <c r="O46" s="50">
        <f t="shared" si="1"/>
        <v>42.499983046537253</v>
      </c>
      <c r="P46" s="50">
        <f t="shared" si="2"/>
        <v>38.235201144287501</v>
      </c>
      <c r="Q46" s="50">
        <f t="shared" si="3"/>
        <v>42.355154908547966</v>
      </c>
    </row>
    <row r="47" spans="1:17">
      <c r="A47" s="4"/>
      <c r="B47" s="1" t="str">
        <f t="shared" si="42"/>
        <v>Z</v>
      </c>
      <c r="C47" s="79"/>
      <c r="D47" s="1">
        <f>I47/$H$46</f>
        <v>-0.45544971930679601</v>
      </c>
      <c r="E47" s="1">
        <f>H47/$H$46</f>
        <v>0.40954754839289875</v>
      </c>
      <c r="F47" s="1">
        <f>G47/$H$46</f>
        <v>0.816542662239509</v>
      </c>
      <c r="G47" s="1">
        <f t="array" ref="G47:I47">LINEST($F$31:$F$33,$G34:$I36,FALSE)</f>
        <v>17.614492886822152</v>
      </c>
      <c r="H47" s="1">
        <v>8.8347770564695338</v>
      </c>
      <c r="I47" s="1">
        <v>-9.8249806311792351</v>
      </c>
      <c r="J47" s="97"/>
      <c r="K47" s="53" t="str">
        <f t="shared" si="41"/>
        <v>-0.4554497,0.4095475,0.8165427,</v>
      </c>
      <c r="M47" s="39">
        <f t="shared" si="0"/>
        <v>3.9022688761954996</v>
      </c>
      <c r="N47" s="2">
        <f t="shared" si="5"/>
        <v>44</v>
      </c>
      <c r="O47" s="50">
        <f t="shared" si="1"/>
        <v>40.323692464185811</v>
      </c>
      <c r="P47" s="50">
        <f t="shared" si="2"/>
        <v>38.148921866618984</v>
      </c>
      <c r="Q47" s="50">
        <f t="shared" si="3"/>
        <v>42.051190742814484</v>
      </c>
    </row>
    <row r="48" spans="1:17">
      <c r="A48" s="4"/>
      <c r="B48" s="1" t="str">
        <f t="shared" si="42"/>
        <v>X</v>
      </c>
      <c r="C48" s="79">
        <f>C37</f>
        <v>2</v>
      </c>
      <c r="D48" s="1">
        <f>I48/$H$49</f>
        <v>0.22381034113900061</v>
      </c>
      <c r="E48" s="1">
        <f>H48/$H$49</f>
        <v>0.99424780509019162</v>
      </c>
      <c r="F48" s="1">
        <f>G48/$H$49</f>
        <v>-0.23150469090031503</v>
      </c>
      <c r="G48" s="1">
        <f t="array" ref="G48:I48">LINEST($D37:$D39,$G37:$I39,FALSE)</f>
        <v>-4.0711733522769853</v>
      </c>
      <c r="H48" s="1">
        <v>17.484549249958899</v>
      </c>
      <c r="I48" s="1">
        <v>3.9358627821561818</v>
      </c>
      <c r="J48" s="97">
        <f>H49</f>
        <v>17.585705656521732</v>
      </c>
      <c r="K48" s="53" t="str">
        <f t="shared" si="41"/>
        <v>0.2238103,0.9942478,-0.2315047,</v>
      </c>
      <c r="M48" s="39">
        <f t="shared" si="0"/>
        <v>3.6845839881305338</v>
      </c>
      <c r="N48" s="2">
        <f t="shared" si="5"/>
        <v>45</v>
      </c>
      <c r="O48" s="50">
        <f t="shared" si="1"/>
        <v>38.147401881834369</v>
      </c>
      <c r="P48" s="50">
        <f t="shared" si="2"/>
        <v>38.062642588950467</v>
      </c>
      <c r="Q48" s="50">
        <f t="shared" si="3"/>
        <v>41.747226577081001</v>
      </c>
    </row>
    <row r="49" spans="1:24">
      <c r="A49" s="4"/>
      <c r="B49" s="1" t="str">
        <f t="shared" si="42"/>
        <v>Y</v>
      </c>
      <c r="C49" s="79"/>
      <c r="D49" s="1">
        <f>I49/$H$49</f>
        <v>2.6278588572696902E-2</v>
      </c>
      <c r="E49" s="1">
        <f>H49/$H$49</f>
        <v>1</v>
      </c>
      <c r="F49" s="1">
        <f>G49/$H$49</f>
        <v>7.5062700664962248E-2</v>
      </c>
      <c r="G49" s="1">
        <f t="array" ref="G49:I49">LINEST($E37:$E39,$G37:$I39,FALSE)</f>
        <v>1.3200305596776241</v>
      </c>
      <c r="H49" s="1">
        <v>17.585705656521732</v>
      </c>
      <c r="I49" s="1">
        <v>0.46212752370828325</v>
      </c>
      <c r="J49" s="97"/>
      <c r="K49" s="53" t="str">
        <f t="shared" si="41"/>
        <v>2.627859E-02,1,0.0750627,</v>
      </c>
      <c r="M49" s="39">
        <f t="shared" si="0"/>
        <v>5.4721511118646049</v>
      </c>
      <c r="N49" s="2">
        <f t="shared" si="5"/>
        <v>46</v>
      </c>
      <c r="O49" s="50">
        <f t="shared" si="1"/>
        <v>35.971111299482914</v>
      </c>
      <c r="P49" s="50">
        <f t="shared" si="2"/>
        <v>37.976363311281958</v>
      </c>
      <c r="Q49" s="50">
        <f t="shared" si="3"/>
        <v>41.443262411347519</v>
      </c>
    </row>
    <row r="50" spans="1:24">
      <c r="A50" s="4"/>
      <c r="B50" s="1" t="str">
        <f t="shared" si="42"/>
        <v>Z</v>
      </c>
      <c r="C50" s="79"/>
      <c r="D50" s="1">
        <f>I50/$H$49</f>
        <v>-0.63627997974035511</v>
      </c>
      <c r="E50" s="1">
        <f>H50/$H$49</f>
        <v>0.47727841406125743</v>
      </c>
      <c r="F50" s="1">
        <f>G50/$H$49</f>
        <v>1.1430236120411714</v>
      </c>
      <c r="G50" s="1">
        <f t="array" ref="G50:I50">LINEST($F$31:$F$33,$G37:$I39,FALSE)</f>
        <v>20.100876799810329</v>
      </c>
      <c r="H50" s="1">
        <v>8.3932777058927766</v>
      </c>
      <c r="I50" s="1">
        <v>-11.189432438851496</v>
      </c>
      <c r="J50" s="97"/>
      <c r="K50" s="54" t="str">
        <f t="shared" si="41"/>
        <v>-0.63628,0.4772784,1.143024,</v>
      </c>
      <c r="M50" s="39">
        <f t="shared" si="0"/>
        <v>7.3444775284825639</v>
      </c>
      <c r="N50" s="2">
        <f t="shared" si="5"/>
        <v>47</v>
      </c>
      <c r="O50" s="50">
        <f t="shared" si="1"/>
        <v>33.794820717131472</v>
      </c>
      <c r="P50" s="50">
        <f t="shared" si="2"/>
        <v>37.890084033613441</v>
      </c>
      <c r="Q50" s="50">
        <f t="shared" si="3"/>
        <v>41.139298245614036</v>
      </c>
    </row>
    <row r="51" spans="1:24">
      <c r="B51" s="2" t="str">
        <f t="shared" si="42"/>
        <v>X</v>
      </c>
      <c r="C51" s="79" t="s">
        <v>28</v>
      </c>
      <c r="D51" s="1">
        <f>(D42+D45+D48)/3</f>
        <v>0.2220177038600446</v>
      </c>
      <c r="E51" s="2">
        <f t="shared" ref="E51:F51" si="43">(E42+E45+E48)/3</f>
        <v>1.0132089930546735</v>
      </c>
      <c r="F51" s="2">
        <f t="shared" si="43"/>
        <v>-0.34524125646071485</v>
      </c>
      <c r="J51" s="97">
        <f>(J42+J45+J48)/3</f>
        <v>19.550393670353603</v>
      </c>
      <c r="M51" s="39">
        <f t="shared" si="0"/>
        <v>9.2168039451005228</v>
      </c>
      <c r="N51" s="2">
        <f t="shared" si="5"/>
        <v>48</v>
      </c>
      <c r="O51" s="50">
        <f t="shared" si="1"/>
        <v>31.61853013478003</v>
      </c>
      <c r="P51" s="50">
        <f t="shared" si="2"/>
        <v>37.803804755944924</v>
      </c>
      <c r="Q51" s="50">
        <f t="shared" si="3"/>
        <v>40.835334079880553</v>
      </c>
    </row>
    <row r="52" spans="1:24">
      <c r="B52" s="2" t="str">
        <f t="shared" si="42"/>
        <v>Y</v>
      </c>
      <c r="C52" s="79"/>
      <c r="D52" s="2">
        <f t="shared" ref="D52:F52" si="44">(D43+D46+D49)/3</f>
        <v>4.3575423805440189E-2</v>
      </c>
      <c r="E52" s="2">
        <f t="shared" si="44"/>
        <v>1</v>
      </c>
      <c r="F52" s="2">
        <f t="shared" si="44"/>
        <v>-4.6515004981476905E-2</v>
      </c>
      <c r="J52" s="97"/>
      <c r="M52" s="39">
        <f t="shared" si="0"/>
        <v>11.089130361718482</v>
      </c>
      <c r="N52" s="2">
        <f t="shared" si="5"/>
        <v>49</v>
      </c>
      <c r="O52" s="50">
        <f t="shared" si="1"/>
        <v>29.442239552428589</v>
      </c>
      <c r="P52" s="50">
        <f t="shared" si="2"/>
        <v>37.717525478276414</v>
      </c>
      <c r="Q52" s="50">
        <f t="shared" si="3"/>
        <v>40.531369914147071</v>
      </c>
    </row>
    <row r="53" spans="1:24" ht="15.75" thickBot="1">
      <c r="B53" s="2" t="str">
        <f t="shared" si="42"/>
        <v>Z</v>
      </c>
      <c r="C53" s="79"/>
      <c r="D53" s="2">
        <f t="shared" ref="D53:F53" si="45">(D44+D47+D50)/3</f>
        <v>-0.56699632420122814</v>
      </c>
      <c r="E53" s="2">
        <f t="shared" si="45"/>
        <v>0.41318203597300945</v>
      </c>
      <c r="F53" s="2">
        <f t="shared" si="45"/>
        <v>1.0555749672544947</v>
      </c>
      <c r="J53" s="100"/>
      <c r="M53" s="39">
        <f t="shared" si="0"/>
        <v>12.961456778336441</v>
      </c>
      <c r="N53" s="2">
        <f t="shared" si="5"/>
        <v>50</v>
      </c>
      <c r="O53" s="50">
        <f t="shared" si="1"/>
        <v>27.265948970077147</v>
      </c>
      <c r="P53" s="50">
        <f t="shared" si="2"/>
        <v>37.631246200607897</v>
      </c>
      <c r="Q53" s="50">
        <f t="shared" si="3"/>
        <v>40.227405748413588</v>
      </c>
    </row>
    <row r="54" spans="1:24">
      <c r="B54" s="79" t="s">
        <v>14</v>
      </c>
      <c r="C54" s="79"/>
      <c r="D54" s="19">
        <f>I54/$H$55</f>
        <v>0.20737571245053002</v>
      </c>
      <c r="E54" s="20">
        <f>H54/$H$55</f>
        <v>1.0100027206721589</v>
      </c>
      <c r="F54" s="21">
        <f>G54/$H$55</f>
        <v>-0.3070605210986378</v>
      </c>
      <c r="G54" s="1">
        <f t="array" ref="G54:I54">LINEST(D$31:D$39,$G$31:$I$39,FALSE)</f>
        <v>-5.8901239278456092</v>
      </c>
      <c r="H54" s="1">
        <v>19.374164972218047</v>
      </c>
      <c r="I54" s="1">
        <v>3.9779410312617887</v>
      </c>
      <c r="J54" s="98">
        <f>H55</f>
        <v>19.182289884649517</v>
      </c>
      <c r="M54" s="39">
        <f t="shared" si="0"/>
        <v>14.833783194954414</v>
      </c>
      <c r="N54" s="2">
        <f t="shared" si="5"/>
        <v>51</v>
      </c>
      <c r="O54" s="50">
        <f t="shared" si="1"/>
        <v>25.089658387725692</v>
      </c>
      <c r="P54" s="50">
        <f t="shared" si="2"/>
        <v>37.544966922939381</v>
      </c>
      <c r="Q54" s="50">
        <f t="shared" si="3"/>
        <v>39.923441582680105</v>
      </c>
    </row>
    <row r="55" spans="1:24" ht="15" customHeight="1">
      <c r="B55" s="79"/>
      <c r="C55" s="79"/>
      <c r="D55" s="22">
        <f>I55/$H$55</f>
        <v>3.1740787466537426E-2</v>
      </c>
      <c r="E55" s="18">
        <f>H55/$H$55</f>
        <v>1</v>
      </c>
      <c r="F55" s="23">
        <f>G55/$H$55</f>
        <v>-1.6103987425907473E-2</v>
      </c>
      <c r="G55" s="1">
        <f t="array" ref="G55:I55">LINEST(E$31:E$39,$G$31:$I$39,FALSE)</f>
        <v>-0.30891135510250795</v>
      </c>
      <c r="H55" s="1">
        <v>19.182289884649517</v>
      </c>
      <c r="I55" s="1">
        <v>0.60886098635017105</v>
      </c>
      <c r="J55" s="98"/>
      <c r="M55" s="39">
        <f t="shared" si="0"/>
        <v>16.706109611572373</v>
      </c>
      <c r="N55" s="2">
        <f t="shared" si="5"/>
        <v>52</v>
      </c>
      <c r="O55" s="50">
        <f t="shared" si="1"/>
        <v>22.91336780537425</v>
      </c>
      <c r="P55" s="50">
        <f t="shared" si="2"/>
        <v>37.458687645270871</v>
      </c>
      <c r="Q55" s="50">
        <f t="shared" si="3"/>
        <v>39.619477416946623</v>
      </c>
    </row>
    <row r="56" spans="1:24" ht="15" customHeight="1" thickBot="1">
      <c r="B56" s="79"/>
      <c r="C56" s="79"/>
      <c r="D56" s="24">
        <f>I56/$H$55</f>
        <v>-0.56261010373452647</v>
      </c>
      <c r="E56" s="25">
        <f>H56/$H$55</f>
        <v>0.42426884197183579</v>
      </c>
      <c r="F56" s="26">
        <f>G56/$H$55</f>
        <v>1.0434142984881578</v>
      </c>
      <c r="G56" s="1">
        <f t="array" ref="G56:I56">LINEST(F$31:F$39,$G$31:$I$39,FALSE)</f>
        <v>20.015075543388061</v>
      </c>
      <c r="H56" s="1">
        <v>8.1384479157283103</v>
      </c>
      <c r="I56" s="1">
        <v>-10.792150101868422</v>
      </c>
      <c r="J56" s="98"/>
      <c r="M56" s="39">
        <f t="shared" si="0"/>
        <v>18.578436028190332</v>
      </c>
      <c r="N56" s="2">
        <f t="shared" si="5"/>
        <v>53</v>
      </c>
      <c r="O56" s="50">
        <f t="shared" si="1"/>
        <v>20.737077223022808</v>
      </c>
      <c r="P56" s="50">
        <f t="shared" si="2"/>
        <v>37.372408367602354</v>
      </c>
      <c r="Q56" s="50">
        <f t="shared" si="3"/>
        <v>39.31551325121314</v>
      </c>
    </row>
    <row r="57" spans="1:24">
      <c r="M57" s="39">
        <f t="shared" si="0"/>
        <v>20.450762444808305</v>
      </c>
      <c r="N57" s="2">
        <f t="shared" si="5"/>
        <v>54</v>
      </c>
      <c r="O57" s="50">
        <f t="shared" si="1"/>
        <v>18.560786640671353</v>
      </c>
      <c r="P57" s="50">
        <f t="shared" si="2"/>
        <v>37.286129089933837</v>
      </c>
      <c r="Q57" s="50">
        <f t="shared" si="3"/>
        <v>39.011549085479658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39">
        <f t="shared" si="0"/>
        <v>22.323088861426271</v>
      </c>
      <c r="N58" s="2">
        <f t="shared" si="5"/>
        <v>55</v>
      </c>
      <c r="O58" s="50">
        <f t="shared" si="1"/>
        <v>16.384496058319911</v>
      </c>
      <c r="P58" s="50">
        <f t="shared" si="2"/>
        <v>37.199849812265327</v>
      </c>
      <c r="Q58" s="50">
        <f t="shared" si="3"/>
        <v>38.707584919746182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17" t="s">
        <v>20</v>
      </c>
      <c r="E59" s="17" t="s">
        <v>21</v>
      </c>
      <c r="F59" s="17" t="str">
        <f>D59</f>
        <v>Lux</v>
      </c>
      <c r="G59" s="17" t="str">
        <f t="shared" ref="G59:I59" si="46">E59</f>
        <v>CCT</v>
      </c>
      <c r="H59" s="17" t="str">
        <f t="shared" si="46"/>
        <v>Lux</v>
      </c>
      <c r="I59" s="30" t="str">
        <f t="shared" si="46"/>
        <v>CCT</v>
      </c>
      <c r="M59" s="39">
        <f t="shared" si="0"/>
        <v>24.195415278044223</v>
      </c>
      <c r="N59" s="2">
        <f t="shared" si="5"/>
        <v>56</v>
      </c>
      <c r="O59" s="50">
        <f t="shared" si="1"/>
        <v>14.20820547596847</v>
      </c>
      <c r="P59" s="50">
        <f t="shared" si="2"/>
        <v>37.113570534596811</v>
      </c>
      <c r="Q59" s="50">
        <f t="shared" si="3"/>
        <v>38.403620754012692</v>
      </c>
      <c r="R59" s="95"/>
      <c r="S59" s="95"/>
      <c r="T59" s="95"/>
      <c r="U59" s="1" t="str">
        <f>B42</f>
        <v>X</v>
      </c>
      <c r="V59" s="1" t="str">
        <f>B43</f>
        <v>Y</v>
      </c>
      <c r="W59" s="1" t="str">
        <f>B44</f>
        <v>Z</v>
      </c>
      <c r="X59" s="28" t="s">
        <v>24</v>
      </c>
    </row>
    <row r="60" spans="1:24">
      <c r="A60" s="87"/>
      <c r="B60" s="17" t="str">
        <f t="shared" ref="B60:B68" si="47">B31</f>
        <v>A</v>
      </c>
      <c r="C60" s="93">
        <f>C42</f>
        <v>0</v>
      </c>
      <c r="D60" s="31">
        <f t="shared" ref="D60:D68" si="48">E22</f>
        <v>500.3</v>
      </c>
      <c r="E60" s="32">
        <f t="shared" ref="E60:E68" si="49">getCCTfromXY(D22/SUM(D22:F22),E22/SUM(D22:F22))</f>
        <v>2778</v>
      </c>
      <c r="F60" s="31">
        <f t="shared" ref="F60:F68" si="50">V60</f>
        <v>514.59147329891243</v>
      </c>
      <c r="G60" s="32">
        <f t="shared" ref="G60:G68" si="51">getCCTfromXY(U60/X60,V60/X60)</f>
        <v>2638</v>
      </c>
      <c r="H60" s="33">
        <f>F60/D60-1</f>
        <v>2.8565807113556607E-2</v>
      </c>
      <c r="I60" s="34">
        <f t="shared" ref="I60:I68" si="52">G60/E60-1</f>
        <v>-5.0395968322534235E-2</v>
      </c>
      <c r="M60" s="39">
        <f t="shared" si="0"/>
        <v>26.067741694662189</v>
      </c>
      <c r="N60" s="2">
        <f t="shared" si="5"/>
        <v>57</v>
      </c>
      <c r="O60" s="50">
        <f t="shared" si="1"/>
        <v>12.031914893617028</v>
      </c>
      <c r="P60" s="50">
        <f t="shared" si="2"/>
        <v>37.027291256928301</v>
      </c>
      <c r="Q60" s="50">
        <f t="shared" si="3"/>
        <v>38.099656588279217</v>
      </c>
      <c r="R60" s="78" t="str">
        <f>A58</f>
        <v>All</v>
      </c>
      <c r="S60" s="1" t="str">
        <f>B60</f>
        <v>A</v>
      </c>
      <c r="T60" s="79">
        <f>C60</f>
        <v>0</v>
      </c>
      <c r="U60" s="3">
        <f>$J$54*$J$31*($D$54*G22+$E$54*H22+$F$54*I22)</f>
        <v>572.20588049465471</v>
      </c>
      <c r="V60" s="3">
        <f>$J$54*$J$31*($D$55*G22+$E$55*H22+$F$55*I22)</f>
        <v>514.59147329891243</v>
      </c>
      <c r="W60" s="3">
        <f>$J$54*$J$31*($D$56*G22+$E$56*H22+$F$56*I22)</f>
        <v>122.05319990901906</v>
      </c>
      <c r="X60" s="29">
        <f>SUM(U60:W60)</f>
        <v>1208.8505537025862</v>
      </c>
    </row>
    <row r="61" spans="1:24">
      <c r="A61" s="87"/>
      <c r="B61" s="17" t="str">
        <f t="shared" si="47"/>
        <v>CWF</v>
      </c>
      <c r="C61" s="93"/>
      <c r="D61" s="31">
        <f t="shared" si="48"/>
        <v>1195.5</v>
      </c>
      <c r="E61" s="32">
        <f t="shared" si="49"/>
        <v>3865</v>
      </c>
      <c r="F61" s="31">
        <f t="shared" si="50"/>
        <v>1175.2229325006599</v>
      </c>
      <c r="G61" s="32">
        <f t="shared" si="51"/>
        <v>3930</v>
      </c>
      <c r="H61" s="33">
        <f t="shared" ref="H61:H68" si="53">F61/D61-1</f>
        <v>-1.6961160601706493E-2</v>
      </c>
      <c r="I61" s="34">
        <f t="shared" si="52"/>
        <v>1.681759379042691E-2</v>
      </c>
      <c r="M61" s="39">
        <f t="shared" si="0"/>
        <v>27.940068111280141</v>
      </c>
      <c r="N61" s="2">
        <f t="shared" si="5"/>
        <v>58</v>
      </c>
      <c r="O61" s="50">
        <f t="shared" si="1"/>
        <v>9.8556243112655864</v>
      </c>
      <c r="P61" s="50">
        <f t="shared" si="2"/>
        <v>36.941011979259784</v>
      </c>
      <c r="Q61" s="50">
        <f t="shared" si="3"/>
        <v>37.795692422545727</v>
      </c>
      <c r="R61" s="78"/>
      <c r="S61" s="2" t="str">
        <f t="shared" ref="S61:S68" si="54">B61</f>
        <v>CWF</v>
      </c>
      <c r="T61" s="79"/>
      <c r="U61" s="3">
        <f>$J$54*$J$31*($D$54*G23+$E$54*H23+$F$54*I23)</f>
        <v>1160.9266277372299</v>
      </c>
      <c r="V61" s="3">
        <f>$J$54*$J$31*($D$55*G23+$E$55*H23+$F$55*I23)</f>
        <v>1175.2229325006599</v>
      </c>
      <c r="W61" s="3">
        <f>$J$54*$J$31*($D$56*G23+$E$56*H23+$F$56*I23)</f>
        <v>649.44240125769136</v>
      </c>
      <c r="X61" s="29">
        <f t="shared" ref="X61:X68" si="55">SUM(U61:W61)</f>
        <v>2985.5919614955815</v>
      </c>
    </row>
    <row r="62" spans="1:24">
      <c r="A62" s="87"/>
      <c r="B62" s="17" t="str">
        <f t="shared" si="47"/>
        <v>D65</v>
      </c>
      <c r="C62" s="93"/>
      <c r="D62" s="31">
        <f t="shared" si="48"/>
        <v>572.34999999999991</v>
      </c>
      <c r="E62" s="32">
        <f t="shared" si="49"/>
        <v>6352</v>
      </c>
      <c r="F62" s="31">
        <f t="shared" si="50"/>
        <v>548.43828815119161</v>
      </c>
      <c r="G62" s="32">
        <f t="shared" si="51"/>
        <v>6237</v>
      </c>
      <c r="H62" s="33">
        <f t="shared" si="53"/>
        <v>-4.177812850320306E-2</v>
      </c>
      <c r="I62" s="34">
        <f t="shared" si="52"/>
        <v>-1.8104534005037753E-2</v>
      </c>
      <c r="M62" s="39">
        <f t="shared" si="0"/>
        <v>29.812394527898107</v>
      </c>
      <c r="N62" s="2">
        <f t="shared" si="5"/>
        <v>59</v>
      </c>
      <c r="O62" s="50">
        <f t="shared" si="1"/>
        <v>7.6793337289141448</v>
      </c>
      <c r="P62" s="50">
        <f t="shared" si="2"/>
        <v>36.854732701591267</v>
      </c>
      <c r="Q62" s="50">
        <f t="shared" si="3"/>
        <v>37.491728256812252</v>
      </c>
      <c r="R62" s="78"/>
      <c r="S62" s="2" t="str">
        <f t="shared" si="54"/>
        <v>D65</v>
      </c>
      <c r="T62" s="79"/>
      <c r="U62" s="3">
        <f>$J$54*$J$31*($D$54*G24+$E$54*H24+$F$54*I24)</f>
        <v>486.78343602703615</v>
      </c>
      <c r="V62" s="3">
        <f>$J$54*$J$31*($D$55*G24+$E$55*H24+$F$55*I24)</f>
        <v>548.43828815119161</v>
      </c>
      <c r="W62" s="3">
        <f>$J$54*$J$31*($D$56*G24+$E$56*H24+$F$56*I24)</f>
        <v>499.27218502172383</v>
      </c>
      <c r="X62" s="29">
        <f t="shared" si="55"/>
        <v>1534.4939091999515</v>
      </c>
    </row>
    <row r="63" spans="1:24">
      <c r="A63" s="87"/>
      <c r="B63" s="17" t="str">
        <f t="shared" si="47"/>
        <v>A</v>
      </c>
      <c r="C63" s="93">
        <f>C45</f>
        <v>1</v>
      </c>
      <c r="D63" s="31">
        <f t="shared" si="48"/>
        <v>500.3</v>
      </c>
      <c r="E63" s="32">
        <f t="shared" si="49"/>
        <v>2778</v>
      </c>
      <c r="F63" s="31">
        <f t="shared" si="50"/>
        <v>506.01876198873549</v>
      </c>
      <c r="G63" s="32">
        <f t="shared" si="51"/>
        <v>2792</v>
      </c>
      <c r="H63" s="33">
        <f t="shared" si="53"/>
        <v>1.1430665578124E-2</v>
      </c>
      <c r="I63" s="34">
        <f t="shared" si="52"/>
        <v>5.0395968322534124E-3</v>
      </c>
      <c r="M63" s="39">
        <f t="shared" si="0"/>
        <v>31.684720944516087</v>
      </c>
      <c r="N63" s="2">
        <f t="shared" si="5"/>
        <v>60</v>
      </c>
      <c r="O63" s="50">
        <f t="shared" si="1"/>
        <v>5.5030431465626748</v>
      </c>
      <c r="P63" s="50">
        <f t="shared" si="2"/>
        <v>36.768453423922757</v>
      </c>
      <c r="Q63" s="50">
        <f t="shared" si="3"/>
        <v>37.187764091078762</v>
      </c>
      <c r="R63" s="78"/>
      <c r="S63" s="2" t="str">
        <f t="shared" si="54"/>
        <v>A</v>
      </c>
      <c r="T63" s="79">
        <f>C63</f>
        <v>1</v>
      </c>
      <c r="U63" s="3">
        <f>$J$54*$J$34*($D$54*G25+$E$54*H25+$F$54*I25)</f>
        <v>553.76745953324985</v>
      </c>
      <c r="V63" s="3">
        <f>$J$54*$J$34*($D$55*G25+$E$55*H25+$F$55*I25)</f>
        <v>506.01876198873549</v>
      </c>
      <c r="W63" s="3">
        <f>$J$54*$J$34*($D$56*G25+$E$56*H25+$F$56*I25)</f>
        <v>149.30467948023005</v>
      </c>
      <c r="X63" s="29">
        <f t="shared" si="55"/>
        <v>1209.0909010022153</v>
      </c>
    </row>
    <row r="64" spans="1:24" ht="15" customHeight="1">
      <c r="A64" s="87"/>
      <c r="B64" s="17" t="str">
        <f t="shared" si="47"/>
        <v>CWF</v>
      </c>
      <c r="C64" s="93"/>
      <c r="D64" s="31">
        <f t="shared" si="48"/>
        <v>1195.5</v>
      </c>
      <c r="E64" s="32">
        <f t="shared" si="49"/>
        <v>3865</v>
      </c>
      <c r="F64" s="31">
        <f t="shared" si="50"/>
        <v>1148.1495961885016</v>
      </c>
      <c r="G64" s="32">
        <f t="shared" si="51"/>
        <v>3945</v>
      </c>
      <c r="H64" s="33">
        <f t="shared" si="53"/>
        <v>-3.9607196831031644E-2</v>
      </c>
      <c r="I64" s="34">
        <f t="shared" si="52"/>
        <v>2.0698576972833171E-2</v>
      </c>
      <c r="M64" s="39">
        <f t="shared" si="0"/>
        <v>33.557047361134053</v>
      </c>
      <c r="N64" s="2">
        <f t="shared" si="5"/>
        <v>61</v>
      </c>
      <c r="O64" s="50">
        <f t="shared" si="1"/>
        <v>3.3267525642112332</v>
      </c>
      <c r="P64" s="50">
        <f t="shared" si="2"/>
        <v>36.682174146254241</v>
      </c>
      <c r="Q64" s="50">
        <f t="shared" si="3"/>
        <v>36.883799925345286</v>
      </c>
      <c r="R64" s="78"/>
      <c r="S64" s="2" t="str">
        <f t="shared" si="54"/>
        <v>CWF</v>
      </c>
      <c r="T64" s="79"/>
      <c r="U64" s="3">
        <f>$J$54*$J$34*($D$54*G26+$E$54*H26+$F$54*I26)</f>
        <v>1133.1507582269494</v>
      </c>
      <c r="V64" s="3">
        <f>$J$54*$J$34*($D$55*G26+$E$55*H26+$F$55*I26)</f>
        <v>1148.1495961885016</v>
      </c>
      <c r="W64" s="3">
        <f>$J$54*$J$34*($D$56*G26+$E$56*H26+$F$56*I26)</f>
        <v>638.26451972824452</v>
      </c>
      <c r="X64" s="29">
        <f t="shared" si="55"/>
        <v>2919.5648741436953</v>
      </c>
    </row>
    <row r="65" spans="1:24">
      <c r="A65" s="87"/>
      <c r="B65" s="17" t="str">
        <f t="shared" si="47"/>
        <v>D65</v>
      </c>
      <c r="C65" s="93"/>
      <c r="D65" s="31">
        <f t="shared" si="48"/>
        <v>572.34999999999991</v>
      </c>
      <c r="E65" s="32">
        <f t="shared" si="49"/>
        <v>6352</v>
      </c>
      <c r="F65" s="31">
        <f t="shared" si="50"/>
        <v>604.14554652291395</v>
      </c>
      <c r="G65" s="32">
        <f t="shared" si="51"/>
        <v>6244</v>
      </c>
      <c r="H65" s="33">
        <f t="shared" si="53"/>
        <v>5.5552627802767596E-2</v>
      </c>
      <c r="I65" s="34">
        <f t="shared" si="52"/>
        <v>-1.700251889168769E-2</v>
      </c>
      <c r="M65" s="39">
        <f t="shared" si="0"/>
        <v>35.445432886725932</v>
      </c>
      <c r="N65" s="2">
        <f t="shared" si="5"/>
        <v>62</v>
      </c>
      <c r="O65" s="50">
        <f t="shared" si="1"/>
        <v>1.1504619818597916</v>
      </c>
      <c r="P65" s="50">
        <f t="shared" si="2"/>
        <v>36.595894868585724</v>
      </c>
      <c r="Q65" s="50">
        <f t="shared" si="3"/>
        <v>36.579835759611797</v>
      </c>
      <c r="R65" s="78"/>
      <c r="S65" s="2" t="str">
        <f t="shared" si="54"/>
        <v>D65</v>
      </c>
      <c r="T65" s="79"/>
      <c r="U65" s="3">
        <f>$J$54*$J$34*($D$54*G27+$E$54*H27+$F$54*I27)</f>
        <v>536.15631858672498</v>
      </c>
      <c r="V65" s="3">
        <f>$J$54*$J$34*($D$55*G27+$E$55*H27+$F$55*I27)</f>
        <v>604.14554652291395</v>
      </c>
      <c r="W65" s="3">
        <f>$J$54*$J$34*($D$56*G27+$E$56*H27+$F$56*I27)</f>
        <v>550.59724365618331</v>
      </c>
      <c r="X65" s="29">
        <f t="shared" si="55"/>
        <v>1690.8991087658223</v>
      </c>
    </row>
    <row r="66" spans="1:24">
      <c r="A66" s="87"/>
      <c r="B66" s="17" t="str">
        <f t="shared" si="47"/>
        <v>A</v>
      </c>
      <c r="C66" s="93">
        <f>C48</f>
        <v>2</v>
      </c>
      <c r="D66" s="31">
        <f t="shared" si="48"/>
        <v>500.3</v>
      </c>
      <c r="E66" s="32">
        <f t="shared" si="49"/>
        <v>2778</v>
      </c>
      <c r="F66" s="31">
        <f t="shared" si="50"/>
        <v>481.49444166265107</v>
      </c>
      <c r="G66" s="32">
        <f t="shared" si="51"/>
        <v>2937</v>
      </c>
      <c r="H66" s="33">
        <f t="shared" si="53"/>
        <v>-3.7588563536575914E-2</v>
      </c>
      <c r="I66" s="34">
        <f t="shared" si="52"/>
        <v>5.7235421166306644E-2</v>
      </c>
      <c r="M66" s="39">
        <f t="shared" si="0"/>
        <v>37.535444191408864</v>
      </c>
      <c r="N66" s="2">
        <f t="shared" si="5"/>
        <v>63</v>
      </c>
      <c r="O66" s="50">
        <f t="shared" si="1"/>
        <v>-1.0258286004916499</v>
      </c>
      <c r="P66" s="50">
        <f t="shared" si="2"/>
        <v>36.509615590917214</v>
      </c>
      <c r="Q66" s="50">
        <f t="shared" si="3"/>
        <v>36.275871593878321</v>
      </c>
      <c r="R66" s="78"/>
      <c r="S66" s="2" t="str">
        <f t="shared" si="54"/>
        <v>A</v>
      </c>
      <c r="T66" s="79">
        <f>C66</f>
        <v>2</v>
      </c>
      <c r="U66" s="3">
        <f>$J$54*$J$37*($D$54*G28+$E$54*H28+$F$54*I28)</f>
        <v>520.37917042187019</v>
      </c>
      <c r="V66" s="3">
        <f>$J$54*$J$37*($D$55*G28+$E$55*H28+$F$55*I28)</f>
        <v>481.49444166265107</v>
      </c>
      <c r="W66" s="3">
        <f>$J$54*$J$37*($D$56*G28+$E$56*H28+$F$56*I28)</f>
        <v>167.65559148534291</v>
      </c>
      <c r="X66" s="29">
        <f t="shared" si="55"/>
        <v>1169.5292035698642</v>
      </c>
    </row>
    <row r="67" spans="1:24">
      <c r="A67" s="87"/>
      <c r="B67" s="17" t="str">
        <f t="shared" si="47"/>
        <v>CWF</v>
      </c>
      <c r="C67" s="93"/>
      <c r="D67" s="31">
        <f t="shared" si="48"/>
        <v>1195.5</v>
      </c>
      <c r="E67" s="32">
        <f t="shared" si="49"/>
        <v>3865</v>
      </c>
      <c r="F67" s="31">
        <f t="shared" si="50"/>
        <v>1248.7468145461226</v>
      </c>
      <c r="G67" s="32">
        <f t="shared" si="51"/>
        <v>3771</v>
      </c>
      <c r="H67" s="33">
        <f t="shared" si="53"/>
        <v>4.4539368085422471E-2</v>
      </c>
      <c r="I67" s="34">
        <f t="shared" si="52"/>
        <v>-2.4320827943078882E-2</v>
      </c>
      <c r="N67" s="2"/>
      <c r="R67" s="78"/>
      <c r="S67" s="2" t="str">
        <f t="shared" si="54"/>
        <v>CWF</v>
      </c>
      <c r="T67" s="79"/>
      <c r="U67" s="3">
        <f>$J$54*$J$37*($D$54*G29+$E$54*H29+$F$54*I29)</f>
        <v>1245.3390391575381</v>
      </c>
      <c r="V67" s="3">
        <f>$J$54*$J$37*($D$55*G29+$E$55*H29+$F$55*I29)</f>
        <v>1248.7468145461226</v>
      </c>
      <c r="W67" s="3">
        <f>$J$54*$J$37*($D$56*G29+$E$56*H29+$F$56*I29)</f>
        <v>645.25941723030678</v>
      </c>
      <c r="X67" s="29">
        <f t="shared" si="55"/>
        <v>3139.3452709339672</v>
      </c>
    </row>
    <row r="68" spans="1:24">
      <c r="A68" s="87"/>
      <c r="B68" s="17" t="str">
        <f t="shared" si="47"/>
        <v>D65</v>
      </c>
      <c r="C68" s="93"/>
      <c r="D68" s="31">
        <f t="shared" si="48"/>
        <v>572.34999999999991</v>
      </c>
      <c r="E68" s="32">
        <f t="shared" si="49"/>
        <v>6352</v>
      </c>
      <c r="F68" s="31">
        <f t="shared" si="50"/>
        <v>579.96305872962012</v>
      </c>
      <c r="G68" s="32">
        <f t="shared" si="51"/>
        <v>6237</v>
      </c>
      <c r="H68" s="33">
        <f t="shared" si="53"/>
        <v>1.330140426246218E-2</v>
      </c>
      <c r="I68" s="34">
        <f t="shared" si="52"/>
        <v>-1.8104534005037753E-2</v>
      </c>
      <c r="N68" s="2"/>
      <c r="R68" s="78"/>
      <c r="S68" s="2" t="str">
        <f t="shared" si="54"/>
        <v>D65</v>
      </c>
      <c r="T68" s="79"/>
      <c r="U68" s="3">
        <f>$J$54*$J$37*($D$54*G30+$E$54*H30+$F$54*I30)</f>
        <v>514.76422524921566</v>
      </c>
      <c r="V68" s="3">
        <f>$J$54*$J$37*($D$55*G30+$E$55*H30+$F$55*I30)</f>
        <v>579.96305872962012</v>
      </c>
      <c r="W68" s="3">
        <f>$J$54*$J$37*($D$56*G30+$E$56*H30+$F$56*I30)</f>
        <v>527.97083978205956</v>
      </c>
      <c r="X68" s="29">
        <f t="shared" si="55"/>
        <v>1622.6981237608952</v>
      </c>
    </row>
    <row r="69" spans="1:24">
      <c r="A69" s="88"/>
      <c r="B69" s="94" t="s">
        <v>29</v>
      </c>
      <c r="C69" s="94"/>
      <c r="D69" s="35"/>
      <c r="E69" s="36" t="str">
        <f>H59</f>
        <v>Lux</v>
      </c>
      <c r="F69" s="37">
        <f>MAX(MAX(H60:H68,-MIN(H60:H68)))</f>
        <v>5.5552627802767596E-2</v>
      </c>
      <c r="G69" s="35"/>
      <c r="H69" s="36" t="str">
        <f>I59</f>
        <v>CCT</v>
      </c>
      <c r="I69" s="38">
        <f>MAX(MAX(I60:I68,-MIN(I60:I68)))</f>
        <v>5.7235421166306644E-2</v>
      </c>
      <c r="N69" s="2"/>
      <c r="R69" s="4"/>
      <c r="S69" s="2"/>
      <c r="T69" s="12"/>
      <c r="U69" s="3"/>
      <c r="V69" s="3"/>
      <c r="W69" s="3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N70" s="2"/>
      <c r="R70" s="95" t="s">
        <v>25</v>
      </c>
      <c r="S70" s="95"/>
      <c r="T70" s="95"/>
      <c r="U70" s="79" t="str">
        <f>U58</f>
        <v>Device</v>
      </c>
      <c r="V70" s="79"/>
      <c r="W70" s="79"/>
      <c r="X70" s="2"/>
    </row>
    <row r="71" spans="1:24">
      <c r="A71" s="87"/>
      <c r="B71" s="90"/>
      <c r="C71" s="90"/>
      <c r="D71" s="17" t="s">
        <v>20</v>
      </c>
      <c r="E71" s="17" t="s">
        <v>21</v>
      </c>
      <c r="F71" s="17" t="str">
        <f>D71</f>
        <v>Lux</v>
      </c>
      <c r="G71" s="17" t="str">
        <f t="shared" ref="G71" si="56">E71</f>
        <v>CCT</v>
      </c>
      <c r="H71" s="17" t="str">
        <f t="shared" ref="H71" si="57">F71</f>
        <v>Lux</v>
      </c>
      <c r="I71" s="30" t="str">
        <f t="shared" ref="I71" si="58">G71</f>
        <v>CCT</v>
      </c>
      <c r="N71" s="2"/>
      <c r="R71" s="95"/>
      <c r="S71" s="95"/>
      <c r="T71" s="95"/>
      <c r="U71" s="2" t="str">
        <f>U59</f>
        <v>X</v>
      </c>
      <c r="V71" s="2" t="str">
        <f t="shared" ref="V71:W71" si="59">V59</f>
        <v>Y</v>
      </c>
      <c r="W71" s="2" t="str">
        <f t="shared" si="59"/>
        <v>Z</v>
      </c>
      <c r="X71" s="28" t="s">
        <v>24</v>
      </c>
    </row>
    <row r="72" spans="1:24">
      <c r="A72" s="87"/>
      <c r="B72" s="17" t="str">
        <f>B60</f>
        <v>A</v>
      </c>
      <c r="C72" s="93">
        <f>C60</f>
        <v>0</v>
      </c>
      <c r="D72" s="31">
        <f>D60</f>
        <v>500.3</v>
      </c>
      <c r="E72" s="31">
        <f t="shared" ref="E72:E80" si="60">E60</f>
        <v>2778</v>
      </c>
      <c r="F72" s="31">
        <f t="shared" ref="F72:F80" si="61">V72</f>
        <v>519.24457231170754</v>
      </c>
      <c r="G72" s="32">
        <f t="shared" ref="G72:G80" si="62">getCCTfromXY(U72/X72,V72/X72)</f>
        <v>2630</v>
      </c>
      <c r="H72" s="33">
        <f>F72/D72-1</f>
        <v>3.7866424768553841E-2</v>
      </c>
      <c r="I72" s="34">
        <f t="shared" ref="I72:I80" si="63">G72/E72-1</f>
        <v>-5.327573794096474E-2</v>
      </c>
      <c r="N72" s="2"/>
      <c r="R72" s="78" t="str">
        <f>A70</f>
        <v>Average</v>
      </c>
      <c r="S72" s="2" t="str">
        <f>S60</f>
        <v>A</v>
      </c>
      <c r="T72" s="79">
        <f>C72</f>
        <v>0</v>
      </c>
      <c r="U72" s="3">
        <f>$J$51*$J$31*($D$51*G22+$E$51*H22+$F$51*I22)</f>
        <v>577.82519836497374</v>
      </c>
      <c r="V72" s="3">
        <f>$J$51*$J$31*($D$52*G22+$E$52*H22+$F$52*I22)</f>
        <v>519.24457231170754</v>
      </c>
      <c r="W72" s="3">
        <f>$J$51*$J$31*($D$53*G22+$E$53*H22+$F$53*I22)</f>
        <v>121.68396556853612</v>
      </c>
      <c r="X72" s="29">
        <f>SUM(U72:W72)</f>
        <v>1218.7537362452176</v>
      </c>
    </row>
    <row r="73" spans="1:24">
      <c r="A73" s="87"/>
      <c r="B73" s="57" t="str">
        <f t="shared" ref="B73:B80" si="64">B61</f>
        <v>CWF</v>
      </c>
      <c r="C73" s="93"/>
      <c r="D73" s="31">
        <f t="shared" ref="D73" si="65">D61</f>
        <v>1195.5</v>
      </c>
      <c r="E73" s="31">
        <f t="shared" si="60"/>
        <v>3865</v>
      </c>
      <c r="F73" s="31">
        <f t="shared" si="61"/>
        <v>1188.4160024273863</v>
      </c>
      <c r="G73" s="32">
        <f t="shared" si="62"/>
        <v>3915</v>
      </c>
      <c r="H73" s="33">
        <f t="shared" ref="H73:H80" si="66">F73/D73-1</f>
        <v>-5.9255521310026538E-3</v>
      </c>
      <c r="I73" s="34">
        <f t="shared" si="63"/>
        <v>1.2936610608020649E-2</v>
      </c>
      <c r="N73" s="2">
        <f>1/(1/28+1/65)</f>
        <v>19.56989247311828</v>
      </c>
      <c r="R73" s="78"/>
      <c r="S73" s="2" t="str">
        <f t="shared" ref="S73:S80" si="67">S61</f>
        <v>CWF</v>
      </c>
      <c r="T73" s="79"/>
      <c r="U73" s="3">
        <f t="shared" ref="U73:U74" si="68">$J$51*$J$31*($D$51*G23+$E$51*H23+$F$51*I23)</f>
        <v>1175.0087150907887</v>
      </c>
      <c r="V73" s="3">
        <f t="shared" ref="V73:V74" si="69">$J$51*$J$31*($D$52*G23+$E$52*H23+$F$52*I23)</f>
        <v>1188.4160024273863</v>
      </c>
      <c r="W73" s="3">
        <f t="shared" ref="W73:W74" si="70">$J$51*$J$31*($D$53*G23+$E$53*H23+$F$53*I23)</f>
        <v>652.94972321113437</v>
      </c>
      <c r="X73" s="29">
        <f t="shared" ref="X73:X80" si="71">SUM(U73:W73)</f>
        <v>3016.3744407293093</v>
      </c>
    </row>
    <row r="74" spans="1:24">
      <c r="A74" s="87"/>
      <c r="B74" s="57" t="str">
        <f t="shared" si="64"/>
        <v>D65</v>
      </c>
      <c r="C74" s="93"/>
      <c r="D74" s="31">
        <f t="shared" ref="D74" si="72">D62</f>
        <v>572.34999999999991</v>
      </c>
      <c r="E74" s="31">
        <f t="shared" si="60"/>
        <v>6352</v>
      </c>
      <c r="F74" s="31">
        <f t="shared" si="61"/>
        <v>549.0108255736335</v>
      </c>
      <c r="G74" s="32">
        <f t="shared" si="62"/>
        <v>6348</v>
      </c>
      <c r="H74" s="33">
        <f t="shared" si="66"/>
        <v>-4.0777801041961048E-2</v>
      </c>
      <c r="I74" s="34">
        <f t="shared" si="63"/>
        <v>-6.2972292191432189E-4</v>
      </c>
      <c r="N74" s="2"/>
      <c r="R74" s="78"/>
      <c r="S74" s="2" t="str">
        <f t="shared" si="67"/>
        <v>D65</v>
      </c>
      <c r="T74" s="79"/>
      <c r="U74" s="3">
        <f t="shared" si="68"/>
        <v>485.31115622375108</v>
      </c>
      <c r="V74" s="3">
        <f t="shared" si="69"/>
        <v>549.0108255736335</v>
      </c>
      <c r="W74" s="3">
        <f t="shared" si="70"/>
        <v>506.84745849668678</v>
      </c>
      <c r="X74" s="29">
        <f t="shared" si="71"/>
        <v>1541.1694402940714</v>
      </c>
    </row>
    <row r="75" spans="1:24">
      <c r="A75" s="87"/>
      <c r="B75" s="57" t="str">
        <f t="shared" si="64"/>
        <v>A</v>
      </c>
      <c r="C75" s="93">
        <f>C63</f>
        <v>1</v>
      </c>
      <c r="D75" s="31">
        <f t="shared" ref="D75" si="73">D63</f>
        <v>500.3</v>
      </c>
      <c r="E75" s="31">
        <f t="shared" si="60"/>
        <v>2778</v>
      </c>
      <c r="F75" s="31">
        <f t="shared" si="61"/>
        <v>509.97920449843429</v>
      </c>
      <c r="G75" s="32">
        <f t="shared" si="62"/>
        <v>2788</v>
      </c>
      <c r="H75" s="33">
        <f t="shared" si="66"/>
        <v>1.9346800916318685E-2</v>
      </c>
      <c r="I75" s="34">
        <f t="shared" si="63"/>
        <v>3.5997120230382151E-3</v>
      </c>
      <c r="N75" s="2"/>
      <c r="R75" s="78"/>
      <c r="S75" s="2" t="str">
        <f t="shared" si="67"/>
        <v>A</v>
      </c>
      <c r="T75" s="79">
        <f>C75</f>
        <v>1</v>
      </c>
      <c r="U75" s="3">
        <f>$J$51*$J$34*($D$51*G25+$E$51*H25+$F$51*I25)</f>
        <v>558.36631991298214</v>
      </c>
      <c r="V75" s="3">
        <f>$J$51*$J$34*($D$52*G25+$E$52*H25+$F$52*I25)</f>
        <v>509.97920449843429</v>
      </c>
      <c r="W75" s="3">
        <f>$J$51*$J$34*($D$53*G25+$E$53*H25+$F$53*I25)</f>
        <v>149.713622485716</v>
      </c>
      <c r="X75" s="29">
        <f t="shared" si="71"/>
        <v>1218.0591468971325</v>
      </c>
    </row>
    <row r="76" spans="1:24">
      <c r="A76" s="87"/>
      <c r="B76" s="57" t="str">
        <f t="shared" si="64"/>
        <v>CWF</v>
      </c>
      <c r="C76" s="93"/>
      <c r="D76" s="31">
        <f t="shared" ref="D76" si="74">D64</f>
        <v>1195.5</v>
      </c>
      <c r="E76" s="31">
        <f t="shared" si="60"/>
        <v>3865</v>
      </c>
      <c r="F76" s="31">
        <f t="shared" si="61"/>
        <v>1160.9222124557587</v>
      </c>
      <c r="G76" s="32">
        <f t="shared" si="62"/>
        <v>3931</v>
      </c>
      <c r="H76" s="33">
        <f t="shared" si="66"/>
        <v>-2.892328527330934E-2</v>
      </c>
      <c r="I76" s="34">
        <f t="shared" si="63"/>
        <v>1.7076326002587239E-2</v>
      </c>
      <c r="N76" s="2"/>
      <c r="R76" s="78"/>
      <c r="S76" s="2" t="str">
        <f t="shared" si="67"/>
        <v>CWF</v>
      </c>
      <c r="T76" s="79"/>
      <c r="U76" s="3">
        <f t="shared" ref="U76:U77" si="75">$J$51*$J$34*($D$51*G26+$E$51*H26+$F$51*I26)</f>
        <v>1146.7422364650745</v>
      </c>
      <c r="V76" s="3">
        <f t="shared" ref="V76:V77" si="76">$J$51*$J$34*($D$52*G26+$E$52*H26+$F$52*I26)</f>
        <v>1160.9222124557587</v>
      </c>
      <c r="W76" s="3">
        <f t="shared" ref="W76:W77" si="77">$J$51*$J$34*($D$53*G26+$E$53*H26+$F$53*I26)</f>
        <v>641.81018824835405</v>
      </c>
      <c r="X76" s="29">
        <f t="shared" si="71"/>
        <v>2949.4746371691872</v>
      </c>
    </row>
    <row r="77" spans="1:24">
      <c r="A77" s="87"/>
      <c r="B77" s="57" t="str">
        <f t="shared" si="64"/>
        <v>D65</v>
      </c>
      <c r="C77" s="93"/>
      <c r="D77" s="31">
        <f t="shared" ref="D77" si="78">D65</f>
        <v>572.34999999999991</v>
      </c>
      <c r="E77" s="31">
        <f t="shared" si="60"/>
        <v>6352</v>
      </c>
      <c r="F77" s="31">
        <f t="shared" si="61"/>
        <v>604.72770207918984</v>
      </c>
      <c r="G77" s="32">
        <f t="shared" si="62"/>
        <v>6356</v>
      </c>
      <c r="H77" s="33">
        <f t="shared" si="66"/>
        <v>5.6569759900742422E-2</v>
      </c>
      <c r="I77" s="34">
        <f t="shared" si="63"/>
        <v>6.2972292191432189E-4</v>
      </c>
      <c r="N77" s="2"/>
      <c r="R77" s="78"/>
      <c r="S77" s="2" t="str">
        <f t="shared" si="67"/>
        <v>D65</v>
      </c>
      <c r="T77" s="79"/>
      <c r="U77" s="3">
        <f t="shared" si="75"/>
        <v>534.47038531481974</v>
      </c>
      <c r="V77" s="3">
        <f t="shared" si="76"/>
        <v>604.72770207918984</v>
      </c>
      <c r="W77" s="3">
        <f t="shared" si="77"/>
        <v>558.9767886764738</v>
      </c>
      <c r="X77" s="29">
        <f t="shared" si="71"/>
        <v>1698.1748760704836</v>
      </c>
    </row>
    <row r="78" spans="1:24">
      <c r="A78" s="87"/>
      <c r="B78" s="57" t="str">
        <f t="shared" si="64"/>
        <v>A</v>
      </c>
      <c r="C78" s="93">
        <f>C66</f>
        <v>2</v>
      </c>
      <c r="D78" s="31">
        <f t="shared" ref="D78" si="79">D66</f>
        <v>500.3</v>
      </c>
      <c r="E78" s="31">
        <f t="shared" si="60"/>
        <v>2778</v>
      </c>
      <c r="F78" s="31">
        <f t="shared" si="61"/>
        <v>484.3407647110954</v>
      </c>
      <c r="G78" s="32">
        <f t="shared" si="62"/>
        <v>2938</v>
      </c>
      <c r="H78" s="33">
        <f t="shared" si="66"/>
        <v>-3.1899330979221707E-2</v>
      </c>
      <c r="I78" s="34">
        <f t="shared" si="63"/>
        <v>5.7595392368610554E-2</v>
      </c>
      <c r="N78" s="2"/>
      <c r="R78" s="78"/>
      <c r="S78" s="2" t="str">
        <f t="shared" si="67"/>
        <v>A</v>
      </c>
      <c r="T78" s="79">
        <f>C78</f>
        <v>2</v>
      </c>
      <c r="U78" s="3">
        <f>$J$51*$J$37*($D$51*G28+$E$51*H28+$F$51*I28)</f>
        <v>523.46296864861142</v>
      </c>
      <c r="V78" s="3">
        <f>$J$51*$J$37*($D$52*G28+$E$52*H28+$F$52*I28)</f>
        <v>484.3407647110954</v>
      </c>
      <c r="W78" s="3">
        <f>$J$51*$J$37*($D$53*G28+$E$53*H28+$F$53*I28)</f>
        <v>168.92073545722607</v>
      </c>
      <c r="X78" s="29">
        <f t="shared" si="71"/>
        <v>1176.7244688169328</v>
      </c>
    </row>
    <row r="79" spans="1:24">
      <c r="A79" s="87"/>
      <c r="B79" s="57" t="str">
        <f t="shared" si="64"/>
        <v>CWF</v>
      </c>
      <c r="C79" s="93"/>
      <c r="D79" s="31">
        <f t="shared" ref="D79" si="80">D67</f>
        <v>1195.5</v>
      </c>
      <c r="E79" s="31">
        <f t="shared" si="60"/>
        <v>3865</v>
      </c>
      <c r="F79" s="31">
        <f t="shared" si="61"/>
        <v>1264.283042001822</v>
      </c>
      <c r="G79" s="32">
        <f t="shared" si="62"/>
        <v>3750</v>
      </c>
      <c r="H79" s="33">
        <f t="shared" si="66"/>
        <v>5.7534957759784122E-2</v>
      </c>
      <c r="I79" s="34">
        <f t="shared" si="63"/>
        <v>-2.9754204398447559E-2</v>
      </c>
      <c r="N79" s="2"/>
      <c r="R79" s="78"/>
      <c r="S79" s="2" t="str">
        <f t="shared" si="67"/>
        <v>CWF</v>
      </c>
      <c r="T79" s="79"/>
      <c r="U79" s="3">
        <f t="shared" ref="U79:U80" si="81">$J$51*$J$37*($D$51*G29+$E$51*H29+$F$51*I29)</f>
        <v>1262.4432194793455</v>
      </c>
      <c r="V79" s="3">
        <f t="shared" ref="V79:V80" si="82">$J$51*$J$37*($D$52*G29+$E$52*H29+$F$52*I29)</f>
        <v>1264.283042001822</v>
      </c>
      <c r="W79" s="3">
        <f t="shared" ref="W79:W80" si="83">$J$51*$J$37*($D$53*G29+$E$53*H29+$F$53*I29)</f>
        <v>647.50286766713589</v>
      </c>
      <c r="X79" s="29">
        <f t="shared" si="71"/>
        <v>3174.2291291483034</v>
      </c>
    </row>
    <row r="80" spans="1:24">
      <c r="A80" s="87"/>
      <c r="B80" s="57" t="str">
        <f t="shared" si="64"/>
        <v>D65</v>
      </c>
      <c r="C80" s="93"/>
      <c r="D80" s="31">
        <f t="shared" ref="D80" si="84">D68</f>
        <v>572.34999999999991</v>
      </c>
      <c r="E80" s="31">
        <f t="shared" si="60"/>
        <v>6352</v>
      </c>
      <c r="F80" s="31">
        <f t="shared" si="61"/>
        <v>580.56850616451004</v>
      </c>
      <c r="G80" s="32">
        <f t="shared" si="62"/>
        <v>6348</v>
      </c>
      <c r="H80" s="33">
        <f t="shared" si="66"/>
        <v>1.4359231527055316E-2</v>
      </c>
      <c r="I80" s="34">
        <f t="shared" si="63"/>
        <v>-6.2972292191432189E-4</v>
      </c>
      <c r="N80" s="2"/>
      <c r="R80" s="78"/>
      <c r="S80" s="2" t="str">
        <f t="shared" si="67"/>
        <v>D65</v>
      </c>
      <c r="T80" s="79"/>
      <c r="U80" s="3">
        <f t="shared" si="81"/>
        <v>513.20731735918218</v>
      </c>
      <c r="V80" s="3">
        <f t="shared" si="82"/>
        <v>580.56850616451004</v>
      </c>
      <c r="W80" s="3">
        <f t="shared" si="83"/>
        <v>535.98154740435768</v>
      </c>
      <c r="X80" s="29">
        <f t="shared" si="71"/>
        <v>1629.75737092805</v>
      </c>
    </row>
    <row r="81" spans="1:24">
      <c r="A81" s="88"/>
      <c r="B81" s="94" t="s">
        <v>29</v>
      </c>
      <c r="C81" s="94"/>
      <c r="D81" s="35"/>
      <c r="E81" s="36" t="str">
        <f>H71</f>
        <v>Lux</v>
      </c>
      <c r="F81" s="37">
        <f>MAX(MAX(H72:H80,-MIN(H72:H80)))</f>
        <v>5.7534957759784122E-2</v>
      </c>
      <c r="G81" s="35"/>
      <c r="H81" s="36" t="str">
        <f>I71</f>
        <v>CCT</v>
      </c>
      <c r="I81" s="38">
        <f>MAX(MAX(I72:I80,-MIN(I72:I80)))</f>
        <v>5.7595392368610554E-2</v>
      </c>
      <c r="N81" s="2"/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N82" s="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3" t="s">
        <v>20</v>
      </c>
      <c r="E83" s="43" t="s">
        <v>21</v>
      </c>
      <c r="F83" s="43" t="str">
        <f>D83</f>
        <v>Lux</v>
      </c>
      <c r="G83" s="43" t="str">
        <f t="shared" ref="G83" si="85">E83</f>
        <v>CCT</v>
      </c>
      <c r="H83" s="43" t="str">
        <f t="shared" ref="H83" si="86">F83</f>
        <v>Lux</v>
      </c>
      <c r="I83" s="30" t="str">
        <f t="shared" ref="I83" si="87">G83</f>
        <v>CCT</v>
      </c>
      <c r="N83" s="2"/>
      <c r="R83" s="95"/>
      <c r="S83" s="95"/>
      <c r="T83" s="95"/>
      <c r="U83" s="42" t="str">
        <f>U71</f>
        <v>X</v>
      </c>
      <c r="V83" s="42" t="str">
        <f t="shared" ref="V83:W83" si="88">V71</f>
        <v>Y</v>
      </c>
      <c r="W83" s="42" t="str">
        <f t="shared" si="88"/>
        <v>Z</v>
      </c>
      <c r="X83" s="28" t="s">
        <v>24</v>
      </c>
    </row>
    <row r="84" spans="1:24">
      <c r="A84" s="87"/>
      <c r="B84" s="43" t="str">
        <f>B72</f>
        <v>A</v>
      </c>
      <c r="C84" s="93">
        <f>C72</f>
        <v>0</v>
      </c>
      <c r="D84" s="31">
        <f>D72</f>
        <v>500.3</v>
      </c>
      <c r="E84" s="31">
        <f t="shared" ref="E84:E92" si="89">E72</f>
        <v>2778</v>
      </c>
      <c r="F84" s="31">
        <f t="shared" ref="F84:F92" si="90">V84</f>
        <v>500.29999999999984</v>
      </c>
      <c r="G84" s="32">
        <f t="shared" ref="G84:G92" si="91">getCCTfromXY(U84/X84,V84/X84)</f>
        <v>2778</v>
      </c>
      <c r="H84" s="33">
        <f>F84/D84-1</f>
        <v>0</v>
      </c>
      <c r="I84" s="34">
        <f t="shared" ref="I84:I92" si="92">G84/E84-1</f>
        <v>0</v>
      </c>
      <c r="N84" s="2"/>
      <c r="R84" s="78" t="str">
        <f>A82</f>
        <v>Per Range</v>
      </c>
      <c r="S84" s="42" t="str">
        <f>S72</f>
        <v>A</v>
      </c>
      <c r="T84" s="79">
        <f>T72</f>
        <v>0</v>
      </c>
      <c r="U84" s="44">
        <f>$J$42*$J$31*($D$42*G22+$E$42*H22+$F$42*I22)</f>
        <v>548.49999999999966</v>
      </c>
      <c r="V84" s="44">
        <f>$J$42*$J$31*($D$43*G22+$E$43*H22+$F$43*I22)</f>
        <v>500.29999999999984</v>
      </c>
      <c r="W84" s="44">
        <f>$J$42*$J$31*($D$44*G22+$E$44*H22+$F$44*I22)</f>
        <v>145.79999999999987</v>
      </c>
      <c r="X84" s="29">
        <f>SUM(U84:W84)</f>
        <v>1194.5999999999995</v>
      </c>
    </row>
    <row r="85" spans="1:24">
      <c r="A85" s="87"/>
      <c r="B85" s="57" t="str">
        <f t="shared" ref="B85:B92" si="93">B73</f>
        <v>CWF</v>
      </c>
      <c r="C85" s="93"/>
      <c r="D85" s="31">
        <f t="shared" ref="D85:D92" si="94">D73</f>
        <v>1195.5</v>
      </c>
      <c r="E85" s="31">
        <f t="shared" si="89"/>
        <v>3865</v>
      </c>
      <c r="F85" s="31">
        <f t="shared" si="90"/>
        <v>1195.4999999999998</v>
      </c>
      <c r="G85" s="32">
        <f t="shared" si="91"/>
        <v>3865</v>
      </c>
      <c r="H85" s="33">
        <f t="shared" ref="H85:H92" si="95">F85/D85-1</f>
        <v>0</v>
      </c>
      <c r="I85" s="34">
        <f t="shared" si="92"/>
        <v>0</v>
      </c>
      <c r="N85" s="2"/>
      <c r="R85" s="78"/>
      <c r="S85" s="42" t="str">
        <f t="shared" ref="S85:S92" si="96">S73</f>
        <v>CWF</v>
      </c>
      <c r="T85" s="79"/>
      <c r="U85" s="44">
        <f t="shared" ref="U85:U86" si="97">$J$42*$J$31*($D$42*G23+$E$42*H23+$F$42*I23)</f>
        <v>1185.5</v>
      </c>
      <c r="V85" s="44">
        <f t="shared" ref="V85:V86" si="98">$J$42*$J$31*($D$43*G23+$E$43*H23+$F$43*I23)</f>
        <v>1195.4999999999998</v>
      </c>
      <c r="W85" s="44">
        <f t="shared" ref="W85:W86" si="99">$J$42*$J$31*($D$44*G23+$E$44*H23+$F$44*I23)</f>
        <v>643.5</v>
      </c>
      <c r="X85" s="29">
        <f t="shared" ref="X85:X92" si="100">SUM(U85:W85)</f>
        <v>3024.5</v>
      </c>
    </row>
    <row r="86" spans="1:24">
      <c r="A86" s="87"/>
      <c r="B86" s="57" t="str">
        <f t="shared" si="93"/>
        <v>D65</v>
      </c>
      <c r="C86" s="93"/>
      <c r="D86" s="31">
        <f t="shared" si="94"/>
        <v>572.34999999999991</v>
      </c>
      <c r="E86" s="31">
        <f t="shared" si="89"/>
        <v>6352</v>
      </c>
      <c r="F86" s="31">
        <f t="shared" si="90"/>
        <v>572.35</v>
      </c>
      <c r="G86" s="32">
        <f t="shared" si="91"/>
        <v>6352</v>
      </c>
      <c r="H86" s="33">
        <f t="shared" si="95"/>
        <v>0</v>
      </c>
      <c r="I86" s="34">
        <f t="shared" si="92"/>
        <v>0</v>
      </c>
      <c r="N86" s="2"/>
      <c r="R86" s="78"/>
      <c r="S86" s="42" t="str">
        <f t="shared" si="96"/>
        <v>D65</v>
      </c>
      <c r="T86" s="79"/>
      <c r="U86" s="44">
        <f t="shared" si="97"/>
        <v>505.89999999999992</v>
      </c>
      <c r="V86" s="44">
        <f t="shared" si="98"/>
        <v>572.35</v>
      </c>
      <c r="W86" s="44">
        <f t="shared" si="99"/>
        <v>528.65</v>
      </c>
      <c r="X86" s="29">
        <f t="shared" si="100"/>
        <v>1606.9</v>
      </c>
    </row>
    <row r="87" spans="1:24">
      <c r="A87" s="87"/>
      <c r="B87" s="57" t="str">
        <f t="shared" si="93"/>
        <v>A</v>
      </c>
      <c r="C87" s="93">
        <f>C75</f>
        <v>1</v>
      </c>
      <c r="D87" s="31">
        <f t="shared" si="94"/>
        <v>500.3</v>
      </c>
      <c r="E87" s="31">
        <f t="shared" si="89"/>
        <v>2778</v>
      </c>
      <c r="F87" s="31">
        <f t="shared" si="90"/>
        <v>500.29999999999973</v>
      </c>
      <c r="G87" s="32">
        <f t="shared" si="91"/>
        <v>2778</v>
      </c>
      <c r="H87" s="33">
        <f t="shared" si="95"/>
        <v>0</v>
      </c>
      <c r="I87" s="34">
        <f t="shared" si="92"/>
        <v>0</v>
      </c>
      <c r="N87" s="2"/>
      <c r="R87" s="78"/>
      <c r="S87" s="42" t="str">
        <f t="shared" si="96"/>
        <v>A</v>
      </c>
      <c r="T87" s="79">
        <f>T75</f>
        <v>1</v>
      </c>
      <c r="U87" s="44">
        <f>$J$45*$J$34*($D$45*G25+$E$45*H25+$F$45*I25)</f>
        <v>548.5</v>
      </c>
      <c r="V87" s="44">
        <f>$J$45*$J$34*($D$46*G25+$E$46*H25+$F$46*I25)</f>
        <v>500.29999999999973</v>
      </c>
      <c r="W87" s="44">
        <f>$J$45*$J$34*($D$47*G25+$E$47*H25+$F$47*I25)</f>
        <v>145.7999999999999</v>
      </c>
      <c r="X87" s="29">
        <f t="shared" si="100"/>
        <v>1194.5999999999997</v>
      </c>
    </row>
    <row r="88" spans="1:24">
      <c r="A88" s="87"/>
      <c r="B88" s="57" t="str">
        <f t="shared" si="93"/>
        <v>CWF</v>
      </c>
      <c r="C88" s="93"/>
      <c r="D88" s="31">
        <f t="shared" si="94"/>
        <v>1195.5</v>
      </c>
      <c r="E88" s="31">
        <f t="shared" si="89"/>
        <v>3865</v>
      </c>
      <c r="F88" s="31">
        <f t="shared" si="90"/>
        <v>1195.5000000000002</v>
      </c>
      <c r="G88" s="32">
        <f t="shared" si="91"/>
        <v>3865</v>
      </c>
      <c r="H88" s="33">
        <f t="shared" si="95"/>
        <v>0</v>
      </c>
      <c r="I88" s="34">
        <f t="shared" si="92"/>
        <v>0</v>
      </c>
      <c r="N88" s="2"/>
      <c r="R88" s="78"/>
      <c r="S88" s="42" t="str">
        <f t="shared" si="96"/>
        <v>CWF</v>
      </c>
      <c r="T88" s="79"/>
      <c r="U88" s="44">
        <f t="shared" ref="U88:U89" si="101">$J$45*$J$34*($D$45*G26+$E$45*H26+$F$45*I26)</f>
        <v>1185.5000000000002</v>
      </c>
      <c r="V88" s="44">
        <f t="shared" ref="V88:V89" si="102">$J$45*$J$34*($D$46*G26+$E$46*H26+$F$46*I26)</f>
        <v>1195.5000000000002</v>
      </c>
      <c r="W88" s="44">
        <f t="shared" ref="W88:W89" si="103">$J$45*$J$34*($D$47*G26+$E$47*H26+$F$47*I26)</f>
        <v>643.50000000000011</v>
      </c>
      <c r="X88" s="29">
        <f t="shared" si="100"/>
        <v>3024.5000000000005</v>
      </c>
    </row>
    <row r="89" spans="1:24">
      <c r="A89" s="87"/>
      <c r="B89" s="57" t="str">
        <f t="shared" si="93"/>
        <v>D65</v>
      </c>
      <c r="C89" s="93"/>
      <c r="D89" s="31">
        <f t="shared" si="94"/>
        <v>572.34999999999991</v>
      </c>
      <c r="E89" s="31">
        <f t="shared" si="89"/>
        <v>6352</v>
      </c>
      <c r="F89" s="31">
        <f t="shared" si="90"/>
        <v>572.35</v>
      </c>
      <c r="G89" s="32">
        <f t="shared" si="91"/>
        <v>6352</v>
      </c>
      <c r="H89" s="33">
        <f t="shared" si="95"/>
        <v>0</v>
      </c>
      <c r="I89" s="34">
        <f t="shared" si="92"/>
        <v>0</v>
      </c>
      <c r="N89" s="2"/>
      <c r="R89" s="78"/>
      <c r="S89" s="42" t="str">
        <f t="shared" si="96"/>
        <v>D65</v>
      </c>
      <c r="T89" s="79"/>
      <c r="U89" s="44">
        <f t="shared" si="101"/>
        <v>505.9000000000002</v>
      </c>
      <c r="V89" s="44">
        <f t="shared" si="102"/>
        <v>572.35</v>
      </c>
      <c r="W89" s="44">
        <f t="shared" si="103"/>
        <v>528.65</v>
      </c>
      <c r="X89" s="29">
        <f t="shared" si="100"/>
        <v>1606.9</v>
      </c>
    </row>
    <row r="90" spans="1:24">
      <c r="A90" s="87"/>
      <c r="B90" s="57" t="str">
        <f t="shared" si="93"/>
        <v>A</v>
      </c>
      <c r="C90" s="93">
        <f>C78</f>
        <v>2</v>
      </c>
      <c r="D90" s="31">
        <f t="shared" si="94"/>
        <v>500.3</v>
      </c>
      <c r="E90" s="31">
        <f t="shared" si="89"/>
        <v>2778</v>
      </c>
      <c r="F90" s="31">
        <f t="shared" si="90"/>
        <v>500.29999999999995</v>
      </c>
      <c r="G90" s="32">
        <f t="shared" si="91"/>
        <v>2778</v>
      </c>
      <c r="H90" s="33">
        <f t="shared" si="95"/>
        <v>0</v>
      </c>
      <c r="I90" s="34">
        <f t="shared" si="92"/>
        <v>0</v>
      </c>
      <c r="N90" s="2"/>
      <c r="R90" s="78"/>
      <c r="S90" s="42" t="str">
        <f t="shared" si="96"/>
        <v>A</v>
      </c>
      <c r="T90" s="79">
        <f>T78</f>
        <v>2</v>
      </c>
      <c r="U90" s="44">
        <f>$J$48*$J$37*($D$48*G28+$E$48*H28+$F$48*I28)</f>
        <v>548.50000000000011</v>
      </c>
      <c r="V90" s="44">
        <f>$J$48*$J$37*($D$49*G28+$E$49*H28+$F$49*I28)</f>
        <v>500.29999999999995</v>
      </c>
      <c r="W90" s="44">
        <f>$J$48*$J$37*($D$50*G28+$E$50*H28+$F$50*I28)</f>
        <v>145.79999999999967</v>
      </c>
      <c r="X90" s="29">
        <f t="shared" si="100"/>
        <v>1194.5999999999999</v>
      </c>
    </row>
    <row r="91" spans="1:24">
      <c r="A91" s="87"/>
      <c r="B91" s="57" t="str">
        <f t="shared" si="93"/>
        <v>CWF</v>
      </c>
      <c r="C91" s="93"/>
      <c r="D91" s="31">
        <f t="shared" si="94"/>
        <v>1195.5</v>
      </c>
      <c r="E91" s="31">
        <f t="shared" si="89"/>
        <v>3865</v>
      </c>
      <c r="F91" s="31">
        <f t="shared" si="90"/>
        <v>1195.5</v>
      </c>
      <c r="G91" s="32">
        <f t="shared" si="91"/>
        <v>3865</v>
      </c>
      <c r="H91" s="33">
        <f t="shared" si="95"/>
        <v>0</v>
      </c>
      <c r="I91" s="34">
        <f t="shared" si="92"/>
        <v>0</v>
      </c>
      <c r="N91" s="2"/>
      <c r="R91" s="78"/>
      <c r="S91" s="42" t="str">
        <f t="shared" si="96"/>
        <v>CWF</v>
      </c>
      <c r="T91" s="79"/>
      <c r="U91" s="44">
        <f t="shared" ref="U91:U92" si="104">$J$48*$J$37*($D$48*G29+$E$48*H29+$F$48*I29)</f>
        <v>1185.5</v>
      </c>
      <c r="V91" s="44">
        <f t="shared" ref="V91:V92" si="105">$J$48*$J$37*($D$49*G29+$E$49*H29+$F$49*I29)</f>
        <v>1195.5</v>
      </c>
      <c r="W91" s="44">
        <f t="shared" ref="W91:W92" si="106">$J$48*$J$37*($D$50*G29+$E$50*H29+$F$50*I29)</f>
        <v>643.49999999999977</v>
      </c>
      <c r="X91" s="29">
        <f t="shared" si="100"/>
        <v>3024.5</v>
      </c>
    </row>
    <row r="92" spans="1:24">
      <c r="A92" s="87"/>
      <c r="B92" s="57" t="str">
        <f t="shared" si="93"/>
        <v>D65</v>
      </c>
      <c r="C92" s="93"/>
      <c r="D92" s="31">
        <f t="shared" si="94"/>
        <v>572.34999999999991</v>
      </c>
      <c r="E92" s="31">
        <f t="shared" si="89"/>
        <v>6352</v>
      </c>
      <c r="F92" s="31">
        <f t="shared" si="90"/>
        <v>572.34999999999991</v>
      </c>
      <c r="G92" s="32">
        <f t="shared" si="91"/>
        <v>6352</v>
      </c>
      <c r="H92" s="33">
        <f t="shared" si="95"/>
        <v>0</v>
      </c>
      <c r="I92" s="34">
        <f t="shared" si="92"/>
        <v>0</v>
      </c>
      <c r="N92" s="2"/>
      <c r="R92" s="78"/>
      <c r="S92" s="42" t="str">
        <f t="shared" si="96"/>
        <v>D65</v>
      </c>
      <c r="T92" s="79"/>
      <c r="U92" s="44">
        <f t="shared" si="104"/>
        <v>505.9</v>
      </c>
      <c r="V92" s="44">
        <f t="shared" si="105"/>
        <v>572.34999999999991</v>
      </c>
      <c r="W92" s="44">
        <f t="shared" si="106"/>
        <v>528.64999999999964</v>
      </c>
      <c r="X92" s="29">
        <f t="shared" si="100"/>
        <v>1606.8999999999996</v>
      </c>
    </row>
    <row r="93" spans="1:24">
      <c r="A93" s="88"/>
      <c r="B93" s="94" t="s">
        <v>29</v>
      </c>
      <c r="C93" s="94"/>
      <c r="D93" s="45"/>
      <c r="E93" s="36" t="str">
        <f>H83</f>
        <v>Lux</v>
      </c>
      <c r="F93" s="37">
        <f>MAX(MAX(H84:H92,-MIN(H84:H92)))</f>
        <v>0</v>
      </c>
      <c r="G93" s="45"/>
      <c r="H93" s="36" t="str">
        <f>I83</f>
        <v>CCT</v>
      </c>
      <c r="I93" s="38">
        <f>MAX(MAX(I84:I92,-MIN(I84:I92)))</f>
        <v>0</v>
      </c>
      <c r="N93" s="2"/>
    </row>
    <row r="94" spans="1:24">
      <c r="N94" s="2"/>
    </row>
    <row r="95" spans="1:24">
      <c r="N95" s="2"/>
    </row>
    <row r="96" spans="1:24">
      <c r="N96" s="2"/>
    </row>
    <row r="97" spans="14:14">
      <c r="N97" s="2"/>
    </row>
    <row r="98" spans="14:14">
      <c r="N98" s="2"/>
    </row>
    <row r="99" spans="14:14">
      <c r="N99" s="2"/>
    </row>
    <row r="100" spans="14:14">
      <c r="N100" s="2"/>
    </row>
    <row r="101" spans="14:14">
      <c r="N101" s="2"/>
    </row>
    <row r="102" spans="14:14">
      <c r="N102" s="2"/>
    </row>
    <row r="103" spans="14:14">
      <c r="N103" s="2"/>
    </row>
    <row r="104" spans="14:14">
      <c r="N104" s="2"/>
    </row>
    <row r="105" spans="14:14">
      <c r="N105" s="2"/>
    </row>
    <row r="106" spans="14:14">
      <c r="N106" s="2"/>
    </row>
    <row r="107" spans="14:14">
      <c r="N107" s="2"/>
    </row>
    <row r="108" spans="14:14">
      <c r="N108" s="2"/>
    </row>
    <row r="109" spans="14:14">
      <c r="N109" s="2"/>
    </row>
    <row r="110" spans="14:14">
      <c r="N110" s="2"/>
    </row>
    <row r="111" spans="14:14">
      <c r="N111" s="2"/>
    </row>
    <row r="112" spans="14:14">
      <c r="N112" s="2"/>
    </row>
    <row r="113" spans="14:14">
      <c r="N113" s="2"/>
    </row>
    <row r="114" spans="14:14">
      <c r="N114" s="2"/>
    </row>
    <row r="115" spans="14:14">
      <c r="N115" s="2"/>
    </row>
    <row r="116" spans="14:14">
      <c r="N116" s="2"/>
    </row>
    <row r="117" spans="14:14">
      <c r="N117" s="2"/>
    </row>
    <row r="118" spans="14:14">
      <c r="N118" s="2"/>
    </row>
    <row r="119" spans="14:14">
      <c r="N119" s="2"/>
    </row>
    <row r="120" spans="14:14">
      <c r="N120" s="2"/>
    </row>
    <row r="121" spans="14:14">
      <c r="N121" s="2"/>
    </row>
    <row r="122" spans="14:14">
      <c r="N122" s="2"/>
    </row>
    <row r="123" spans="14:14">
      <c r="N123" s="2"/>
    </row>
    <row r="124" spans="14:14">
      <c r="N124" s="2"/>
    </row>
    <row r="125" spans="14:14">
      <c r="N125" s="2"/>
    </row>
    <row r="126" spans="14:14">
      <c r="N126" s="2"/>
    </row>
    <row r="127" spans="14:14">
      <c r="N127" s="2"/>
    </row>
    <row r="128" spans="14:14">
      <c r="N128" s="2"/>
    </row>
    <row r="129" spans="14:14">
      <c r="N129" s="2"/>
    </row>
    <row r="130" spans="14:14">
      <c r="N130" s="2"/>
    </row>
    <row r="131" spans="14:14">
      <c r="N131" s="2"/>
    </row>
    <row r="132" spans="14:14">
      <c r="N132" s="2"/>
    </row>
    <row r="133" spans="14:14">
      <c r="N133" s="2"/>
    </row>
    <row r="134" spans="14:14">
      <c r="N134" s="2"/>
    </row>
    <row r="135" spans="14:14">
      <c r="N135" s="2"/>
    </row>
    <row r="136" spans="14:14">
      <c r="N136" s="2"/>
    </row>
    <row r="137" spans="14:14">
      <c r="N137" s="2"/>
    </row>
    <row r="138" spans="14:14">
      <c r="N138" s="2"/>
    </row>
    <row r="139" spans="14:14">
      <c r="N139" s="2"/>
    </row>
    <row r="140" spans="14:14">
      <c r="N140" s="2"/>
    </row>
    <row r="141" spans="14:14">
      <c r="N141" s="2"/>
    </row>
    <row r="142" spans="14:14">
      <c r="N142" s="2"/>
    </row>
    <row r="143" spans="14:14">
      <c r="N143" s="2"/>
    </row>
    <row r="144" spans="14:14">
      <c r="N144" s="2"/>
    </row>
    <row r="145" spans="14:14">
      <c r="N145" s="2"/>
    </row>
    <row r="146" spans="14:14">
      <c r="N146" s="2"/>
    </row>
    <row r="147" spans="14:14">
      <c r="N147" s="2"/>
    </row>
    <row r="148" spans="14:14">
      <c r="N148" s="2"/>
    </row>
    <row r="149" spans="14:14">
      <c r="N149" s="2"/>
    </row>
    <row r="150" spans="14:14">
      <c r="N150" s="2"/>
    </row>
    <row r="151" spans="14:14">
      <c r="N151" s="2"/>
    </row>
    <row r="152" spans="14:14">
      <c r="N152" s="2"/>
    </row>
    <row r="153" spans="14:14">
      <c r="N153" s="2"/>
    </row>
    <row r="154" spans="14:14">
      <c r="N154" s="2"/>
    </row>
    <row r="155" spans="14:14">
      <c r="N155" s="2"/>
    </row>
    <row r="156" spans="14:14">
      <c r="N156" s="2"/>
    </row>
    <row r="157" spans="14:14">
      <c r="N157" s="2"/>
    </row>
    <row r="158" spans="14:14">
      <c r="N158" s="2"/>
    </row>
    <row r="159" spans="14:14">
      <c r="N159" s="2"/>
    </row>
    <row r="160" spans="14:14">
      <c r="N160" s="2"/>
    </row>
    <row r="161" spans="14:14">
      <c r="N161" s="2"/>
    </row>
    <row r="162" spans="14:14">
      <c r="N162" s="2"/>
    </row>
    <row r="163" spans="14:14">
      <c r="N163" s="2"/>
    </row>
    <row r="164" spans="14:14">
      <c r="N164" s="2"/>
    </row>
    <row r="165" spans="14:14">
      <c r="N165" s="2"/>
    </row>
    <row r="166" spans="14:14">
      <c r="N166" s="2"/>
    </row>
    <row r="167" spans="14:14">
      <c r="N167" s="2"/>
    </row>
    <row r="168" spans="14:14">
      <c r="N168" s="2"/>
    </row>
    <row r="169" spans="14:14">
      <c r="N169" s="2"/>
    </row>
    <row r="170" spans="14:14">
      <c r="N170" s="2"/>
    </row>
    <row r="171" spans="14:14">
      <c r="N171" s="2"/>
    </row>
    <row r="172" spans="14:14">
      <c r="N172" s="2"/>
    </row>
    <row r="173" spans="14:14">
      <c r="N173" s="2"/>
    </row>
    <row r="174" spans="14:14">
      <c r="N174" s="2"/>
    </row>
    <row r="175" spans="14:14">
      <c r="N175" s="2"/>
    </row>
    <row r="176" spans="14:14">
      <c r="N176" s="2"/>
    </row>
    <row r="177" spans="14:14">
      <c r="N177" s="2"/>
    </row>
    <row r="178" spans="14:14">
      <c r="N178" s="2"/>
    </row>
    <row r="179" spans="14:14">
      <c r="N179" s="2"/>
    </row>
    <row r="180" spans="14:14">
      <c r="N180" s="2"/>
    </row>
    <row r="181" spans="14:14">
      <c r="N181" s="2"/>
    </row>
    <row r="182" spans="14:14">
      <c r="N182" s="2"/>
    </row>
    <row r="183" spans="14:14">
      <c r="N183" s="2"/>
    </row>
    <row r="184" spans="14:14">
      <c r="N184" s="2"/>
    </row>
    <row r="185" spans="14:14">
      <c r="N185" s="2"/>
    </row>
    <row r="186" spans="14:14">
      <c r="N186" s="2"/>
    </row>
    <row r="187" spans="14:14">
      <c r="N187" s="2"/>
    </row>
    <row r="188" spans="14:14">
      <c r="N188" s="2"/>
    </row>
    <row r="189" spans="14:14">
      <c r="N189" s="2"/>
    </row>
    <row r="190" spans="14:14">
      <c r="N190" s="2"/>
    </row>
    <row r="191" spans="14:14">
      <c r="N191" s="2"/>
    </row>
    <row r="192" spans="14:14">
      <c r="N192" s="2"/>
    </row>
    <row r="193" spans="14:14">
      <c r="N193" s="2"/>
    </row>
    <row r="194" spans="14:14">
      <c r="N194" s="2"/>
    </row>
    <row r="195" spans="14:14">
      <c r="N195" s="2"/>
    </row>
    <row r="196" spans="14:14">
      <c r="N196" s="2"/>
    </row>
    <row r="197" spans="14:14">
      <c r="N197" s="2"/>
    </row>
    <row r="198" spans="14:14">
      <c r="N198" s="2"/>
    </row>
    <row r="199" spans="14:14">
      <c r="N199" s="2"/>
    </row>
    <row r="200" spans="14:14">
      <c r="N200" s="2"/>
    </row>
    <row r="201" spans="14:14">
      <c r="N201" s="2"/>
    </row>
    <row r="202" spans="14:14">
      <c r="N202" s="2"/>
    </row>
    <row r="203" spans="14:14">
      <c r="N203" s="2"/>
    </row>
    <row r="204" spans="14:14">
      <c r="N204" s="2"/>
    </row>
    <row r="205" spans="14:14">
      <c r="N205" s="2"/>
    </row>
    <row r="206" spans="14:14">
      <c r="N206" s="2"/>
    </row>
    <row r="207" spans="14:14">
      <c r="N207" s="2"/>
    </row>
    <row r="208" spans="14:14">
      <c r="N208" s="2"/>
    </row>
    <row r="209" spans="14:14">
      <c r="N209" s="2"/>
    </row>
    <row r="210" spans="14:14">
      <c r="N210" s="2"/>
    </row>
    <row r="211" spans="14:14">
      <c r="N211" s="2"/>
    </row>
    <row r="212" spans="14:14">
      <c r="N212" s="2"/>
    </row>
    <row r="213" spans="14:14">
      <c r="N213" s="2"/>
    </row>
    <row r="214" spans="14:14">
      <c r="N214" s="2"/>
    </row>
    <row r="215" spans="14:14">
      <c r="N215" s="2"/>
    </row>
    <row r="216" spans="14:14">
      <c r="N216" s="2"/>
    </row>
    <row r="217" spans="14:14">
      <c r="N217" s="2"/>
    </row>
    <row r="218" spans="14:14">
      <c r="N218" s="2"/>
    </row>
    <row r="219" spans="14:14">
      <c r="N219" s="2"/>
    </row>
    <row r="220" spans="14:14">
      <c r="N220" s="2"/>
    </row>
    <row r="221" spans="14:14">
      <c r="N221" s="2"/>
    </row>
    <row r="222" spans="14:14">
      <c r="N222" s="2"/>
    </row>
    <row r="223" spans="14:14">
      <c r="N223" s="2"/>
    </row>
    <row r="224" spans="14:14">
      <c r="N224" s="2"/>
    </row>
    <row r="225" spans="14:14">
      <c r="N225" s="2"/>
    </row>
    <row r="226" spans="14:14">
      <c r="N226" s="2"/>
    </row>
    <row r="227" spans="14:14">
      <c r="N227" s="2"/>
    </row>
    <row r="228" spans="14:14">
      <c r="N228" s="2"/>
    </row>
    <row r="229" spans="14:14">
      <c r="N229" s="2"/>
    </row>
    <row r="230" spans="14:14">
      <c r="N230" s="2"/>
    </row>
    <row r="231" spans="14:14">
      <c r="N231" s="2"/>
    </row>
    <row r="232" spans="14:14">
      <c r="N232" s="2"/>
    </row>
    <row r="233" spans="14:14">
      <c r="N233" s="2"/>
    </row>
    <row r="234" spans="14:14">
      <c r="N234" s="2"/>
    </row>
    <row r="235" spans="14:14">
      <c r="N235" s="2"/>
    </row>
    <row r="236" spans="14:14">
      <c r="N236" s="2"/>
    </row>
    <row r="237" spans="14:14">
      <c r="N237" s="2"/>
    </row>
    <row r="238" spans="14:14">
      <c r="N238" s="2"/>
    </row>
    <row r="239" spans="14:14">
      <c r="N239" s="2"/>
    </row>
    <row r="240" spans="14:14">
      <c r="N240" s="2"/>
    </row>
    <row r="241" spans="14:14">
      <c r="N241" s="2"/>
    </row>
    <row r="242" spans="14:14">
      <c r="N242" s="2"/>
    </row>
    <row r="243" spans="14:14">
      <c r="N243" s="2"/>
    </row>
    <row r="244" spans="14:14">
      <c r="N244" s="2"/>
    </row>
    <row r="245" spans="14:14">
      <c r="N245" s="2"/>
    </row>
    <row r="246" spans="14:14">
      <c r="N246" s="2"/>
    </row>
    <row r="247" spans="14:14">
      <c r="N247" s="2"/>
    </row>
    <row r="248" spans="14:14">
      <c r="N248" s="2"/>
    </row>
    <row r="249" spans="14:14">
      <c r="N249" s="2"/>
    </row>
    <row r="250" spans="14:14">
      <c r="N250" s="2"/>
    </row>
    <row r="251" spans="14:14">
      <c r="N251" s="2"/>
    </row>
    <row r="252" spans="14:14">
      <c r="N252" s="2"/>
    </row>
    <row r="253" spans="14:14">
      <c r="N253" s="2"/>
    </row>
    <row r="254" spans="14:14">
      <c r="N254" s="2"/>
    </row>
    <row r="255" spans="14:14">
      <c r="N255" s="2"/>
    </row>
    <row r="256" spans="14:14">
      <c r="N256" s="2"/>
    </row>
    <row r="257" spans="14:14">
      <c r="N257" s="2"/>
    </row>
    <row r="258" spans="14:14">
      <c r="N258" s="2"/>
    </row>
    <row r="259" spans="14:14">
      <c r="N259" s="2"/>
    </row>
    <row r="260" spans="14:14">
      <c r="N260" s="2"/>
    </row>
    <row r="261" spans="14:14">
      <c r="N261" s="2"/>
    </row>
    <row r="262" spans="14:14">
      <c r="N262" s="2"/>
    </row>
    <row r="263" spans="14:14">
      <c r="N263" s="2"/>
    </row>
    <row r="264" spans="14:14">
      <c r="N264" s="2"/>
    </row>
    <row r="265" spans="14:14">
      <c r="N265" s="2"/>
    </row>
    <row r="266" spans="14:14">
      <c r="N266" s="2"/>
    </row>
    <row r="267" spans="14:14">
      <c r="N267" s="2"/>
    </row>
    <row r="268" spans="14:14">
      <c r="N268" s="2"/>
    </row>
  </sheetData>
  <mergeCells count="80">
    <mergeCell ref="D70:E70"/>
    <mergeCell ref="F70:G70"/>
    <mergeCell ref="H70:I70"/>
    <mergeCell ref="U70:W70"/>
    <mergeCell ref="R72:R80"/>
    <mergeCell ref="T72:T74"/>
    <mergeCell ref="T75:T77"/>
    <mergeCell ref="T78:T80"/>
    <mergeCell ref="R70:T71"/>
    <mergeCell ref="C72:C74"/>
    <mergeCell ref="C75:C77"/>
    <mergeCell ref="A58:A69"/>
    <mergeCell ref="A70:A81"/>
    <mergeCell ref="C78:C80"/>
    <mergeCell ref="B81:C81"/>
    <mergeCell ref="B69:C69"/>
    <mergeCell ref="B70:C71"/>
    <mergeCell ref="C2:F2"/>
    <mergeCell ref="B58:C59"/>
    <mergeCell ref="R60:R68"/>
    <mergeCell ref="R58:T59"/>
    <mergeCell ref="C63:C65"/>
    <mergeCell ref="C66:C68"/>
    <mergeCell ref="B54:C56"/>
    <mergeCell ref="G40:I41"/>
    <mergeCell ref="J48:J50"/>
    <mergeCell ref="J54:J56"/>
    <mergeCell ref="J22:J24"/>
    <mergeCell ref="J25:J27"/>
    <mergeCell ref="J28:J30"/>
    <mergeCell ref="C60:C62"/>
    <mergeCell ref="C51:C53"/>
    <mergeCell ref="J51:J53"/>
    <mergeCell ref="U58:W58"/>
    <mergeCell ref="T60:T62"/>
    <mergeCell ref="T63:T65"/>
    <mergeCell ref="T66:T68"/>
    <mergeCell ref="A13:A21"/>
    <mergeCell ref="D40:F40"/>
    <mergeCell ref="B13:B15"/>
    <mergeCell ref="B16:B18"/>
    <mergeCell ref="B19:B21"/>
    <mergeCell ref="A31:A39"/>
    <mergeCell ref="C22:C24"/>
    <mergeCell ref="C25:C27"/>
    <mergeCell ref="C28:C30"/>
    <mergeCell ref="C31:C33"/>
    <mergeCell ref="C34:C36"/>
    <mergeCell ref="C37:C39"/>
    <mergeCell ref="A22:A30"/>
    <mergeCell ref="H58:I58"/>
    <mergeCell ref="D11:F11"/>
    <mergeCell ref="G11:I11"/>
    <mergeCell ref="J40:J41"/>
    <mergeCell ref="J31:J33"/>
    <mergeCell ref="J34:J36"/>
    <mergeCell ref="J37:J39"/>
    <mergeCell ref="B40:C41"/>
    <mergeCell ref="J42:J44"/>
    <mergeCell ref="J45:J47"/>
    <mergeCell ref="D58:E58"/>
    <mergeCell ref="F58:G58"/>
    <mergeCell ref="C42:C44"/>
    <mergeCell ref="C45:C47"/>
    <mergeCell ref="C48:C50"/>
    <mergeCell ref="R82:T83"/>
    <mergeCell ref="U82:W82"/>
    <mergeCell ref="R84:R92"/>
    <mergeCell ref="T84:T86"/>
    <mergeCell ref="T87:T89"/>
    <mergeCell ref="T90:T92"/>
    <mergeCell ref="A82:A93"/>
    <mergeCell ref="B82:C83"/>
    <mergeCell ref="D82:E82"/>
    <mergeCell ref="F82:G82"/>
    <mergeCell ref="H82:I82"/>
    <mergeCell ref="C84:C86"/>
    <mergeCell ref="C87:C89"/>
    <mergeCell ref="C90:C92"/>
    <mergeCell ref="B93:C93"/>
  </mergeCells>
  <conditionalFormatting sqref="M3:M66">
    <cfRule type="cellIs" dxfId="317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2:X93"/>
  <sheetViews>
    <sheetView workbookViewId="0">
      <selection activeCell="K37" sqref="K37"/>
    </sheetView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1.6570508392503385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85.045158268284766</v>
      </c>
      <c r="N3" s="46">
        <v>0</v>
      </c>
      <c r="O3" s="50">
        <f>G$5-N3*G$7</f>
        <v>135.63142292490119</v>
      </c>
      <c r="P3" s="50">
        <f>H$5-N3*H$7</f>
        <v>50.586264656616422</v>
      </c>
      <c r="Q3" s="50">
        <f>I$5-N3*I$7</f>
        <v>61.469026548672574</v>
      </c>
    </row>
    <row r="4" spans="1:17">
      <c r="C4" s="46" t="s">
        <v>20</v>
      </c>
      <c r="D4" s="7">
        <v>506</v>
      </c>
      <c r="E4" s="7">
        <v>1194</v>
      </c>
      <c r="F4" s="7">
        <v>565</v>
      </c>
      <c r="G4" s="50">
        <f>AVERAGE(D4:F4)</f>
        <v>755</v>
      </c>
      <c r="H4" s="50">
        <f>G4</f>
        <v>755</v>
      </c>
      <c r="I4" s="50">
        <f>H4</f>
        <v>755</v>
      </c>
      <c r="K4" s="13" t="str">
        <f>linefmt("Compensation",B12)</f>
        <v>"Compensation",39,</v>
      </c>
      <c r="M4" s="46">
        <f t="shared" si="0"/>
        <v>82.880873699488518</v>
      </c>
      <c r="N4" s="46">
        <f>N3+1</f>
        <v>1</v>
      </c>
      <c r="O4" s="50">
        <f t="shared" ref="O4:O66" si="1">G$5-N4*G$7</f>
        <v>133.38001756697409</v>
      </c>
      <c r="P4" s="50">
        <f t="shared" ref="P4:P66" si="2">H$5-N4*H$7</f>
        <v>50.499143867485579</v>
      </c>
      <c r="Q4" s="50">
        <f t="shared" ref="Q4:Q66" si="3">I$5-N4*I$7</f>
        <v>61.145349065880048</v>
      </c>
    </row>
    <row r="5" spans="1:17">
      <c r="C5" s="46">
        <v>0</v>
      </c>
      <c r="D5" s="9">
        <v>90.9</v>
      </c>
      <c r="E5" s="9">
        <v>80</v>
      </c>
      <c r="F5" s="9">
        <v>46</v>
      </c>
      <c r="G5" s="50">
        <f>G$4/D$4*D5</f>
        <v>135.63142292490119</v>
      </c>
      <c r="H5" s="50">
        <f t="shared" ref="H5:I6" si="4">H$4/E$4*E5</f>
        <v>50.586264656616422</v>
      </c>
      <c r="I5" s="50">
        <f t="shared" si="4"/>
        <v>61.469026548672574</v>
      </c>
      <c r="K5" s="14" t="str">
        <f>linefmt("CardGain",J54)</f>
        <v>"CardGain",17.11745,</v>
      </c>
      <c r="M5" s="46">
        <f t="shared" si="0"/>
        <v>80.716589130692256</v>
      </c>
      <c r="N5" s="46">
        <f t="shared" ref="N5:N66" si="5">N4+1</f>
        <v>2</v>
      </c>
      <c r="O5" s="50">
        <f t="shared" si="1"/>
        <v>131.12861220904699</v>
      </c>
      <c r="P5" s="50">
        <f t="shared" si="2"/>
        <v>50.412023078354743</v>
      </c>
      <c r="Q5" s="50">
        <f t="shared" si="3"/>
        <v>60.821671583087522</v>
      </c>
    </row>
    <row r="6" spans="1:17">
      <c r="B6" s="50">
        <f>D5/4</f>
        <v>22.725000000000001</v>
      </c>
      <c r="C6" s="7">
        <v>45</v>
      </c>
      <c r="D6" s="9">
        <v>23</v>
      </c>
      <c r="E6" s="9">
        <v>73.8</v>
      </c>
      <c r="F6" s="9">
        <v>35.1</v>
      </c>
      <c r="G6" s="50">
        <f>G$4/D$4*D6</f>
        <v>34.31818181818182</v>
      </c>
      <c r="H6" s="50">
        <f t="shared" si="4"/>
        <v>46.665829145728644</v>
      </c>
      <c r="I6" s="50">
        <f t="shared" si="4"/>
        <v>46.903539823008856</v>
      </c>
      <c r="K6" s="14" t="str">
        <f>linefmt("Range",1,J34,J37)</f>
        <v>"Range",1,0.8940558,1.039492,</v>
      </c>
      <c r="M6" s="46">
        <f t="shared" si="0"/>
        <v>78.552304561895994</v>
      </c>
      <c r="N6" s="46">
        <f t="shared" si="5"/>
        <v>3</v>
      </c>
      <c r="O6" s="50">
        <f t="shared" si="1"/>
        <v>128.87720685111989</v>
      </c>
      <c r="P6" s="50">
        <f t="shared" si="2"/>
        <v>50.3249022892239</v>
      </c>
      <c r="Q6" s="50">
        <f t="shared" si="3"/>
        <v>60.497994100294996</v>
      </c>
    </row>
    <row r="7" spans="1:17">
      <c r="C7" s="46">
        <f>C5</f>
        <v>0</v>
      </c>
      <c r="D7" s="46">
        <f t="shared" ref="D7:F8" si="6">D$4/D5</f>
        <v>5.5665566556655666</v>
      </c>
      <c r="E7" s="46">
        <f t="shared" si="6"/>
        <v>14.925000000000001</v>
      </c>
      <c r="F7" s="46">
        <f t="shared" si="6"/>
        <v>12.282608695652174</v>
      </c>
      <c r="G7" s="49">
        <f>(G5-G6)/($C6-$C5)</f>
        <v>2.2514053579270974</v>
      </c>
      <c r="H7" s="49">
        <f t="shared" ref="H7:I7" si="7">(H5-H6)/($C6-$C5)</f>
        <v>8.712078913083951E-2</v>
      </c>
      <c r="I7" s="49">
        <f t="shared" si="7"/>
        <v>0.32367748279252706</v>
      </c>
      <c r="K7" s="14" t="str">
        <f>linefmt("CCM" )</f>
        <v>"CCM",</v>
      </c>
      <c r="M7" s="46">
        <f t="shared" si="0"/>
        <v>76.388019993099732</v>
      </c>
      <c r="N7" s="46">
        <f t="shared" si="5"/>
        <v>4</v>
      </c>
      <c r="O7" s="50">
        <f t="shared" si="1"/>
        <v>126.6258014931928</v>
      </c>
      <c r="P7" s="50">
        <f t="shared" si="2"/>
        <v>50.237781500093064</v>
      </c>
      <c r="Q7" s="50">
        <f t="shared" si="3"/>
        <v>60.174316617502463</v>
      </c>
    </row>
    <row r="8" spans="1:17">
      <c r="C8" s="46">
        <f>C6</f>
        <v>45</v>
      </c>
      <c r="D8" s="46">
        <f t="shared" si="6"/>
        <v>22</v>
      </c>
      <c r="E8" s="46">
        <f t="shared" si="6"/>
        <v>16.178861788617887</v>
      </c>
      <c r="F8" s="46">
        <f t="shared" si="6"/>
        <v>16.096866096866098</v>
      </c>
      <c r="K8" s="15" t="str">
        <f>linefmt("",D54,E54,F54)</f>
        <v>0.188241,1.038638,-0.4168852,</v>
      </c>
      <c r="M8" s="46">
        <f t="shared" si="0"/>
        <v>74.22373542430347</v>
      </c>
      <c r="N8" s="46">
        <f t="shared" si="5"/>
        <v>5</v>
      </c>
      <c r="O8" s="50">
        <f t="shared" si="1"/>
        <v>124.3743961352657</v>
      </c>
      <c r="P8" s="50">
        <f t="shared" si="2"/>
        <v>50.150660710962221</v>
      </c>
      <c r="Q8" s="50">
        <f t="shared" si="3"/>
        <v>59.850639134709937</v>
      </c>
    </row>
    <row r="9" spans="1:17">
      <c r="C9" s="46" t="s">
        <v>23</v>
      </c>
      <c r="D9" s="46">
        <f>(D8-D7)/($C8-$C7)</f>
        <v>0.36518762987409858</v>
      </c>
      <c r="E9" s="46">
        <f>(E8-E7)/($C8-$C7)</f>
        <v>2.7863595302619695E-2</v>
      </c>
      <c r="F9" s="46">
        <f>(F8-F7)/($C8-$C7)</f>
        <v>8.4761275582531645E-2</v>
      </c>
      <c r="K9" s="15" t="str">
        <f>linefmt("",D55,E55,F55)</f>
        <v>5.296703E-02,1,-0.1411653,</v>
      </c>
      <c r="M9" s="46">
        <f t="shared" si="0"/>
        <v>72.059450855507208</v>
      </c>
      <c r="N9" s="46">
        <f t="shared" si="5"/>
        <v>6</v>
      </c>
      <c r="O9" s="50">
        <f t="shared" si="1"/>
        <v>122.1229907773386</v>
      </c>
      <c r="P9" s="50">
        <f t="shared" si="2"/>
        <v>50.063539921831385</v>
      </c>
      <c r="Q9" s="50">
        <f t="shared" si="3"/>
        <v>59.526961651917411</v>
      </c>
    </row>
    <row r="10" spans="1:17">
      <c r="K10" s="16" t="str">
        <f>linefmt("",D56,E56,F56)</f>
        <v>-0.4136549,0.3148886,0.9404754,</v>
      </c>
      <c r="M10" s="46">
        <f t="shared" si="0"/>
        <v>69.89516628671096</v>
      </c>
      <c r="N10" s="46">
        <f t="shared" si="5"/>
        <v>7</v>
      </c>
      <c r="O10" s="50">
        <f t="shared" si="1"/>
        <v>119.8715854194115</v>
      </c>
      <c r="P10" s="50">
        <f t="shared" si="2"/>
        <v>49.976419132700542</v>
      </c>
      <c r="Q10" s="50">
        <f t="shared" si="3"/>
        <v>59.203284169124885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67.730881717914698</v>
      </c>
      <c r="N11" s="46">
        <f t="shared" si="5"/>
        <v>8</v>
      </c>
      <c r="O11" s="50">
        <f t="shared" si="1"/>
        <v>117.6201800614844</v>
      </c>
      <c r="P11" s="50">
        <f t="shared" si="2"/>
        <v>49.889298343569706</v>
      </c>
      <c r="Q11" s="50">
        <f t="shared" si="3"/>
        <v>58.879606686332359</v>
      </c>
    </row>
    <row r="12" spans="1:17">
      <c r="A12" s="46" t="s">
        <v>16</v>
      </c>
      <c r="B12" s="10">
        <f>MATCH(M2,M3:M66,0)-1</f>
        <v>39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Compensation=39</v>
      </c>
      <c r="M12" s="46">
        <f t="shared" si="0"/>
        <v>65.566597149118451</v>
      </c>
      <c r="N12" s="46">
        <f t="shared" si="5"/>
        <v>9</v>
      </c>
      <c r="O12" s="50">
        <f t="shared" si="1"/>
        <v>115.36877470355731</v>
      </c>
      <c r="P12" s="50">
        <f t="shared" si="2"/>
        <v>49.802177554438863</v>
      </c>
      <c r="Q12" s="50">
        <f t="shared" si="3"/>
        <v>58.555929203539833</v>
      </c>
    </row>
    <row r="13" spans="1:17">
      <c r="A13" s="78" t="s">
        <v>12</v>
      </c>
      <c r="B13" s="79" t="s">
        <v>0</v>
      </c>
      <c r="C13" s="46">
        <v>0</v>
      </c>
      <c r="D13" s="7">
        <v>542</v>
      </c>
      <c r="E13" s="7">
        <v>494.8</v>
      </c>
      <c r="F13" s="7">
        <v>146</v>
      </c>
      <c r="G13" s="8">
        <v>91.2</v>
      </c>
      <c r="H13" s="8">
        <v>30.2</v>
      </c>
      <c r="I13" s="8">
        <v>41.5</v>
      </c>
      <c r="M13" s="46">
        <f t="shared" si="0"/>
        <v>63.402312580322182</v>
      </c>
      <c r="N13" s="46">
        <f t="shared" si="5"/>
        <v>10</v>
      </c>
      <c r="O13" s="50">
        <f t="shared" si="1"/>
        <v>113.11736934563021</v>
      </c>
      <c r="P13" s="50">
        <f t="shared" si="2"/>
        <v>49.715056765308027</v>
      </c>
      <c r="Q13" s="50">
        <f t="shared" si="3"/>
        <v>58.2322517207473</v>
      </c>
    </row>
    <row r="14" spans="1:17">
      <c r="A14" s="78"/>
      <c r="B14" s="79"/>
      <c r="C14" s="46">
        <f>C13+1</f>
        <v>1</v>
      </c>
      <c r="D14" s="7">
        <v>551.6</v>
      </c>
      <c r="E14" s="7">
        <v>503.8</v>
      </c>
      <c r="F14" s="7">
        <v>145.9</v>
      </c>
      <c r="G14" s="8">
        <v>98.8</v>
      </c>
      <c r="H14" s="8">
        <v>34.700000000000003</v>
      </c>
      <c r="I14" s="8">
        <v>47.2</v>
      </c>
      <c r="M14" s="46">
        <f t="shared" si="0"/>
        <v>61.238028011525927</v>
      </c>
      <c r="N14" s="46">
        <f t="shared" si="5"/>
        <v>11</v>
      </c>
      <c r="O14" s="50">
        <f t="shared" si="1"/>
        <v>110.86596398770311</v>
      </c>
      <c r="P14" s="50">
        <f t="shared" si="2"/>
        <v>49.627935976177184</v>
      </c>
      <c r="Q14" s="50">
        <f t="shared" si="3"/>
        <v>57.908574237954774</v>
      </c>
    </row>
    <row r="15" spans="1:17">
      <c r="A15" s="78"/>
      <c r="B15" s="79"/>
      <c r="C15" s="46">
        <f>C14+1</f>
        <v>2</v>
      </c>
      <c r="D15" s="6">
        <f>2*(D13-D14)/(D13+D14)</f>
        <v>-1.7556693489392875E-2</v>
      </c>
      <c r="E15" s="6">
        <f t="shared" ref="E15:F15" si="8">2*(E13-E14)/(E13+E14)</f>
        <v>-1.8025235329461247E-2</v>
      </c>
      <c r="F15" s="6">
        <f t="shared" si="8"/>
        <v>6.8516615279201316E-4</v>
      </c>
      <c r="G15" s="8">
        <v>103.8</v>
      </c>
      <c r="H15" s="8">
        <v>27.7</v>
      </c>
      <c r="I15" s="8">
        <v>39.799999999999997</v>
      </c>
      <c r="M15" s="46">
        <f t="shared" si="0"/>
        <v>59.073743442729665</v>
      </c>
      <c r="N15" s="46">
        <f t="shared" si="5"/>
        <v>12</v>
      </c>
      <c r="O15" s="50">
        <f t="shared" si="1"/>
        <v>108.61455862977601</v>
      </c>
      <c r="P15" s="50">
        <f t="shared" si="2"/>
        <v>49.540815187046348</v>
      </c>
      <c r="Q15" s="50">
        <f t="shared" si="3"/>
        <v>57.584896755162248</v>
      </c>
    </row>
    <row r="16" spans="1:17">
      <c r="A16" s="78"/>
      <c r="B16" s="79" t="s">
        <v>1</v>
      </c>
      <c r="C16" s="46">
        <f>C13</f>
        <v>0</v>
      </c>
      <c r="D16" s="7">
        <v>1185</v>
      </c>
      <c r="E16" s="7">
        <v>1195</v>
      </c>
      <c r="F16" s="7">
        <v>644</v>
      </c>
      <c r="G16" s="8">
        <v>65.099999999999994</v>
      </c>
      <c r="H16" s="8">
        <v>74.400000000000006</v>
      </c>
      <c r="I16" s="8">
        <v>43.2</v>
      </c>
      <c r="M16" s="46">
        <f t="shared" si="0"/>
        <v>56.90945887393341</v>
      </c>
      <c r="N16" s="46">
        <f t="shared" si="5"/>
        <v>13</v>
      </c>
      <c r="O16" s="50">
        <f t="shared" si="1"/>
        <v>106.36315327184892</v>
      </c>
      <c r="P16" s="50">
        <f t="shared" si="2"/>
        <v>49.453694397915505</v>
      </c>
      <c r="Q16" s="50">
        <f t="shared" si="3"/>
        <v>57.261219272369722</v>
      </c>
    </row>
    <row r="17" spans="1:21">
      <c r="A17" s="78"/>
      <c r="B17" s="79"/>
      <c r="C17" s="46">
        <f t="shared" ref="C17:C21" si="9">C14</f>
        <v>1</v>
      </c>
      <c r="D17" s="7">
        <v>1186</v>
      </c>
      <c r="E17" s="7">
        <v>1197</v>
      </c>
      <c r="F17" s="7">
        <v>643</v>
      </c>
      <c r="G17" s="8">
        <v>72.400000000000006</v>
      </c>
      <c r="H17" s="8">
        <v>82.3</v>
      </c>
      <c r="I17" s="8">
        <v>49.2</v>
      </c>
      <c r="M17" s="46">
        <f t="shared" si="0"/>
        <v>54.745174305137148</v>
      </c>
      <c r="N17" s="46">
        <f t="shared" si="5"/>
        <v>14</v>
      </c>
      <c r="O17" s="50">
        <f t="shared" si="1"/>
        <v>104.11174791392182</v>
      </c>
      <c r="P17" s="50">
        <f t="shared" si="2"/>
        <v>49.36657360878467</v>
      </c>
      <c r="Q17" s="50">
        <f t="shared" si="3"/>
        <v>56.937541789577196</v>
      </c>
    </row>
    <row r="18" spans="1:21">
      <c r="A18" s="78"/>
      <c r="B18" s="79"/>
      <c r="C18" s="46">
        <f t="shared" si="9"/>
        <v>2</v>
      </c>
      <c r="D18" s="6">
        <f>2*(D16-D17)/(D16+D17)</f>
        <v>-8.4352593842260647E-4</v>
      </c>
      <c r="E18" s="6">
        <f t="shared" ref="E18:F18" si="10">2*(E16-E17)/(E16+E17)</f>
        <v>-1.6722408026755853E-3</v>
      </c>
      <c r="F18" s="6">
        <f t="shared" si="10"/>
        <v>1.554001554001554E-3</v>
      </c>
      <c r="G18" s="8">
        <v>56.1</v>
      </c>
      <c r="H18" s="8">
        <v>66.8</v>
      </c>
      <c r="I18" s="8">
        <v>42.4</v>
      </c>
      <c r="M18" s="46">
        <f t="shared" si="0"/>
        <v>52.580889736340893</v>
      </c>
      <c r="N18" s="46">
        <f t="shared" si="5"/>
        <v>15</v>
      </c>
      <c r="O18" s="50">
        <f t="shared" si="1"/>
        <v>101.86034255599472</v>
      </c>
      <c r="P18" s="50">
        <f t="shared" si="2"/>
        <v>49.279452819653827</v>
      </c>
      <c r="Q18" s="50">
        <f t="shared" si="3"/>
        <v>56.61386430678467</v>
      </c>
    </row>
    <row r="19" spans="1:21">
      <c r="A19" s="78"/>
      <c r="B19" s="79" t="s">
        <v>2</v>
      </c>
      <c r="C19" s="46">
        <f t="shared" si="9"/>
        <v>0</v>
      </c>
      <c r="D19" s="7">
        <v>501.1</v>
      </c>
      <c r="E19" s="7">
        <v>567.20000000000005</v>
      </c>
      <c r="F19" s="7">
        <v>523.20000000000005</v>
      </c>
      <c r="G19" s="8">
        <v>28.4</v>
      </c>
      <c r="H19" s="8">
        <v>36.6</v>
      </c>
      <c r="I19" s="8">
        <v>31.6</v>
      </c>
      <c r="M19" s="46">
        <f t="shared" si="0"/>
        <v>50.416605167544631</v>
      </c>
      <c r="N19" s="46">
        <f t="shared" si="5"/>
        <v>16</v>
      </c>
      <c r="O19" s="50">
        <f t="shared" si="1"/>
        <v>99.608937198067622</v>
      </c>
      <c r="P19" s="50">
        <f t="shared" si="2"/>
        <v>49.192332030522991</v>
      </c>
      <c r="Q19" s="50">
        <f t="shared" si="3"/>
        <v>56.290186823992144</v>
      </c>
    </row>
    <row r="20" spans="1:21">
      <c r="A20" s="78"/>
      <c r="B20" s="79"/>
      <c r="C20" s="46">
        <f t="shared" si="9"/>
        <v>1</v>
      </c>
      <c r="D20" s="7">
        <v>502.6</v>
      </c>
      <c r="E20" s="7">
        <v>568.6</v>
      </c>
      <c r="F20" s="7">
        <v>523.29999999999995</v>
      </c>
      <c r="G20" s="8">
        <v>32.4</v>
      </c>
      <c r="H20" s="8">
        <v>41.6</v>
      </c>
      <c r="I20" s="8">
        <v>36</v>
      </c>
      <c r="M20" s="46">
        <f t="shared" si="0"/>
        <v>48.252320598748376</v>
      </c>
      <c r="N20" s="46">
        <f t="shared" si="5"/>
        <v>17</v>
      </c>
      <c r="O20" s="50">
        <f t="shared" si="1"/>
        <v>97.357531840140524</v>
      </c>
      <c r="P20" s="50">
        <f t="shared" si="2"/>
        <v>49.105211241392148</v>
      </c>
      <c r="Q20" s="50">
        <f t="shared" si="3"/>
        <v>55.966509341199611</v>
      </c>
    </row>
    <row r="21" spans="1:21">
      <c r="A21" s="78"/>
      <c r="B21" s="79"/>
      <c r="C21" s="46">
        <f t="shared" si="9"/>
        <v>2</v>
      </c>
      <c r="D21" s="6">
        <f>2*(D19-D20)/(D19+D20)</f>
        <v>-2.9889409186011754E-3</v>
      </c>
      <c r="E21" s="6">
        <f t="shared" ref="E21:F21" si="11">2*(E19-E20)/(E19+E20)</f>
        <v>-2.4652227504841999E-3</v>
      </c>
      <c r="F21" s="6">
        <f t="shared" si="11"/>
        <v>-1.9111323459132165E-4</v>
      </c>
      <c r="G21" s="8">
        <v>25.9</v>
      </c>
      <c r="H21" s="8">
        <v>34.1</v>
      </c>
      <c r="I21" s="8">
        <v>28.8</v>
      </c>
      <c r="M21" s="46">
        <f t="shared" si="0"/>
        <v>46.088036029952114</v>
      </c>
      <c r="N21" s="46">
        <f t="shared" si="5"/>
        <v>18</v>
      </c>
      <c r="O21" s="50">
        <f t="shared" si="1"/>
        <v>95.106126482213426</v>
      </c>
      <c r="P21" s="50">
        <f t="shared" si="2"/>
        <v>49.018090452261312</v>
      </c>
      <c r="Q21" s="50">
        <f t="shared" si="3"/>
        <v>55.642831858407085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546.79999999999995</v>
      </c>
      <c r="E22" s="46">
        <f t="shared" ref="E22:F22" si="12">(E13+E14)/2</f>
        <v>499.3</v>
      </c>
      <c r="F22" s="46">
        <f t="shared" si="12"/>
        <v>145.94999999999999</v>
      </c>
      <c r="G22" s="5">
        <f>G13</f>
        <v>91.2</v>
      </c>
      <c r="H22" s="5">
        <f t="shared" ref="H22:I22" si="13">H13</f>
        <v>30.2</v>
      </c>
      <c r="I22" s="5">
        <f t="shared" si="13"/>
        <v>41.5</v>
      </c>
      <c r="J22" s="99">
        <f>AVERAGE(G22:I24)</f>
        <v>49.133333333333333</v>
      </c>
      <c r="M22" s="46">
        <f t="shared" si="0"/>
        <v>43.923751461155859</v>
      </c>
      <c r="N22" s="46">
        <f t="shared" si="5"/>
        <v>19</v>
      </c>
      <c r="O22" s="50">
        <f t="shared" si="1"/>
        <v>92.854721124286328</v>
      </c>
      <c r="P22" s="50">
        <f t="shared" si="2"/>
        <v>48.930969663130469</v>
      </c>
      <c r="Q22" s="50">
        <f t="shared" si="3"/>
        <v>55.319154375614559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1185.5</v>
      </c>
      <c r="E23" s="46">
        <f>(E16+E17)/2</f>
        <v>1196</v>
      </c>
      <c r="F23" s="46">
        <f>(F16+F17)/2</f>
        <v>643.5</v>
      </c>
      <c r="G23" s="5">
        <f>G16</f>
        <v>65.099999999999994</v>
      </c>
      <c r="H23" s="5">
        <f>H16</f>
        <v>74.400000000000006</v>
      </c>
      <c r="I23" s="5">
        <f>I16</f>
        <v>43.2</v>
      </c>
      <c r="J23" s="99"/>
      <c r="M23" s="46">
        <f t="shared" si="0"/>
        <v>41.759466892359598</v>
      </c>
      <c r="N23" s="46">
        <f t="shared" si="5"/>
        <v>20</v>
      </c>
      <c r="O23" s="50">
        <f t="shared" si="1"/>
        <v>90.603315766359231</v>
      </c>
      <c r="P23" s="50">
        <f t="shared" si="2"/>
        <v>48.843848873999633</v>
      </c>
      <c r="Q23" s="50">
        <f t="shared" si="3"/>
        <v>54.995476892822033</v>
      </c>
    </row>
    <row r="24" spans="1:21">
      <c r="A24" s="78"/>
      <c r="B24" s="46" t="str">
        <f>B19</f>
        <v>D65</v>
      </c>
      <c r="C24" s="79"/>
      <c r="D24" s="46">
        <f>(D19+D20)/2</f>
        <v>501.85</v>
      </c>
      <c r="E24" s="46">
        <f>(E19+E20)/2</f>
        <v>567.90000000000009</v>
      </c>
      <c r="F24" s="46">
        <f>(F19+F20)/2</f>
        <v>523.25</v>
      </c>
      <c r="G24" s="5">
        <f>G19</f>
        <v>28.4</v>
      </c>
      <c r="H24" s="5">
        <f>H19</f>
        <v>36.6</v>
      </c>
      <c r="I24" s="5">
        <f>I19</f>
        <v>31.6</v>
      </c>
      <c r="J24" s="99"/>
      <c r="M24" s="46">
        <f t="shared" si="0"/>
        <v>39.595182323563343</v>
      </c>
      <c r="N24" s="46">
        <f t="shared" si="5"/>
        <v>21</v>
      </c>
      <c r="O24" s="50">
        <f t="shared" si="1"/>
        <v>88.351910408432133</v>
      </c>
      <c r="P24" s="50">
        <f t="shared" si="2"/>
        <v>48.75672808486879</v>
      </c>
      <c r="Q24" s="50">
        <f t="shared" si="3"/>
        <v>54.671799410029507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546.79999999999995</v>
      </c>
      <c r="E25" s="46">
        <f t="shared" ref="E25:F25" si="15">(E13+E14)/2</f>
        <v>499.3</v>
      </c>
      <c r="F25" s="46">
        <f t="shared" si="15"/>
        <v>145.94999999999999</v>
      </c>
      <c r="G25" s="5">
        <f t="shared" ref="G25:I25" si="16">G14</f>
        <v>98.8</v>
      </c>
      <c r="H25" s="5">
        <f t="shared" si="16"/>
        <v>34.700000000000003</v>
      </c>
      <c r="I25" s="5">
        <f t="shared" si="16"/>
        <v>47.2</v>
      </c>
      <c r="J25" s="99">
        <f>AVERAGE(G25:I27)</f>
        <v>54.955555555555549</v>
      </c>
      <c r="M25" s="46">
        <f t="shared" si="0"/>
        <v>37.430897754767081</v>
      </c>
      <c r="N25" s="46">
        <f t="shared" si="5"/>
        <v>22</v>
      </c>
      <c r="O25" s="50">
        <f t="shared" si="1"/>
        <v>86.100505050505035</v>
      </c>
      <c r="P25" s="50">
        <f t="shared" si="2"/>
        <v>48.669607295737954</v>
      </c>
      <c r="Q25" s="50">
        <f t="shared" si="3"/>
        <v>54.348121927236974</v>
      </c>
    </row>
    <row r="26" spans="1:21">
      <c r="A26" s="78"/>
      <c r="B26" s="46" t="str">
        <f>B16</f>
        <v>CWF</v>
      </c>
      <c r="C26" s="79"/>
      <c r="D26" s="46">
        <f>(D16+D17)/2</f>
        <v>1185.5</v>
      </c>
      <c r="E26" s="46">
        <f>(E16+E17)/2</f>
        <v>1196</v>
      </c>
      <c r="F26" s="46">
        <f>(F16+F17)/2</f>
        <v>643.5</v>
      </c>
      <c r="G26" s="5">
        <f>G17</f>
        <v>72.400000000000006</v>
      </c>
      <c r="H26" s="5">
        <f>H17</f>
        <v>82.3</v>
      </c>
      <c r="I26" s="5">
        <f>I17</f>
        <v>49.2</v>
      </c>
      <c r="J26" s="99"/>
      <c r="M26" s="46">
        <f t="shared" si="0"/>
        <v>35.266613185970826</v>
      </c>
      <c r="N26" s="46">
        <f t="shared" si="5"/>
        <v>23</v>
      </c>
      <c r="O26" s="50">
        <f t="shared" si="1"/>
        <v>83.849099692577937</v>
      </c>
      <c r="P26" s="50">
        <f t="shared" si="2"/>
        <v>48.582486506607111</v>
      </c>
      <c r="Q26" s="50">
        <f t="shared" si="3"/>
        <v>54.024444444444448</v>
      </c>
    </row>
    <row r="27" spans="1:21">
      <c r="A27" s="78"/>
      <c r="B27" s="46" t="str">
        <f>B19</f>
        <v>D65</v>
      </c>
      <c r="C27" s="79"/>
      <c r="D27" s="46">
        <f>(D19+D20)/2</f>
        <v>501.85</v>
      </c>
      <c r="E27" s="46">
        <f>(E19+E20)/2</f>
        <v>567.90000000000009</v>
      </c>
      <c r="F27" s="46">
        <f>(F19+F20)/2</f>
        <v>523.25</v>
      </c>
      <c r="G27" s="5">
        <f>G20</f>
        <v>32.4</v>
      </c>
      <c r="H27" s="5">
        <f>H20</f>
        <v>41.6</v>
      </c>
      <c r="I27" s="5">
        <f>I20</f>
        <v>36</v>
      </c>
      <c r="J27" s="99"/>
      <c r="M27" s="46">
        <f t="shared" si="0"/>
        <v>33.102328617174578</v>
      </c>
      <c r="N27" s="46">
        <f t="shared" si="5"/>
        <v>24</v>
      </c>
      <c r="O27" s="50">
        <f t="shared" si="1"/>
        <v>81.597694334650853</v>
      </c>
      <c r="P27" s="50">
        <f t="shared" si="2"/>
        <v>48.495365717476275</v>
      </c>
      <c r="Q27" s="50">
        <f t="shared" si="3"/>
        <v>53.700766961651922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546.79999999999995</v>
      </c>
      <c r="E28" s="46">
        <f t="shared" ref="E28:F28" si="17">(E13+E14)/2</f>
        <v>499.3</v>
      </c>
      <c r="F28" s="46">
        <f t="shared" si="17"/>
        <v>145.94999999999999</v>
      </c>
      <c r="G28" s="5">
        <f t="shared" ref="G28:I28" si="18">G15</f>
        <v>103.8</v>
      </c>
      <c r="H28" s="5">
        <f t="shared" si="18"/>
        <v>27.7</v>
      </c>
      <c r="I28" s="5">
        <f t="shared" si="18"/>
        <v>39.799999999999997</v>
      </c>
      <c r="J28" s="99">
        <f>AVERAGE(G28:I30)</f>
        <v>47.266666666666666</v>
      </c>
      <c r="M28" s="46">
        <f t="shared" si="0"/>
        <v>30.938044048378323</v>
      </c>
      <c r="N28" s="46">
        <f t="shared" si="5"/>
        <v>25</v>
      </c>
      <c r="O28" s="50">
        <f t="shared" si="1"/>
        <v>79.346288976723756</v>
      </c>
      <c r="P28" s="50">
        <f t="shared" si="2"/>
        <v>48.408244928345432</v>
      </c>
      <c r="Q28" s="50">
        <f t="shared" si="3"/>
        <v>53.377089478859396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1185.5</v>
      </c>
      <c r="E29" s="46">
        <f t="shared" si="20"/>
        <v>1196</v>
      </c>
      <c r="F29" s="46">
        <f t="shared" si="20"/>
        <v>643.5</v>
      </c>
      <c r="G29" s="5">
        <f t="shared" ref="G29:I29" si="21">G18</f>
        <v>56.1</v>
      </c>
      <c r="H29" s="5">
        <f t="shared" si="21"/>
        <v>66.8</v>
      </c>
      <c r="I29" s="5">
        <f t="shared" si="21"/>
        <v>42.4</v>
      </c>
      <c r="J29" s="99"/>
      <c r="M29" s="46">
        <f t="shared" si="0"/>
        <v>28.773759479582061</v>
      </c>
      <c r="N29" s="46">
        <f t="shared" si="5"/>
        <v>26</v>
      </c>
      <c r="O29" s="50">
        <f t="shared" si="1"/>
        <v>77.094883618796658</v>
      </c>
      <c r="P29" s="50">
        <f t="shared" si="2"/>
        <v>48.321124139214596</v>
      </c>
      <c r="Q29" s="50">
        <f t="shared" si="3"/>
        <v>53.05341199606687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501.85</v>
      </c>
      <c r="E30" s="46">
        <f t="shared" si="23"/>
        <v>567.90000000000009</v>
      </c>
      <c r="F30" s="46">
        <f t="shared" si="23"/>
        <v>523.25</v>
      </c>
      <c r="G30" s="5">
        <f t="shared" ref="G30:I30" si="24">G21</f>
        <v>25.9</v>
      </c>
      <c r="H30" s="5">
        <f t="shared" si="24"/>
        <v>34.1</v>
      </c>
      <c r="I30" s="5">
        <f t="shared" si="24"/>
        <v>28.8</v>
      </c>
      <c r="J30" s="99"/>
      <c r="M30" s="46">
        <f t="shared" si="0"/>
        <v>26.609474910785806</v>
      </c>
      <c r="N30" s="46">
        <f t="shared" si="5"/>
        <v>27</v>
      </c>
      <c r="O30" s="50">
        <f t="shared" si="1"/>
        <v>74.84347826086956</v>
      </c>
      <c r="P30" s="50">
        <f t="shared" si="2"/>
        <v>48.234003350083754</v>
      </c>
      <c r="Q30" s="50">
        <f t="shared" si="3"/>
        <v>52.729734513274344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546.79999999999995</v>
      </c>
      <c r="E31" s="46">
        <f t="shared" si="25"/>
        <v>499.3</v>
      </c>
      <c r="F31" s="46">
        <f t="shared" si="25"/>
        <v>145.94999999999999</v>
      </c>
      <c r="G31" s="5">
        <f t="shared" ref="G31:I33" si="26">G22*$J$31</f>
        <v>91.2</v>
      </c>
      <c r="H31" s="5">
        <f t="shared" si="26"/>
        <v>30.2</v>
      </c>
      <c r="I31" s="5">
        <f t="shared" si="26"/>
        <v>41.5</v>
      </c>
      <c r="J31" s="96">
        <f>J$22/J22</f>
        <v>1</v>
      </c>
      <c r="M31" s="46">
        <f t="shared" si="0"/>
        <v>24.445190341989544</v>
      </c>
      <c r="N31" s="46">
        <f t="shared" si="5"/>
        <v>28</v>
      </c>
      <c r="O31" s="50">
        <f t="shared" si="1"/>
        <v>72.592072902942462</v>
      </c>
      <c r="P31" s="50">
        <f t="shared" si="2"/>
        <v>48.146882560952918</v>
      </c>
      <c r="Q31" s="50">
        <f t="shared" si="3"/>
        <v>52.406057030481819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1185.5</v>
      </c>
      <c r="E32" s="46">
        <f t="shared" si="27"/>
        <v>1196</v>
      </c>
      <c r="F32" s="46">
        <f t="shared" si="27"/>
        <v>643.5</v>
      </c>
      <c r="G32" s="5">
        <f t="shared" si="26"/>
        <v>65.099999999999994</v>
      </c>
      <c r="H32" s="5">
        <f t="shared" si="26"/>
        <v>74.400000000000006</v>
      </c>
      <c r="I32" s="5">
        <f t="shared" si="26"/>
        <v>43.2</v>
      </c>
      <c r="J32" s="96"/>
      <c r="M32" s="46">
        <f t="shared" si="0"/>
        <v>22.28090577319329</v>
      </c>
      <c r="N32" s="46">
        <f t="shared" si="5"/>
        <v>29</v>
      </c>
      <c r="O32" s="50">
        <f t="shared" si="1"/>
        <v>70.340667545015364</v>
      </c>
      <c r="P32" s="50">
        <f t="shared" si="2"/>
        <v>48.059761771822075</v>
      </c>
      <c r="Q32" s="50">
        <f t="shared" si="3"/>
        <v>52.082379547689285</v>
      </c>
    </row>
    <row r="33" spans="1:17">
      <c r="A33" s="78"/>
      <c r="B33" s="46" t="str">
        <f t="shared" si="27"/>
        <v>D65</v>
      </c>
      <c r="C33" s="79"/>
      <c r="D33" s="46">
        <f t="shared" si="27"/>
        <v>501.85</v>
      </c>
      <c r="E33" s="46">
        <f t="shared" si="27"/>
        <v>567.90000000000009</v>
      </c>
      <c r="F33" s="46">
        <f t="shared" si="27"/>
        <v>523.25</v>
      </c>
      <c r="G33" s="5">
        <f t="shared" si="26"/>
        <v>28.4</v>
      </c>
      <c r="H33" s="5">
        <f t="shared" si="26"/>
        <v>36.6</v>
      </c>
      <c r="I33" s="5">
        <f t="shared" si="26"/>
        <v>31.6</v>
      </c>
      <c r="J33" s="96"/>
      <c r="M33" s="46">
        <f t="shared" si="0"/>
        <v>20.116621204397028</v>
      </c>
      <c r="N33" s="46">
        <f t="shared" si="5"/>
        <v>30</v>
      </c>
      <c r="O33" s="50">
        <f t="shared" si="1"/>
        <v>68.089262187088266</v>
      </c>
      <c r="P33" s="50">
        <f t="shared" si="2"/>
        <v>47.972640982691239</v>
      </c>
      <c r="Q33" s="50">
        <f t="shared" si="3"/>
        <v>51.75870206489676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546.79999999999995</v>
      </c>
      <c r="E34" s="46">
        <f t="shared" si="27"/>
        <v>499.3</v>
      </c>
      <c r="F34" s="46">
        <f t="shared" si="27"/>
        <v>145.94999999999999</v>
      </c>
      <c r="G34" s="5">
        <f t="shared" ref="G34:I36" si="28">G25*$J$34</f>
        <v>88.332713303679739</v>
      </c>
      <c r="H34" s="5">
        <f t="shared" si="28"/>
        <v>31.023736352608172</v>
      </c>
      <c r="I34" s="5">
        <f t="shared" si="28"/>
        <v>42.199433885968467</v>
      </c>
      <c r="J34" s="96">
        <f>J$22/J25</f>
        <v>0.89405580266882334</v>
      </c>
      <c r="M34" s="46">
        <f t="shared" si="0"/>
        <v>17.952336635600773</v>
      </c>
      <c r="N34" s="46">
        <f t="shared" si="5"/>
        <v>31</v>
      </c>
      <c r="O34" s="50">
        <f t="shared" si="1"/>
        <v>65.837856829161169</v>
      </c>
      <c r="P34" s="50">
        <f t="shared" si="2"/>
        <v>47.885520193560396</v>
      </c>
      <c r="Q34" s="50">
        <f t="shared" si="3"/>
        <v>51.435024582104234</v>
      </c>
    </row>
    <row r="35" spans="1:17">
      <c r="A35" s="78"/>
      <c r="B35" s="46" t="str">
        <f t="shared" si="27"/>
        <v>CWF</v>
      </c>
      <c r="C35" s="79"/>
      <c r="D35" s="46">
        <f t="shared" si="27"/>
        <v>1185.5</v>
      </c>
      <c r="E35" s="46">
        <f t="shared" si="27"/>
        <v>1196</v>
      </c>
      <c r="F35" s="46">
        <f t="shared" si="27"/>
        <v>643.5</v>
      </c>
      <c r="G35" s="5">
        <f t="shared" si="28"/>
        <v>64.729640113222814</v>
      </c>
      <c r="H35" s="5">
        <f t="shared" si="28"/>
        <v>73.580792559644152</v>
      </c>
      <c r="I35" s="5">
        <f t="shared" si="28"/>
        <v>43.987545491306108</v>
      </c>
      <c r="J35" s="96"/>
      <c r="M35" s="46">
        <f t="shared" si="0"/>
        <v>15.788052066804511</v>
      </c>
      <c r="N35" s="46">
        <f t="shared" si="5"/>
        <v>32</v>
      </c>
      <c r="O35" s="50">
        <f t="shared" si="1"/>
        <v>63.586451471234071</v>
      </c>
      <c r="P35" s="50">
        <f t="shared" si="2"/>
        <v>47.79839940442956</v>
      </c>
      <c r="Q35" s="50">
        <f t="shared" si="3"/>
        <v>51.111347099311708</v>
      </c>
    </row>
    <row r="36" spans="1:17">
      <c r="A36" s="78"/>
      <c r="B36" s="46" t="str">
        <f t="shared" si="27"/>
        <v>D65</v>
      </c>
      <c r="C36" s="79"/>
      <c r="D36" s="46">
        <f t="shared" si="27"/>
        <v>501.85</v>
      </c>
      <c r="E36" s="46">
        <f t="shared" si="27"/>
        <v>567.90000000000009</v>
      </c>
      <c r="F36" s="46">
        <f t="shared" si="27"/>
        <v>523.25</v>
      </c>
      <c r="G36" s="5">
        <f t="shared" si="28"/>
        <v>28.967408006469874</v>
      </c>
      <c r="H36" s="5">
        <f t="shared" si="28"/>
        <v>37.192721391023049</v>
      </c>
      <c r="I36" s="5">
        <f t="shared" si="28"/>
        <v>32.186008896077638</v>
      </c>
      <c r="J36" s="96"/>
      <c r="M36" s="46">
        <f t="shared" si="0"/>
        <v>13.623767498008256</v>
      </c>
      <c r="N36" s="46">
        <f t="shared" si="5"/>
        <v>33</v>
      </c>
      <c r="O36" s="50">
        <f t="shared" si="1"/>
        <v>61.335046113306973</v>
      </c>
      <c r="P36" s="50">
        <f t="shared" si="2"/>
        <v>47.711278615298717</v>
      </c>
      <c r="Q36" s="50">
        <f t="shared" si="3"/>
        <v>50.787669616519182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546.79999999999995</v>
      </c>
      <c r="E37" s="46">
        <f t="shared" si="27"/>
        <v>499.3</v>
      </c>
      <c r="F37" s="46">
        <f t="shared" si="27"/>
        <v>145.94999999999999</v>
      </c>
      <c r="G37" s="5">
        <f t="shared" ref="G37:I39" si="29">G28*$J$37</f>
        <v>107.89929478138222</v>
      </c>
      <c r="H37" s="5">
        <f t="shared" si="29"/>
        <v>28.793935119887163</v>
      </c>
      <c r="I37" s="5">
        <f t="shared" si="29"/>
        <v>41.371791255289132</v>
      </c>
      <c r="J37" s="96">
        <f>J$22/J28</f>
        <v>1.0394922425952045</v>
      </c>
      <c r="K37" s="51" t="str">
        <f>CHAR(34) &amp; "EEpromVersion" &amp;CHAR(34)  &amp; ",3,"</f>
        <v>"EEpromVersion",3,</v>
      </c>
      <c r="M37" s="46">
        <f t="shared" si="0"/>
        <v>11.459482929211994</v>
      </c>
      <c r="N37" s="46">
        <f t="shared" si="5"/>
        <v>34</v>
      </c>
      <c r="O37" s="50">
        <f t="shared" si="1"/>
        <v>59.083640755379875</v>
      </c>
      <c r="P37" s="50">
        <f t="shared" si="2"/>
        <v>47.624157826167881</v>
      </c>
      <c r="Q37" s="50">
        <f t="shared" si="3"/>
        <v>50.463992133726656</v>
      </c>
    </row>
    <row r="38" spans="1:17">
      <c r="A38" s="78"/>
      <c r="B38" s="46" t="str">
        <f t="shared" si="27"/>
        <v>CWF</v>
      </c>
      <c r="C38" s="79"/>
      <c r="D38" s="46">
        <f t="shared" si="27"/>
        <v>1185.5</v>
      </c>
      <c r="E38" s="46">
        <f t="shared" si="27"/>
        <v>1196</v>
      </c>
      <c r="F38" s="46">
        <f t="shared" si="27"/>
        <v>643.5</v>
      </c>
      <c r="G38" s="5">
        <f t="shared" si="29"/>
        <v>58.315514809590972</v>
      </c>
      <c r="H38" s="5">
        <f t="shared" si="29"/>
        <v>69.438081805359658</v>
      </c>
      <c r="I38" s="5">
        <f t="shared" si="29"/>
        <v>44.074471086036667</v>
      </c>
      <c r="J38" s="96"/>
      <c r="K38" s="52" t="str">
        <f>K4</f>
        <v>"Compensation",39,</v>
      </c>
      <c r="M38" s="46">
        <f t="shared" si="0"/>
        <v>9.2951983604157391</v>
      </c>
      <c r="N38" s="46">
        <f t="shared" si="5"/>
        <v>35</v>
      </c>
      <c r="O38" s="50">
        <f t="shared" si="1"/>
        <v>56.832235397452777</v>
      </c>
      <c r="P38" s="50">
        <f t="shared" si="2"/>
        <v>47.537037037037038</v>
      </c>
      <c r="Q38" s="50">
        <f t="shared" si="3"/>
        <v>50.14031465093413</v>
      </c>
    </row>
    <row r="39" spans="1:17">
      <c r="A39" s="78"/>
      <c r="B39" s="46" t="str">
        <f t="shared" si="27"/>
        <v>D65</v>
      </c>
      <c r="C39" s="79"/>
      <c r="D39" s="46">
        <f t="shared" si="27"/>
        <v>501.85</v>
      </c>
      <c r="E39" s="46">
        <f t="shared" si="27"/>
        <v>567.90000000000009</v>
      </c>
      <c r="F39" s="46">
        <f t="shared" si="27"/>
        <v>523.25</v>
      </c>
      <c r="G39" s="5">
        <f t="shared" si="29"/>
        <v>26.922849083215795</v>
      </c>
      <c r="H39" s="5">
        <f t="shared" si="29"/>
        <v>35.446685472496476</v>
      </c>
      <c r="I39" s="5">
        <f t="shared" si="29"/>
        <v>29.937376586741888</v>
      </c>
      <c r="J39" s="96"/>
      <c r="K39" s="53" t="str">
        <f>linefmt("CardGain",J42,J45,J48)</f>
        <v>"CardGain",16.32106,17.15809,19.27427,</v>
      </c>
      <c r="M39" s="46">
        <f t="shared" si="0"/>
        <v>7.1309137916194771</v>
      </c>
      <c r="N39" s="46">
        <f t="shared" si="5"/>
        <v>36</v>
      </c>
      <c r="O39" s="50">
        <f t="shared" si="1"/>
        <v>54.580830039525679</v>
      </c>
      <c r="P39" s="50">
        <f t="shared" si="2"/>
        <v>47.449916247906202</v>
      </c>
      <c r="Q39" s="50">
        <f t="shared" si="3"/>
        <v>49.816637168141597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"Range",1,0.8940558,1.039492,</v>
      </c>
      <c r="M40" s="46">
        <f t="shared" si="0"/>
        <v>4.9666292228232223</v>
      </c>
      <c r="N40" s="46">
        <f t="shared" si="5"/>
        <v>37</v>
      </c>
      <c r="O40" s="50">
        <f t="shared" si="1"/>
        <v>52.329424681598582</v>
      </c>
      <c r="P40" s="50">
        <f t="shared" si="2"/>
        <v>47.362795458775359</v>
      </c>
      <c r="Q40" s="50">
        <f t="shared" si="3"/>
        <v>49.492959685349071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2.8023446540269603</v>
      </c>
      <c r="N41" s="46">
        <f t="shared" si="5"/>
        <v>38</v>
      </c>
      <c r="O41" s="50">
        <f t="shared" si="1"/>
        <v>50.078019323671484</v>
      </c>
      <c r="P41" s="50">
        <f t="shared" si="2"/>
        <v>47.275674669644523</v>
      </c>
      <c r="Q41" s="50">
        <f t="shared" si="3"/>
        <v>49.169282202556545</v>
      </c>
    </row>
    <row r="42" spans="1:17">
      <c r="A42" s="4"/>
      <c r="B42" s="46" t="s">
        <v>3</v>
      </c>
      <c r="C42" s="79">
        <f>C31</f>
        <v>0</v>
      </c>
      <c r="D42" s="46">
        <f>I42/$H$43</f>
        <v>0.21265396189543123</v>
      </c>
      <c r="E42" s="46">
        <f>H42/$H$43</f>
        <v>1.0266022666104944</v>
      </c>
      <c r="F42" s="46">
        <f>G42/$H$43</f>
        <v>-0.40710147036010003</v>
      </c>
      <c r="G42" s="46">
        <f t="array" ref="G42:I42">LINEST($D31:$D33,$G31:$I33,FALSE)</f>
        <v>-6.6443289456722603</v>
      </c>
      <c r="H42" s="46">
        <v>16.755240774982454</v>
      </c>
      <c r="I42" s="46">
        <v>3.4707388140452711</v>
      </c>
      <c r="J42" s="97">
        <f>H43</f>
        <v>16.321063492585878</v>
      </c>
      <c r="K42" s="53" t="str">
        <f t="shared" ref="K42:K50" si="30">linefmt("",D42,E42,F42)</f>
        <v>0.212654,1.026602,-0.4071015,</v>
      </c>
      <c r="M42" s="46">
        <f t="shared" si="0"/>
        <v>1.6570508392503385</v>
      </c>
      <c r="N42" s="46">
        <f t="shared" si="5"/>
        <v>39</v>
      </c>
      <c r="O42" s="50">
        <f t="shared" si="1"/>
        <v>47.826613965744386</v>
      </c>
      <c r="P42" s="50">
        <f t="shared" si="2"/>
        <v>47.18855388051368</v>
      </c>
      <c r="Q42" s="50">
        <f t="shared" si="3"/>
        <v>48.845604719764019</v>
      </c>
    </row>
    <row r="43" spans="1:17">
      <c r="A43" s="4"/>
      <c r="B43" s="46" t="s">
        <v>4</v>
      </c>
      <c r="C43" s="79"/>
      <c r="D43" s="46">
        <f>I43/$H$43</f>
        <v>5.1243753268381945E-2</v>
      </c>
      <c r="E43" s="46">
        <f>H43/$H$43</f>
        <v>1</v>
      </c>
      <c r="F43" s="46">
        <f>G43/$H$43</f>
        <v>-0.10315809889916924</v>
      </c>
      <c r="G43" s="46">
        <f t="array" ref="G43:I43">LINEST($E31:$E33,$G31:$I33,FALSE)</f>
        <v>-1.6836498819077945</v>
      </c>
      <c r="H43" s="46">
        <v>16.321063492585878</v>
      </c>
      <c r="I43" s="46">
        <v>0.83635255069166681</v>
      </c>
      <c r="J43" s="97"/>
      <c r="K43" s="53" t="str">
        <f t="shared" si="30"/>
        <v>5.124375E-02,1,-0.1031581,</v>
      </c>
      <c r="M43" s="46">
        <f t="shared" si="0"/>
        <v>2.9467186291542049</v>
      </c>
      <c r="N43" s="46">
        <f t="shared" si="5"/>
        <v>40</v>
      </c>
      <c r="O43" s="50">
        <f t="shared" si="1"/>
        <v>45.575208607817288</v>
      </c>
      <c r="P43" s="50">
        <f t="shared" si="2"/>
        <v>47.101433091382845</v>
      </c>
      <c r="Q43" s="50">
        <f t="shared" si="3"/>
        <v>48.521927236971493</v>
      </c>
    </row>
    <row r="44" spans="1:17">
      <c r="A44" s="4"/>
      <c r="B44" s="46" t="s">
        <v>5</v>
      </c>
      <c r="C44" s="79"/>
      <c r="D44" s="46">
        <f>I44/$H$43</f>
        <v>-0.49731887749987191</v>
      </c>
      <c r="E44" s="46">
        <f>H44/$H$43</f>
        <v>0.3556760414990659</v>
      </c>
      <c r="F44" s="46">
        <f>G44/$H$43</f>
        <v>1.0495541481237769</v>
      </c>
      <c r="G44" s="46">
        <f t="array" ref="G44:I44">LINEST($F$31:$F$33,$G31:$I33,FALSE)</f>
        <v>17.129839890435047</v>
      </c>
      <c r="H44" s="46">
        <v>5.8050112560978642</v>
      </c>
      <c r="I44" s="46">
        <v>-8.1167729757369482</v>
      </c>
      <c r="J44" s="97"/>
      <c r="K44" s="53" t="str">
        <f t="shared" si="30"/>
        <v>-0.4973189,0.3556761,1.049554,</v>
      </c>
      <c r="M44" s="46">
        <f t="shared" si="0"/>
        <v>4.8744465042887697</v>
      </c>
      <c r="N44" s="46">
        <f t="shared" si="5"/>
        <v>41</v>
      </c>
      <c r="O44" s="50">
        <f t="shared" si="1"/>
        <v>43.32380324989019</v>
      </c>
      <c r="P44" s="50">
        <f t="shared" si="2"/>
        <v>47.014312302252002</v>
      </c>
      <c r="Q44" s="50">
        <f t="shared" si="3"/>
        <v>48.19824975417896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0.23194946701330074</v>
      </c>
      <c r="E45" s="46">
        <f>H45/$H$46</f>
        <v>1.0236276669997053</v>
      </c>
      <c r="F45" s="46">
        <f>G45/$H$46</f>
        <v>-0.48287691434555363</v>
      </c>
      <c r="G45" s="46">
        <f t="array" ref="G45:I45">LINEST($D34:$D36,$G34:$I36,FALSE)</f>
        <v>-8.2852457554567938</v>
      </c>
      <c r="H45" s="46">
        <v>17.56349606125158</v>
      </c>
      <c r="I45" s="46">
        <v>3.9798099266289997</v>
      </c>
      <c r="J45" s="97">
        <f>H46</f>
        <v>17.158090414584933</v>
      </c>
      <c r="K45" s="53" t="str">
        <f t="shared" si="30"/>
        <v>0.2319495,1.023628,-0.4828769,</v>
      </c>
      <c r="M45" s="46">
        <f t="shared" si="0"/>
        <v>6.8021743794233487</v>
      </c>
      <c r="N45" s="46">
        <f t="shared" si="5"/>
        <v>42</v>
      </c>
      <c r="O45" s="50">
        <f t="shared" si="1"/>
        <v>41.072397891963092</v>
      </c>
      <c r="P45" s="50">
        <f t="shared" si="2"/>
        <v>46.927191513121159</v>
      </c>
      <c r="Q45" s="50">
        <f t="shared" si="3"/>
        <v>47.874572271386441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6.8411844011109668E-2</v>
      </c>
      <c r="E46" s="46">
        <f>H46/$H$46</f>
        <v>1</v>
      </c>
      <c r="F46" s="46">
        <f>G46/$H$46</f>
        <v>-0.18878843969436812</v>
      </c>
      <c r="G46" s="46">
        <f t="array" ref="G46:I46">LINEST($E34:$E36,$G34:$I36,FALSE)</f>
        <v>-3.2392491175043832</v>
      </c>
      <c r="H46" s="46">
        <v>17.158090414584933</v>
      </c>
      <c r="I46" s="46">
        <v>1.1738166049711005</v>
      </c>
      <c r="J46" s="97"/>
      <c r="K46" s="53" t="str">
        <f t="shared" si="30"/>
        <v>6.841184E-02,1,-0.1887884,</v>
      </c>
      <c r="M46" s="46">
        <f t="shared" si="0"/>
        <v>8.7299022545579135</v>
      </c>
      <c r="N46" s="46">
        <f t="shared" si="5"/>
        <v>43</v>
      </c>
      <c r="O46" s="50">
        <f t="shared" si="1"/>
        <v>38.820992534035994</v>
      </c>
      <c r="P46" s="50">
        <f t="shared" si="2"/>
        <v>46.840070723990323</v>
      </c>
      <c r="Q46" s="50">
        <f t="shared" si="3"/>
        <v>47.550894788593908</v>
      </c>
    </row>
    <row r="47" spans="1:17">
      <c r="A47" s="4"/>
      <c r="B47" s="46" t="str">
        <f t="shared" si="31"/>
        <v>Z</v>
      </c>
      <c r="C47" s="79"/>
      <c r="D47" s="46">
        <f>I47/$H$46</f>
        <v>-0.4964692126678244</v>
      </c>
      <c r="E47" s="46">
        <f>H47/$H$46</f>
        <v>0.36518431368988374</v>
      </c>
      <c r="F47" s="46">
        <f>G47/$H$46</f>
        <v>0.97231830654358264</v>
      </c>
      <c r="G47" s="46">
        <f t="array" ref="G47:I47">LINEST($F$31:$F$33,$G34:$I36,FALSE)</f>
        <v>16.683125415430901</v>
      </c>
      <c r="H47" s="46">
        <v>6.265865472279172</v>
      </c>
      <c r="I47" s="46">
        <v>-8.5184636390123263</v>
      </c>
      <c r="J47" s="97"/>
      <c r="K47" s="53" t="str">
        <f t="shared" si="30"/>
        <v>-0.4964692,0.3651843,0.9723183,</v>
      </c>
      <c r="M47" s="46">
        <f t="shared" si="0"/>
        <v>10.657630129692485</v>
      </c>
      <c r="N47" s="46">
        <f t="shared" si="5"/>
        <v>44</v>
      </c>
      <c r="O47" s="50">
        <f t="shared" si="1"/>
        <v>36.569587176108897</v>
      </c>
      <c r="P47" s="50">
        <f t="shared" si="2"/>
        <v>46.752949934859487</v>
      </c>
      <c r="Q47" s="50">
        <f t="shared" si="3"/>
        <v>47.227217305801382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0.21078303086280201</v>
      </c>
      <c r="E48" s="46">
        <f>H48/$H$49</f>
        <v>1.1150109353867301</v>
      </c>
      <c r="F48" s="46">
        <f>G48/$H$49</f>
        <v>-0.64003688795105262</v>
      </c>
      <c r="G48" s="46">
        <f t="array" ref="G48:I48">LINEST($D37:$D39,$G37:$I39,FALSE)</f>
        <v>-12.336246758904494</v>
      </c>
      <c r="H48" s="46">
        <v>21.49102699664952</v>
      </c>
      <c r="I48" s="46">
        <v>4.0626900265663517</v>
      </c>
      <c r="J48" s="97">
        <f>H49</f>
        <v>19.274274641257737</v>
      </c>
      <c r="K48" s="53" t="str">
        <f t="shared" si="30"/>
        <v>0.210783,1.115011,-0.6400369,</v>
      </c>
      <c r="M48" s="46">
        <f t="shared" si="0"/>
        <v>12.585358004827057</v>
      </c>
      <c r="N48" s="46">
        <f t="shared" si="5"/>
        <v>45</v>
      </c>
      <c r="O48" s="50">
        <f t="shared" si="1"/>
        <v>34.318181818181799</v>
      </c>
      <c r="P48" s="50">
        <f t="shared" si="2"/>
        <v>46.665829145728644</v>
      </c>
      <c r="Q48" s="50">
        <f t="shared" si="3"/>
        <v>46.903539823008856</v>
      </c>
    </row>
    <row r="49" spans="1:24">
      <c r="A49" s="4"/>
      <c r="B49" s="46" t="str">
        <f t="shared" si="31"/>
        <v>Y</v>
      </c>
      <c r="C49" s="79"/>
      <c r="D49" s="46">
        <f>I49/$H$49</f>
        <v>7.6083477415476441E-2</v>
      </c>
      <c r="E49" s="46">
        <f>H49/$H$49</f>
        <v>1</v>
      </c>
      <c r="F49" s="46">
        <f>G49/$H$49</f>
        <v>-0.26825749451780034</v>
      </c>
      <c r="G49" s="46">
        <f t="array" ref="G49:I49">LINEST($E37:$E39,$G37:$I39,FALSE)</f>
        <v>-5.1704686239117752</v>
      </c>
      <c r="H49" s="46">
        <v>19.274274641257737</v>
      </c>
      <c r="I49" s="46">
        <v>1.4664538393678233</v>
      </c>
      <c r="J49" s="97"/>
      <c r="K49" s="53" t="str">
        <f t="shared" si="30"/>
        <v>7.608347E-02,1,-0.2682575,</v>
      </c>
      <c r="M49" s="46">
        <f t="shared" si="0"/>
        <v>14.513085879961629</v>
      </c>
      <c r="N49" s="46">
        <f t="shared" si="5"/>
        <v>46</v>
      </c>
      <c r="O49" s="50">
        <f t="shared" si="1"/>
        <v>32.066776460254701</v>
      </c>
      <c r="P49" s="50">
        <f t="shared" si="2"/>
        <v>46.578708356597801</v>
      </c>
      <c r="Q49" s="50">
        <f t="shared" si="3"/>
        <v>46.57986234021633</v>
      </c>
    </row>
    <row r="50" spans="1:24">
      <c r="A50" s="4"/>
      <c r="B50" s="46" t="str">
        <f t="shared" si="31"/>
        <v>Z</v>
      </c>
      <c r="C50" s="79"/>
      <c r="D50" s="46">
        <f>I50/$H$49</f>
        <v>-0.40674466195599451</v>
      </c>
      <c r="E50" s="46">
        <f>H50/$H$49</f>
        <v>5.8936722581873234E-2</v>
      </c>
      <c r="F50" s="46">
        <f>G50/$H$49</f>
        <v>1.2028174246572667</v>
      </c>
      <c r="G50" s="46">
        <f t="array" ref="G50:I50">LINEST($F$31:$F$33,$G37:$I39,FALSE)</f>
        <v>23.183433386134496</v>
      </c>
      <c r="H50" s="46">
        <v>1.1359625774986415</v>
      </c>
      <c r="I50" s="46">
        <v>-7.8397083234053753</v>
      </c>
      <c r="J50" s="97"/>
      <c r="K50" s="54" t="str">
        <f t="shared" si="30"/>
        <v>-0.4067447,5.893672E-02,1.202817,</v>
      </c>
      <c r="M50" s="46">
        <f t="shared" si="0"/>
        <v>16.676216465139362</v>
      </c>
      <c r="N50" s="46">
        <f t="shared" si="5"/>
        <v>47</v>
      </c>
      <c r="O50" s="50">
        <f t="shared" si="1"/>
        <v>29.815371102327603</v>
      </c>
      <c r="P50" s="50">
        <f t="shared" si="2"/>
        <v>46.491587567466965</v>
      </c>
      <c r="Q50" s="50">
        <f t="shared" si="3"/>
        <v>46.256184857423804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0.21846215325717799</v>
      </c>
      <c r="E51" s="46">
        <f t="shared" ref="E51:F51" si="32">(E42+E45+E48)/3</f>
        <v>1.0550802896656433</v>
      </c>
      <c r="F51" s="46">
        <f t="shared" si="32"/>
        <v>-0.51000509088556878</v>
      </c>
      <c r="J51" s="97">
        <f>(J42+J45+J48)/3</f>
        <v>17.584476182809514</v>
      </c>
      <c r="M51" s="46">
        <f t="shared" si="0"/>
        <v>18.84050103393561</v>
      </c>
      <c r="N51" s="46">
        <f t="shared" si="5"/>
        <v>48</v>
      </c>
      <c r="O51" s="50">
        <f t="shared" si="1"/>
        <v>27.563965744400519</v>
      </c>
      <c r="P51" s="50">
        <f t="shared" si="2"/>
        <v>46.404466778336129</v>
      </c>
      <c r="Q51" s="50">
        <f t="shared" si="3"/>
        <v>45.932507374631271</v>
      </c>
    </row>
    <row r="52" spans="1:24">
      <c r="B52" s="46" t="str">
        <f t="shared" si="31"/>
        <v>Y</v>
      </c>
      <c r="C52" s="79"/>
      <c r="D52" s="46">
        <f t="shared" ref="D52:F53" si="33">(D43+D46+D49)/3</f>
        <v>6.5246358231656018E-2</v>
      </c>
      <c r="E52" s="46">
        <f t="shared" si="33"/>
        <v>1</v>
      </c>
      <c r="F52" s="46">
        <f t="shared" si="33"/>
        <v>-0.18673467770377924</v>
      </c>
      <c r="J52" s="97"/>
      <c r="M52" s="46">
        <f t="shared" si="0"/>
        <v>21.004785602731864</v>
      </c>
      <c r="N52" s="46">
        <f t="shared" si="5"/>
        <v>49</v>
      </c>
      <c r="O52" s="50">
        <f t="shared" si="1"/>
        <v>25.312560386473422</v>
      </c>
      <c r="P52" s="50">
        <f t="shared" si="2"/>
        <v>46.317345989205286</v>
      </c>
      <c r="Q52" s="50">
        <f t="shared" si="3"/>
        <v>45.608829891838745</v>
      </c>
    </row>
    <row r="53" spans="1:24" ht="15.75" thickBot="1">
      <c r="B53" s="46" t="str">
        <f t="shared" si="31"/>
        <v>Z</v>
      </c>
      <c r="C53" s="79"/>
      <c r="D53" s="46">
        <f t="shared" si="33"/>
        <v>-0.46684425070789692</v>
      </c>
      <c r="E53" s="46">
        <f t="shared" si="33"/>
        <v>0.25993235925694097</v>
      </c>
      <c r="F53" s="46">
        <f t="shared" si="33"/>
        <v>1.074896626441542</v>
      </c>
      <c r="J53" s="100"/>
      <c r="M53" s="46">
        <f t="shared" si="0"/>
        <v>23.169070171528119</v>
      </c>
      <c r="N53" s="46">
        <f t="shared" si="5"/>
        <v>50</v>
      </c>
      <c r="O53" s="50">
        <f t="shared" si="1"/>
        <v>23.061155028546324</v>
      </c>
      <c r="P53" s="50">
        <f t="shared" si="2"/>
        <v>46.230225200074443</v>
      </c>
      <c r="Q53" s="50">
        <f t="shared" si="3"/>
        <v>45.285152409046219</v>
      </c>
    </row>
    <row r="54" spans="1:24">
      <c r="B54" s="79" t="s">
        <v>14</v>
      </c>
      <c r="C54" s="79"/>
      <c r="D54" s="19">
        <f>I54/$H$55</f>
        <v>0.18824103892864683</v>
      </c>
      <c r="E54" s="20">
        <f>H54/$H$55</f>
        <v>1.0386384754884574</v>
      </c>
      <c r="F54" s="21">
        <f>G54/$H$55</f>
        <v>-0.4168851662950252</v>
      </c>
      <c r="G54" s="46">
        <f t="array" ref="G54:I54">LINEST(D$31:D$39,$G$31:$I$39,FALSE)</f>
        <v>-7.136012287583144</v>
      </c>
      <c r="H54" s="46">
        <v>17.778845405588381</v>
      </c>
      <c r="I54" s="46">
        <v>3.222207157813834</v>
      </c>
      <c r="J54" s="98">
        <f>H55</f>
        <v>17.117453113054793</v>
      </c>
      <c r="M54" s="46">
        <f t="shared" si="0"/>
        <v>25.333354740324381</v>
      </c>
      <c r="N54" s="46">
        <f t="shared" si="5"/>
        <v>51</v>
      </c>
      <c r="O54" s="50">
        <f t="shared" si="1"/>
        <v>20.809749670619226</v>
      </c>
      <c r="P54" s="50">
        <f t="shared" si="2"/>
        <v>46.143104410943607</v>
      </c>
      <c r="Q54" s="50">
        <f t="shared" si="3"/>
        <v>44.961474926253693</v>
      </c>
    </row>
    <row r="55" spans="1:24" ht="15" customHeight="1">
      <c r="B55" s="79"/>
      <c r="C55" s="79"/>
      <c r="D55" s="22">
        <f>I55/$H$55</f>
        <v>5.2967031715155308E-2</v>
      </c>
      <c r="E55" s="18">
        <f>H55/$H$55</f>
        <v>1</v>
      </c>
      <c r="F55" s="23">
        <f>G55/$H$55</f>
        <v>-0.14116532897622336</v>
      </c>
      <c r="G55" s="46">
        <f t="array" ref="G55:I55">LINEST(E$31:E$39,$G$31:$I$39,FALSE)</f>
        <v>-2.4163908999394588</v>
      </c>
      <c r="H55" s="46">
        <v>17.117453113054793</v>
      </c>
      <c r="I55" s="46">
        <v>0.90666068192185723</v>
      </c>
      <c r="J55" s="98"/>
      <c r="M55" s="46">
        <f t="shared" si="0"/>
        <v>27.497639309120636</v>
      </c>
      <c r="N55" s="46">
        <f t="shared" si="5"/>
        <v>52</v>
      </c>
      <c r="O55" s="50">
        <f t="shared" si="1"/>
        <v>18.558344312692128</v>
      </c>
      <c r="P55" s="50">
        <f t="shared" si="2"/>
        <v>46.055983621812764</v>
      </c>
      <c r="Q55" s="50">
        <f t="shared" si="3"/>
        <v>44.637797443461167</v>
      </c>
    </row>
    <row r="56" spans="1:24" ht="15" customHeight="1" thickBot="1">
      <c r="B56" s="79"/>
      <c r="C56" s="79"/>
      <c r="D56" s="24">
        <f>I56/$H$55</f>
        <v>-0.4136548918825218</v>
      </c>
      <c r="E56" s="25">
        <f>H56/$H$55</f>
        <v>0.31488862743801271</v>
      </c>
      <c r="F56" s="26">
        <f>G56/$H$55</f>
        <v>0.94047540159681531</v>
      </c>
      <c r="G56" s="46">
        <f t="array" ref="G56:I56">LINEST(F$31:F$39,$G$31:$I$39,FALSE)</f>
        <v>16.098543590814863</v>
      </c>
      <c r="H56" s="46">
        <v>5.3900913160043622</v>
      </c>
      <c r="I56" s="46">
        <v>-7.0807182167848168</v>
      </c>
      <c r="J56" s="98"/>
      <c r="M56" s="46">
        <f t="shared" si="0"/>
        <v>29.661923877916898</v>
      </c>
      <c r="N56" s="46">
        <f t="shared" si="5"/>
        <v>53</v>
      </c>
      <c r="O56" s="50">
        <f t="shared" si="1"/>
        <v>16.30693895476503</v>
      </c>
      <c r="P56" s="50">
        <f t="shared" si="2"/>
        <v>45.968862832681928</v>
      </c>
      <c r="Q56" s="50">
        <f t="shared" si="3"/>
        <v>44.314119960668634</v>
      </c>
    </row>
    <row r="57" spans="1:24">
      <c r="M57" s="46">
        <f t="shared" si="0"/>
        <v>31.826208446713153</v>
      </c>
      <c r="N57" s="46">
        <f t="shared" si="5"/>
        <v>54</v>
      </c>
      <c r="O57" s="50">
        <f t="shared" si="1"/>
        <v>14.055533596837932</v>
      </c>
      <c r="P57" s="50">
        <f t="shared" si="2"/>
        <v>45.881742043551085</v>
      </c>
      <c r="Q57" s="50">
        <f t="shared" si="3"/>
        <v>43.990442477876115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33.990493015509415</v>
      </c>
      <c r="N58" s="46">
        <f t="shared" si="5"/>
        <v>55</v>
      </c>
      <c r="O58" s="50">
        <f t="shared" si="1"/>
        <v>11.804128238910835</v>
      </c>
      <c r="P58" s="50">
        <f t="shared" si="2"/>
        <v>45.79462125442025</v>
      </c>
      <c r="Q58" s="50">
        <f t="shared" si="3"/>
        <v>43.666764995083582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36.15477758430567</v>
      </c>
      <c r="N59" s="46">
        <f t="shared" si="5"/>
        <v>56</v>
      </c>
      <c r="O59" s="50">
        <f t="shared" si="1"/>
        <v>9.5527228809837368</v>
      </c>
      <c r="P59" s="50">
        <f t="shared" si="2"/>
        <v>45.707500465289407</v>
      </c>
      <c r="Q59" s="50">
        <f t="shared" si="3"/>
        <v>43.343087512291056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499.3</v>
      </c>
      <c r="E60" s="32">
        <f t="shared" ref="E60:E68" si="37">getCCTfromXY(D22/SUM(D22:F22),E22/SUM(D22:F22))</f>
        <v>2785</v>
      </c>
      <c r="F60" s="31">
        <f t="shared" ref="F60:F68" si="38">V60</f>
        <v>499.35431585804059</v>
      </c>
      <c r="G60" s="32">
        <f t="shared" ref="G60:G68" si="39">getCCTfromXY(U60/X60,V60/X60)</f>
        <v>3026</v>
      </c>
      <c r="H60" s="33">
        <f>F60/D60-1</f>
        <v>1.0878401370040258E-4</v>
      </c>
      <c r="I60" s="34">
        <f t="shared" ref="I60:I68" si="40">G60/E60-1</f>
        <v>8.6535008976660777E-2</v>
      </c>
      <c r="M60" s="46">
        <f t="shared" si="0"/>
        <v>38.319062153101932</v>
      </c>
      <c r="N60" s="46">
        <f t="shared" si="5"/>
        <v>57</v>
      </c>
      <c r="O60" s="50">
        <f t="shared" si="1"/>
        <v>7.3013175230566389</v>
      </c>
      <c r="P60" s="50">
        <f t="shared" si="2"/>
        <v>45.620379676158571</v>
      </c>
      <c r="Q60" s="50">
        <f t="shared" si="3"/>
        <v>43.01941002949853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534.64191410669025</v>
      </c>
      <c r="V60" s="50">
        <f>$J$54*$J$31*($D$55*G22+$E$55*H22+$F$55*I22)</f>
        <v>499.35431585804059</v>
      </c>
      <c r="W60" s="50">
        <f>$J$54*$J$31*($D$56*G22+$E$56*H22+$F$56*I22)</f>
        <v>185.10881539137324</v>
      </c>
      <c r="X60" s="29">
        <f>SUM(U60:W60)</f>
        <v>1219.1050453561043</v>
      </c>
    </row>
    <row r="61" spans="1:24">
      <c r="A61" s="87"/>
      <c r="B61" s="48" t="str">
        <f t="shared" si="35"/>
        <v>CWF</v>
      </c>
      <c r="C61" s="93"/>
      <c r="D61" s="31">
        <f t="shared" si="36"/>
        <v>1196</v>
      </c>
      <c r="E61" s="32">
        <f t="shared" si="37"/>
        <v>3867</v>
      </c>
      <c r="F61" s="31">
        <f t="shared" si="38"/>
        <v>1228.174035127005</v>
      </c>
      <c r="G61" s="32">
        <f t="shared" si="39"/>
        <v>3776</v>
      </c>
      <c r="H61" s="33">
        <f t="shared" ref="H61:H68" si="41">F61/D61-1</f>
        <v>2.6901367163047585E-2</v>
      </c>
      <c r="I61" s="34">
        <f t="shared" si="40"/>
        <v>-2.3532454098784572E-2</v>
      </c>
      <c r="M61" s="46">
        <f t="shared" si="0"/>
        <v>40.483346721898187</v>
      </c>
      <c r="N61" s="46">
        <f t="shared" si="5"/>
        <v>58</v>
      </c>
      <c r="O61" s="50">
        <f t="shared" si="1"/>
        <v>5.0499121651295411</v>
      </c>
      <c r="P61" s="50">
        <f t="shared" si="2"/>
        <v>45.533258887027728</v>
      </c>
      <c r="Q61" s="50">
        <f t="shared" si="3"/>
        <v>42.695732546706004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1224.2360533258643</v>
      </c>
      <c r="V61" s="50">
        <f>$J$54*$J$31*($D$55*G23+$E$55*H23+$F$55*I23)</f>
        <v>1228.174035127005</v>
      </c>
      <c r="W61" s="50">
        <f>$J$54*$J$31*($D$56*G23+$E$56*H23+$F$56*I23)</f>
        <v>635.5251211212352</v>
      </c>
      <c r="X61" s="29">
        <f t="shared" ref="X61:X68" si="43">SUM(U61:W61)</f>
        <v>3087.9352095741046</v>
      </c>
    </row>
    <row r="62" spans="1:24">
      <c r="A62" s="87"/>
      <c r="B62" s="48" t="str">
        <f t="shared" si="35"/>
        <v>D65</v>
      </c>
      <c r="C62" s="93"/>
      <c r="D62" s="31">
        <f t="shared" si="36"/>
        <v>567.90000000000009</v>
      </c>
      <c r="E62" s="32">
        <f t="shared" si="37"/>
        <v>6341</v>
      </c>
      <c r="F62" s="31">
        <f t="shared" si="38"/>
        <v>575.88999486629928</v>
      </c>
      <c r="G62" s="32">
        <f t="shared" si="39"/>
        <v>5955</v>
      </c>
      <c r="H62" s="33">
        <f t="shared" si="41"/>
        <v>1.4069369371894958E-2</v>
      </c>
      <c r="I62" s="34">
        <f t="shared" si="40"/>
        <v>-6.087367923040532E-2</v>
      </c>
      <c r="M62" s="46">
        <f t="shared" si="0"/>
        <v>42.647631290694449</v>
      </c>
      <c r="N62" s="46">
        <f t="shared" si="5"/>
        <v>59</v>
      </c>
      <c r="O62" s="50">
        <f t="shared" si="1"/>
        <v>2.7985068072024433</v>
      </c>
      <c r="P62" s="50">
        <f t="shared" si="2"/>
        <v>45.446138097896892</v>
      </c>
      <c r="Q62" s="50">
        <f t="shared" si="3"/>
        <v>42.372055063913479</v>
      </c>
      <c r="R62" s="78"/>
      <c r="S62" s="46" t="str">
        <f t="shared" si="42"/>
        <v>D65</v>
      </c>
      <c r="T62" s="79"/>
      <c r="U62" s="50">
        <f>$J$54*$J$31*($D$54*G24+$E$54*H24+$F$54*I24)</f>
        <v>516.71843683882025</v>
      </c>
      <c r="V62" s="50">
        <f>$J$54*$J$31*($D$55*G24+$E$55*H24+$F$55*I24)</f>
        <v>575.88999486629928</v>
      </c>
      <c r="W62" s="50">
        <f>$J$54*$J$31*($D$56*G24+$E$56*H24+$F$56*I24)</f>
        <v>504.89892227882058</v>
      </c>
      <c r="X62" s="29">
        <f t="shared" si="43"/>
        <v>1597.50735398394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499.3</v>
      </c>
      <c r="E63" s="32">
        <f t="shared" si="37"/>
        <v>2785</v>
      </c>
      <c r="F63" s="31">
        <f t="shared" si="38"/>
        <v>509.16482246281504</v>
      </c>
      <c r="G63" s="32">
        <f t="shared" si="39"/>
        <v>3250</v>
      </c>
      <c r="H63" s="33">
        <f t="shared" si="41"/>
        <v>1.9757305152844129E-2</v>
      </c>
      <c r="I63" s="34">
        <f t="shared" si="40"/>
        <v>0.16696588868940765</v>
      </c>
      <c r="M63" s="46">
        <f t="shared" si="0"/>
        <v>44.811915859490703</v>
      </c>
      <c r="N63" s="46">
        <f t="shared" si="5"/>
        <v>60</v>
      </c>
      <c r="O63" s="50">
        <f t="shared" si="1"/>
        <v>0.54710144927534543</v>
      </c>
      <c r="P63" s="50">
        <f t="shared" si="2"/>
        <v>45.359017308766049</v>
      </c>
      <c r="Q63" s="50">
        <f t="shared" si="3"/>
        <v>42.048377581120945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535.05683485366376</v>
      </c>
      <c r="V63" s="50">
        <f>$J$54*$J$34*($D$55*G25+$E$55*H25+$F$55*I25)</f>
        <v>509.16482246281504</v>
      </c>
      <c r="W63" s="50">
        <f>$J$54*$J$34*($D$56*G25+$E$56*H25+$F$56*I25)</f>
        <v>221.11114559777971</v>
      </c>
      <c r="X63" s="29">
        <f t="shared" si="43"/>
        <v>1265.3328029142585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1196</v>
      </c>
      <c r="E64" s="32">
        <f t="shared" si="37"/>
        <v>3867</v>
      </c>
      <c r="F64" s="31">
        <f t="shared" si="38"/>
        <v>1211.9124816708659</v>
      </c>
      <c r="G64" s="32">
        <f t="shared" si="39"/>
        <v>3846</v>
      </c>
      <c r="H64" s="33">
        <f t="shared" si="41"/>
        <v>1.3304750560924727E-2</v>
      </c>
      <c r="I64" s="34">
        <f t="shared" si="40"/>
        <v>-5.430566330488773E-3</v>
      </c>
      <c r="M64" s="46">
        <f t="shared" si="0"/>
        <v>46.976200428286965</v>
      </c>
      <c r="N64" s="46">
        <f t="shared" si="5"/>
        <v>61</v>
      </c>
      <c r="O64" s="50">
        <f t="shared" si="1"/>
        <v>-1.7043039086517524</v>
      </c>
      <c r="P64" s="50">
        <f t="shared" si="2"/>
        <v>45.271896519635213</v>
      </c>
      <c r="Q64" s="50">
        <f t="shared" si="3"/>
        <v>41.724700098328427</v>
      </c>
      <c r="R64" s="78"/>
      <c r="S64" s="46" t="str">
        <f t="shared" si="42"/>
        <v>CWF</v>
      </c>
      <c r="T64" s="79"/>
      <c r="U64" s="50">
        <f>$J$54*$J$34*($D$54*G26+$E$54*H26+$F$54*I26)</f>
        <v>1202.8581803075383</v>
      </c>
      <c r="V64" s="50">
        <f>$J$54*$J$34*($D$55*G26+$E$55*H26+$F$55*I26)</f>
        <v>1211.9124816708659</v>
      </c>
      <c r="W64" s="50">
        <f>$J$54*$J$34*($D$56*G26+$E$56*H26+$F$56*I26)</f>
        <v>646.41026762957756</v>
      </c>
      <c r="X64" s="29">
        <f t="shared" si="43"/>
        <v>3061.1809296079814</v>
      </c>
    </row>
    <row r="65" spans="1:24">
      <c r="A65" s="87"/>
      <c r="B65" s="48" t="str">
        <f t="shared" si="35"/>
        <v>D65</v>
      </c>
      <c r="C65" s="93"/>
      <c r="D65" s="31">
        <f t="shared" si="36"/>
        <v>567.90000000000009</v>
      </c>
      <c r="E65" s="32">
        <f t="shared" si="37"/>
        <v>6341</v>
      </c>
      <c r="F65" s="31">
        <f t="shared" si="38"/>
        <v>585.1342954525494</v>
      </c>
      <c r="G65" s="32">
        <f t="shared" si="39"/>
        <v>5961</v>
      </c>
      <c r="H65" s="33">
        <f t="shared" si="41"/>
        <v>3.0347412312994093E-2</v>
      </c>
      <c r="I65" s="34">
        <f t="shared" si="40"/>
        <v>-5.9927456237186538E-2</v>
      </c>
      <c r="M65" s="46">
        <f t="shared" si="0"/>
        <v>49.14048499708322</v>
      </c>
      <c r="N65" s="46">
        <f t="shared" si="5"/>
        <v>62</v>
      </c>
      <c r="O65" s="50">
        <f t="shared" si="1"/>
        <v>-3.9557092665788502</v>
      </c>
      <c r="P65" s="50">
        <f t="shared" si="2"/>
        <v>45.18477573050437</v>
      </c>
      <c r="Q65" s="50">
        <f t="shared" si="3"/>
        <v>41.401022615535894</v>
      </c>
      <c r="R65" s="78"/>
      <c r="S65" s="46" t="str">
        <f t="shared" si="42"/>
        <v>D65</v>
      </c>
      <c r="T65" s="79"/>
      <c r="U65" s="50">
        <f>$J$54*$J$34*($D$54*G27+$E$54*H27+$F$54*I27)</f>
        <v>524.90287827520945</v>
      </c>
      <c r="V65" s="50">
        <f>$J$54*$J$34*($D$55*G27+$E$55*H27+$F$55*I27)</f>
        <v>585.1342954525494</v>
      </c>
      <c r="W65" s="50">
        <f>$J$54*$J$34*($D$56*G27+$E$56*H27+$F$56*I27)</f>
        <v>513.50997825173431</v>
      </c>
      <c r="X65" s="29">
        <f t="shared" si="43"/>
        <v>1623.547151979493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499.3</v>
      </c>
      <c r="E66" s="32">
        <f t="shared" si="37"/>
        <v>2785</v>
      </c>
      <c r="F66" s="31">
        <f t="shared" si="38"/>
        <v>490.73646263691023</v>
      </c>
      <c r="G66" s="32">
        <f t="shared" si="39"/>
        <v>2357</v>
      </c>
      <c r="H66" s="33">
        <f t="shared" si="41"/>
        <v>-1.7151086246925296E-2</v>
      </c>
      <c r="I66" s="34">
        <f t="shared" si="40"/>
        <v>-0.15368043087971273</v>
      </c>
      <c r="M66" s="46">
        <f t="shared" si="0"/>
        <v>51.304769565879482</v>
      </c>
      <c r="N66" s="46">
        <f t="shared" si="5"/>
        <v>63</v>
      </c>
      <c r="O66" s="50">
        <f t="shared" si="1"/>
        <v>-6.2071146245059481</v>
      </c>
      <c r="P66" s="50">
        <f t="shared" si="2"/>
        <v>45.097654941373534</v>
      </c>
      <c r="Q66" s="50">
        <f t="shared" si="3"/>
        <v>41.077345132743368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564.36719032558221</v>
      </c>
      <c r="V66" s="50">
        <f>$J$54*$J$37*($D$55*G28+$E$55*H28+$F$55*I28)</f>
        <v>490.73646263691023</v>
      </c>
      <c r="W66" s="50">
        <f>$J$54*$J$37*($D$56*G28+$E$56*H28+$F$56*I28)</f>
        <v>57.223022459894111</v>
      </c>
      <c r="X66" s="29">
        <f t="shared" si="43"/>
        <v>1112.3266754223866</v>
      </c>
    </row>
    <row r="67" spans="1:24">
      <c r="A67" s="87"/>
      <c r="B67" s="48" t="str">
        <f t="shared" si="35"/>
        <v>CWF</v>
      </c>
      <c r="C67" s="93"/>
      <c r="D67" s="31">
        <f t="shared" si="36"/>
        <v>1196</v>
      </c>
      <c r="E67" s="32">
        <f t="shared" si="37"/>
        <v>3867</v>
      </c>
      <c r="F67" s="31">
        <f t="shared" si="38"/>
        <v>1134.974343135651</v>
      </c>
      <c r="G67" s="32">
        <f t="shared" si="39"/>
        <v>4124</v>
      </c>
      <c r="H67" s="33">
        <f t="shared" si="41"/>
        <v>-5.1024796709321918E-2</v>
      </c>
      <c r="I67" s="34">
        <f t="shared" si="40"/>
        <v>6.645978794931473E-2</v>
      </c>
      <c r="R67" s="78"/>
      <c r="S67" s="46" t="str">
        <f t="shared" si="42"/>
        <v>CWF</v>
      </c>
      <c r="T67" s="79"/>
      <c r="U67" s="50">
        <f>$J$54*$J$37*($D$54*G29+$E$54*H29+$F$54*I29)</f>
        <v>1107.9176236704654</v>
      </c>
      <c r="V67" s="50">
        <f>$J$54*$J$37*($D$55*G29+$E$55*H29+$F$55*I29)</f>
        <v>1134.974343135651</v>
      </c>
      <c r="W67" s="50">
        <f>$J$54*$J$37*($D$56*G29+$E$56*H29+$F$56*I29)</f>
        <v>670.89666772628459</v>
      </c>
      <c r="X67" s="29">
        <f t="shared" si="43"/>
        <v>2913.7886345324009</v>
      </c>
    </row>
    <row r="68" spans="1:24">
      <c r="A68" s="87"/>
      <c r="B68" s="48" t="str">
        <f t="shared" si="35"/>
        <v>D65</v>
      </c>
      <c r="C68" s="93"/>
      <c r="D68" s="31">
        <f t="shared" si="36"/>
        <v>567.90000000000009</v>
      </c>
      <c r="E68" s="32">
        <f t="shared" si="37"/>
        <v>6341</v>
      </c>
      <c r="F68" s="31">
        <f t="shared" si="38"/>
        <v>558.82646094546283</v>
      </c>
      <c r="G68" s="32">
        <f t="shared" si="39"/>
        <v>5850</v>
      </c>
      <c r="H68" s="33">
        <f t="shared" si="41"/>
        <v>-1.5977353503323188E-2</v>
      </c>
      <c r="I68" s="34">
        <f t="shared" si="40"/>
        <v>-7.7432581611733164E-2</v>
      </c>
      <c r="R68" s="78"/>
      <c r="S68" s="46" t="str">
        <f t="shared" si="42"/>
        <v>D65</v>
      </c>
      <c r="T68" s="79"/>
      <c r="U68" s="50">
        <f>$J$54*$J$37*($D$54*G30+$E$54*H30+$F$54*I30)</f>
        <v>503.31865099971583</v>
      </c>
      <c r="V68" s="50">
        <f>$J$54*$J$37*($D$55*G30+$E$55*H30+$F$55*I30)</f>
        <v>558.82646094546283</v>
      </c>
      <c r="W68" s="50">
        <f>$J$54*$J$37*($D$56*G30+$E$56*H30+$F$56*I30)</f>
        <v>482.37592557147133</v>
      </c>
      <c r="X68" s="29">
        <f t="shared" si="43"/>
        <v>1544.5210375166498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5.1024796709321918E-2</v>
      </c>
      <c r="G69" s="47"/>
      <c r="H69" s="36" t="str">
        <f>I59</f>
        <v>CCT</v>
      </c>
      <c r="I69" s="38">
        <f>MAX(MAX(I60:I68,-MIN(I60:I68)))</f>
        <v>0.16696588868940765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499.3</v>
      </c>
      <c r="E72" s="31">
        <f t="shared" ref="E72:E80" si="47">E60</f>
        <v>2785</v>
      </c>
      <c r="F72" s="31">
        <f t="shared" ref="F72:F80" si="48">V72</f>
        <v>499.41633432787125</v>
      </c>
      <c r="G72" s="32">
        <f t="shared" ref="G72:G80" si="49">getCCTfromXY(U72/X72,V72/X72)</f>
        <v>2950</v>
      </c>
      <c r="H72" s="33">
        <f>F72/D72-1</f>
        <v>2.3299484853045449E-4</v>
      </c>
      <c r="I72" s="34">
        <f t="shared" ref="I72:I80" si="50">G72/E72-1</f>
        <v>5.9245960502692929E-2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538.4711588786015</v>
      </c>
      <c r="V72" s="50">
        <f>$J$51*$J$31*($D$52*G22+$E$52*H22+$F$52*I22)</f>
        <v>499.41633432787125</v>
      </c>
      <c r="W72" s="50">
        <f>$J$51*$J$31*($D$53*G22+$E$53*H22+$F$53*I22)</f>
        <v>173.76929392856644</v>
      </c>
      <c r="X72" s="29">
        <f>SUM(U72:W72)</f>
        <v>1211.6567871350392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1196</v>
      </c>
      <c r="E73" s="31">
        <f t="shared" si="47"/>
        <v>3867</v>
      </c>
      <c r="F73" s="31">
        <f t="shared" si="48"/>
        <v>1241.1228769265904</v>
      </c>
      <c r="G73" s="32">
        <f t="shared" si="49"/>
        <v>3704</v>
      </c>
      <c r="H73" s="33">
        <f t="shared" ref="H73:H80" si="52">F73/D73-1</f>
        <v>3.7728157965376541E-2</v>
      </c>
      <c r="I73" s="34">
        <f t="shared" si="50"/>
        <v>-4.2151538660460286E-2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1243.0051185156967</v>
      </c>
      <c r="V73" s="50">
        <f t="shared" ref="V73:V74" si="55">$J$51*$J$31*($D$52*G23+$E$52*H23+$F$52*I23)</f>
        <v>1241.1228769265904</v>
      </c>
      <c r="W73" s="50">
        <f t="shared" ref="W73:W74" si="56">$J$51*$J$31*($D$53*G23+$E$53*H23+$F$53*I23)</f>
        <v>622.19048452153129</v>
      </c>
      <c r="X73" s="29">
        <f t="shared" ref="X73:X80" si="57">SUM(U73:W73)</f>
        <v>3106.3184799638184</v>
      </c>
    </row>
    <row r="74" spans="1:24">
      <c r="A74" s="87"/>
      <c r="B74" s="48" t="str">
        <f t="shared" si="46"/>
        <v>X</v>
      </c>
      <c r="C74" s="93"/>
      <c r="D74" s="31">
        <f t="shared" si="51"/>
        <v>567.90000000000009</v>
      </c>
      <c r="E74" s="31">
        <f t="shared" si="47"/>
        <v>6341</v>
      </c>
      <c r="F74" s="31">
        <f t="shared" si="48"/>
        <v>572.41304724353301</v>
      </c>
      <c r="G74" s="32">
        <f t="shared" si="49"/>
        <v>6402</v>
      </c>
      <c r="H74" s="33">
        <f t="shared" si="52"/>
        <v>7.94690481340532E-3</v>
      </c>
      <c r="I74" s="34">
        <f t="shared" si="50"/>
        <v>9.6199337643905203E-3</v>
      </c>
      <c r="R74" s="78"/>
      <c r="S74" s="46" t="str">
        <f t="shared" si="53"/>
        <v>D65</v>
      </c>
      <c r="T74" s="79"/>
      <c r="U74" s="50">
        <f t="shared" si="54"/>
        <v>504.7466134824092</v>
      </c>
      <c r="V74" s="50">
        <f t="shared" si="55"/>
        <v>572.41304724353301</v>
      </c>
      <c r="W74" s="50">
        <f t="shared" si="56"/>
        <v>531.43594707067086</v>
      </c>
      <c r="X74" s="29">
        <f t="shared" si="57"/>
        <v>1608.595607796613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499.3</v>
      </c>
      <c r="E75" s="31">
        <f t="shared" si="47"/>
        <v>2785</v>
      </c>
      <c r="F75" s="31">
        <f t="shared" si="48"/>
        <v>508.31491939926639</v>
      </c>
      <c r="G75" s="32">
        <f t="shared" si="49"/>
        <v>3199</v>
      </c>
      <c r="H75" s="33">
        <f t="shared" si="52"/>
        <v>1.8055115960877943E-2</v>
      </c>
      <c r="I75" s="34">
        <f t="shared" si="50"/>
        <v>0.14865350089766616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536.46652017523513</v>
      </c>
      <c r="V75" s="50">
        <f>$J$51*$J$34*($D$52*G25+$E$52*H25+$F$52*I25)</f>
        <v>508.31491939926639</v>
      </c>
      <c r="W75" s="50">
        <f>$J$51*$J$34*($D$53*G25+$E$53*H25+$F$53*I25)</f>
        <v>214.29291566286466</v>
      </c>
      <c r="X75" s="29">
        <f t="shared" si="57"/>
        <v>1259.0743552373663</v>
      </c>
    </row>
    <row r="76" spans="1:24">
      <c r="A76" s="87"/>
      <c r="B76" s="48" t="str">
        <f t="shared" si="46"/>
        <v>Z</v>
      </c>
      <c r="C76" s="93"/>
      <c r="D76" s="31">
        <f t="shared" si="51"/>
        <v>1196</v>
      </c>
      <c r="E76" s="31">
        <f t="shared" si="47"/>
        <v>3867</v>
      </c>
      <c r="F76" s="31">
        <f t="shared" si="48"/>
        <v>1223.7066115974214</v>
      </c>
      <c r="G76" s="32">
        <f t="shared" si="49"/>
        <v>3785</v>
      </c>
      <c r="H76" s="33">
        <f t="shared" si="52"/>
        <v>2.3166063208546417E-2</v>
      </c>
      <c r="I76" s="34">
        <f t="shared" si="50"/>
        <v>-2.1205068528575177E-2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1219.3207378627576</v>
      </c>
      <c r="V76" s="50">
        <f t="shared" ref="V76:V77" si="59">$J$51*$J$34*($D$52*G26+$E$52*H26+$F$52*I26)</f>
        <v>1223.7066115974214</v>
      </c>
      <c r="W76" s="50">
        <f t="shared" ref="W76:W77" si="60">$J$51*$J$34*($D$53*G26+$E$53*H26+$F$53*I26)</f>
        <v>636.37222130076964</v>
      </c>
      <c r="X76" s="29">
        <f t="shared" si="57"/>
        <v>3079.3995707609483</v>
      </c>
    </row>
    <row r="77" spans="1:24">
      <c r="A77" s="87"/>
      <c r="B77" s="48" t="str">
        <f t="shared" si="46"/>
        <v>X</v>
      </c>
      <c r="C77" s="93"/>
      <c r="D77" s="31">
        <f t="shared" si="51"/>
        <v>567.90000000000009</v>
      </c>
      <c r="E77" s="31">
        <f t="shared" si="47"/>
        <v>6341</v>
      </c>
      <c r="F77" s="31">
        <f t="shared" si="48"/>
        <v>581.56250543547981</v>
      </c>
      <c r="G77" s="32">
        <f t="shared" si="49"/>
        <v>6411</v>
      </c>
      <c r="H77" s="33">
        <f t="shared" si="52"/>
        <v>2.4057942305828028E-2</v>
      </c>
      <c r="I77" s="34">
        <f t="shared" si="50"/>
        <v>1.1039268254218637E-2</v>
      </c>
      <c r="R77" s="78"/>
      <c r="S77" s="46" t="str">
        <f t="shared" si="53"/>
        <v>D65</v>
      </c>
      <c r="T77" s="79"/>
      <c r="U77" s="50">
        <f t="shared" si="58"/>
        <v>512.66768693226925</v>
      </c>
      <c r="V77" s="50">
        <f t="shared" si="59"/>
        <v>581.56250543547981</v>
      </c>
      <c r="W77" s="50">
        <f t="shared" si="60"/>
        <v>540.56361413391426</v>
      </c>
      <c r="X77" s="29">
        <f t="shared" si="57"/>
        <v>1634.7938065016633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499.3</v>
      </c>
      <c r="E78" s="31">
        <f t="shared" si="47"/>
        <v>2785</v>
      </c>
      <c r="F78" s="31">
        <f t="shared" si="48"/>
        <v>494.27189573030824</v>
      </c>
      <c r="G78" s="32">
        <f t="shared" si="49"/>
        <v>2238</v>
      </c>
      <c r="H78" s="33">
        <f t="shared" si="52"/>
        <v>-1.0070306969140352E-2</v>
      </c>
      <c r="I78" s="34">
        <f t="shared" si="50"/>
        <v>-0.1964093357271095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577.68523829526782</v>
      </c>
      <c r="V78" s="50">
        <f>$J$51*$J$37*($D$52*G28+$E$52*H28+$F$52*I28)</f>
        <v>494.27189573030824</v>
      </c>
      <c r="W78" s="50">
        <f>$J$51*$J$37*($D$53*G28+$E$53*H28+$F$53*I28)</f>
        <v>27.831107203127726</v>
      </c>
      <c r="X78" s="29">
        <f t="shared" si="57"/>
        <v>1099.7882412287038</v>
      </c>
    </row>
    <row r="79" spans="1:24">
      <c r="A79" s="87"/>
      <c r="B79" s="48" t="str">
        <f t="shared" si="46"/>
        <v>Z</v>
      </c>
      <c r="C79" s="93"/>
      <c r="D79" s="31">
        <f t="shared" si="51"/>
        <v>1196</v>
      </c>
      <c r="E79" s="31">
        <f t="shared" si="47"/>
        <v>3867</v>
      </c>
      <c r="F79" s="31">
        <f t="shared" si="48"/>
        <v>1143.2147076928984</v>
      </c>
      <c r="G79" s="32">
        <f t="shared" si="49"/>
        <v>4107</v>
      </c>
      <c r="H79" s="33">
        <f t="shared" si="52"/>
        <v>-4.4134859788546477E-2</v>
      </c>
      <c r="I79" s="34">
        <f t="shared" si="50"/>
        <v>6.2063615205585787E-2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1117.0411845869978</v>
      </c>
      <c r="V79" s="50">
        <f t="shared" ref="V79:V80" si="62">$J$51*$J$37*($D$52*G29+$E$52*H29+$F$52*I29)</f>
        <v>1143.2147076928984</v>
      </c>
      <c r="W79" s="50">
        <f t="shared" ref="W79:W80" si="63">$J$51*$J$37*($D$53*G29+$E$53*H29+$F$53*I29)</f>
        <v>671.73476063306418</v>
      </c>
      <c r="X79" s="29">
        <f t="shared" si="57"/>
        <v>2931.9906529129603</v>
      </c>
    </row>
    <row r="80" spans="1:24">
      <c r="A80" s="87"/>
      <c r="B80" s="48" t="str">
        <f t="shared" si="46"/>
        <v>X</v>
      </c>
      <c r="C80" s="93"/>
      <c r="D80" s="31">
        <f t="shared" si="51"/>
        <v>567.90000000000009</v>
      </c>
      <c r="E80" s="31">
        <f t="shared" si="47"/>
        <v>6341</v>
      </c>
      <c r="F80" s="31">
        <f t="shared" si="48"/>
        <v>555.8972887343773</v>
      </c>
      <c r="G80" s="32">
        <f t="shared" si="49"/>
        <v>6260</v>
      </c>
      <c r="H80" s="33">
        <f t="shared" si="52"/>
        <v>-2.1135254913933421E-2</v>
      </c>
      <c r="I80" s="34">
        <f t="shared" si="50"/>
        <v>-1.277401040845294E-2</v>
      </c>
      <c r="R80" s="78"/>
      <c r="S80" s="46" t="str">
        <f t="shared" si="53"/>
        <v>D65</v>
      </c>
      <c r="T80" s="79"/>
      <c r="U80" s="50">
        <f t="shared" si="61"/>
        <v>492.58528487349918</v>
      </c>
      <c r="V80" s="50">
        <f t="shared" si="62"/>
        <v>555.8972887343773</v>
      </c>
      <c r="W80" s="50">
        <f t="shared" si="63"/>
        <v>506.86458434750898</v>
      </c>
      <c r="X80" s="29">
        <f t="shared" si="57"/>
        <v>1555.3471579553855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4.4134859788546477E-2</v>
      </c>
      <c r="G81" s="47"/>
      <c r="H81" s="36" t="str">
        <f>I71</f>
        <v>CCT</v>
      </c>
      <c r="I81" s="38">
        <f>MAX(MAX(I72:I80,-MIN(I72:I80)))</f>
        <v>0.1964093357271095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499.3</v>
      </c>
      <c r="E84" s="31">
        <f t="shared" ref="E84:E92" si="67">E72</f>
        <v>2785</v>
      </c>
      <c r="F84" s="31">
        <f t="shared" ref="F84:F92" si="68">V84</f>
        <v>499.30000000000013</v>
      </c>
      <c r="G84" s="32">
        <f t="shared" ref="G84:G92" si="69">getCCTfromXY(U84/X84,V84/X84)</f>
        <v>2785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546.80000000000007</v>
      </c>
      <c r="V84" s="50">
        <f>$J$42*$J$31*($D$43*G22+$E$43*H22+$F$43*I22)</f>
        <v>499.30000000000013</v>
      </c>
      <c r="W84" s="50">
        <f>$J$42*$J$31*($D$44*G22+$E$44*H22+$F$44*I22)</f>
        <v>145.95000000000022</v>
      </c>
      <c r="X84" s="29">
        <f>SUM(U84:W84)</f>
        <v>1192.0500000000004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1196</v>
      </c>
      <c r="E85" s="31">
        <f t="shared" si="67"/>
        <v>3867</v>
      </c>
      <c r="F85" s="31">
        <f t="shared" si="68"/>
        <v>1196.0000000000002</v>
      </c>
      <c r="G85" s="32">
        <f t="shared" si="69"/>
        <v>3867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1185.5000000000002</v>
      </c>
      <c r="V85" s="50">
        <f t="shared" ref="V85:V86" si="75">$J$42*$J$31*($D$43*G23+$E$43*H23+$F$43*I23)</f>
        <v>1196.0000000000002</v>
      </c>
      <c r="W85" s="50">
        <f t="shared" ref="W85:W86" si="76">$J$42*$J$31*($D$44*G23+$E$44*H23+$F$44*I23)</f>
        <v>643.49999999999989</v>
      </c>
      <c r="X85" s="29">
        <f t="shared" ref="X85:X92" si="77">SUM(U85:W85)</f>
        <v>3025.0000000000005</v>
      </c>
    </row>
    <row r="86" spans="1:24">
      <c r="A86" s="87"/>
      <c r="B86" s="48">
        <f t="shared" si="66"/>
        <v>0</v>
      </c>
      <c r="C86" s="93"/>
      <c r="D86" s="31">
        <f t="shared" si="71"/>
        <v>567.90000000000009</v>
      </c>
      <c r="E86" s="31">
        <f t="shared" si="67"/>
        <v>6341</v>
      </c>
      <c r="F86" s="31">
        <f t="shared" si="68"/>
        <v>567.9000000000002</v>
      </c>
      <c r="G86" s="32">
        <f t="shared" si="69"/>
        <v>6341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501.85000000000008</v>
      </c>
      <c r="V86" s="50">
        <f t="shared" si="75"/>
        <v>567.9000000000002</v>
      </c>
      <c r="W86" s="50">
        <f t="shared" si="76"/>
        <v>523.25000000000011</v>
      </c>
      <c r="X86" s="29">
        <f t="shared" si="77"/>
        <v>1593.0000000000005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499.3</v>
      </c>
      <c r="E87" s="31">
        <f t="shared" si="67"/>
        <v>2785</v>
      </c>
      <c r="F87" s="31">
        <f t="shared" si="68"/>
        <v>499.29999999999939</v>
      </c>
      <c r="G87" s="32">
        <f t="shared" si="69"/>
        <v>2785</v>
      </c>
      <c r="H87" s="33">
        <f t="shared" si="72"/>
        <v>-1.2212453270876722E-15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546.7999999999995</v>
      </c>
      <c r="V87" s="50">
        <f>$J$45*$J$34*($D$46*G25+$E$46*H25+$F$46*I25)</f>
        <v>499.29999999999939</v>
      </c>
      <c r="W87" s="50">
        <f>$J$45*$J$34*($D$47*G25+$E$47*H25+$F$47*I25)</f>
        <v>145.94999999999987</v>
      </c>
      <c r="X87" s="29">
        <f t="shared" si="77"/>
        <v>1192.0499999999988</v>
      </c>
    </row>
    <row r="88" spans="1:24">
      <c r="A88" s="87"/>
      <c r="B88" s="48">
        <f t="shared" si="66"/>
        <v>0</v>
      </c>
      <c r="C88" s="93"/>
      <c r="D88" s="31">
        <f t="shared" si="71"/>
        <v>1196</v>
      </c>
      <c r="E88" s="31">
        <f t="shared" si="67"/>
        <v>3867</v>
      </c>
      <c r="F88" s="31">
        <f t="shared" si="68"/>
        <v>1196</v>
      </c>
      <c r="G88" s="32">
        <f t="shared" si="69"/>
        <v>3867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1185.5000000000002</v>
      </c>
      <c r="V88" s="50">
        <f t="shared" ref="V88:V89" si="79">$J$45*$J$34*($D$46*G26+$E$46*H26+$F$46*I26)</f>
        <v>1196</v>
      </c>
      <c r="W88" s="50">
        <f t="shared" ref="W88:W89" si="80">$J$45*$J$34*($D$47*G26+$E$47*H26+$F$47*I26)</f>
        <v>643.50000000000011</v>
      </c>
      <c r="X88" s="29">
        <f t="shared" si="77"/>
        <v>3025</v>
      </c>
    </row>
    <row r="89" spans="1:24">
      <c r="A89" s="87"/>
      <c r="B89" s="48" t="str">
        <f t="shared" si="66"/>
        <v>A</v>
      </c>
      <c r="C89" s="93"/>
      <c r="D89" s="31">
        <f t="shared" si="71"/>
        <v>567.90000000000009</v>
      </c>
      <c r="E89" s="31">
        <f t="shared" si="67"/>
        <v>6341</v>
      </c>
      <c r="F89" s="31">
        <f t="shared" si="68"/>
        <v>567.90000000000009</v>
      </c>
      <c r="G89" s="32">
        <f t="shared" si="69"/>
        <v>6341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501.85000000000019</v>
      </c>
      <c r="V89" s="50">
        <f t="shared" si="79"/>
        <v>567.90000000000009</v>
      </c>
      <c r="W89" s="50">
        <f t="shared" si="80"/>
        <v>523.25</v>
      </c>
      <c r="X89" s="29">
        <f t="shared" si="77"/>
        <v>1593.0000000000002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499.3</v>
      </c>
      <c r="E90" s="31">
        <f t="shared" si="67"/>
        <v>2785</v>
      </c>
      <c r="F90" s="31">
        <f t="shared" si="68"/>
        <v>499.30000000000007</v>
      </c>
      <c r="G90" s="32">
        <f t="shared" si="69"/>
        <v>2785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546.8000000000003</v>
      </c>
      <c r="V90" s="50">
        <f>$J$48*$J$37*($D$49*G28+$E$49*H28+$F$49*I28)</f>
        <v>499.30000000000007</v>
      </c>
      <c r="W90" s="50">
        <f>$J$48*$J$37*($D$50*G28+$E$50*H28+$F$50*I28)</f>
        <v>145.95000000000041</v>
      </c>
      <c r="X90" s="29">
        <f t="shared" si="77"/>
        <v>1192.0500000000009</v>
      </c>
    </row>
    <row r="91" spans="1:24">
      <c r="A91" s="87"/>
      <c r="B91" s="48" t="str">
        <f t="shared" si="66"/>
        <v>D65</v>
      </c>
      <c r="C91" s="93"/>
      <c r="D91" s="31">
        <f t="shared" si="71"/>
        <v>1196</v>
      </c>
      <c r="E91" s="31">
        <f t="shared" si="67"/>
        <v>3867</v>
      </c>
      <c r="F91" s="31">
        <f t="shared" si="68"/>
        <v>1196.0000000000002</v>
      </c>
      <c r="G91" s="32">
        <f t="shared" si="69"/>
        <v>3867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1185.5</v>
      </c>
      <c r="V91" s="50">
        <f t="shared" ref="V91:V92" si="82">$J$48*$J$37*($D$49*G29+$E$49*H29+$F$49*I29)</f>
        <v>1196.0000000000002</v>
      </c>
      <c r="W91" s="50">
        <f t="shared" ref="W91:W92" si="83">$J$48*$J$37*($D$50*G29+$E$50*H29+$F$50*I29)</f>
        <v>643.5</v>
      </c>
      <c r="X91" s="29">
        <f t="shared" si="77"/>
        <v>3025</v>
      </c>
    </row>
    <row r="92" spans="1:24">
      <c r="A92" s="87"/>
      <c r="B92" s="48" t="str">
        <f t="shared" si="66"/>
        <v>A</v>
      </c>
      <c r="C92" s="93"/>
      <c r="D92" s="31">
        <f t="shared" si="71"/>
        <v>567.90000000000009</v>
      </c>
      <c r="E92" s="31">
        <f t="shared" si="67"/>
        <v>6341</v>
      </c>
      <c r="F92" s="31">
        <f t="shared" si="68"/>
        <v>567.9000000000002</v>
      </c>
      <c r="G92" s="32">
        <f t="shared" si="69"/>
        <v>6341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501.84999999999997</v>
      </c>
      <c r="V92" s="50">
        <f t="shared" si="82"/>
        <v>567.9000000000002</v>
      </c>
      <c r="W92" s="50">
        <f t="shared" si="83"/>
        <v>523.25000000000011</v>
      </c>
      <c r="X92" s="29">
        <f t="shared" si="77"/>
        <v>1593.0000000000005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1.2212453270876722E-15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6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2.4798231250369227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82.394359493098989</v>
      </c>
      <c r="N3" s="46">
        <v>0</v>
      </c>
      <c r="O3" s="50">
        <f>G$5-N3*G$7</f>
        <v>130.49197494230134</v>
      </c>
      <c r="P3" s="50">
        <f>H$5-N3*H$7</f>
        <v>48.097615449202344</v>
      </c>
      <c r="Q3" s="50">
        <f>I$5-N3*I$7</f>
        <v>59.160883095531666</v>
      </c>
    </row>
    <row r="4" spans="1:17">
      <c r="C4" s="46" t="s">
        <v>20</v>
      </c>
      <c r="D4" s="7">
        <v>505.5</v>
      </c>
      <c r="E4" s="7">
        <v>1191</v>
      </c>
      <c r="F4" s="7">
        <v>567.70000000000005</v>
      </c>
      <c r="G4" s="50">
        <f>AVERAGE(D4:F4)</f>
        <v>754.73333333333323</v>
      </c>
      <c r="H4" s="50">
        <f>G4</f>
        <v>754.73333333333323</v>
      </c>
      <c r="I4" s="50">
        <f>H4</f>
        <v>754.73333333333323</v>
      </c>
      <c r="K4" s="13" t="str">
        <f>linefmt("Compensation",B12)</f>
        <v>"Compensation",40,</v>
      </c>
      <c r="M4" s="46">
        <f t="shared" si="0"/>
        <v>80.336316665573179</v>
      </c>
      <c r="N4" s="46">
        <f>N3+1</f>
        <v>1</v>
      </c>
      <c r="O4" s="50">
        <f t="shared" ref="O4:O66" si="1">G$5-N4*G$7</f>
        <v>128.33535699893761</v>
      </c>
      <c r="P4" s="50">
        <f t="shared" ref="P4:P66" si="2">H$5-N4*H$7</f>
        <v>47.999040333364427</v>
      </c>
      <c r="Q4" s="50">
        <f t="shared" ref="Q4:Q66" si="3">I$5-N4*I$7</f>
        <v>58.847721866661438</v>
      </c>
    </row>
    <row r="5" spans="1:17">
      <c r="C5" s="46">
        <v>0</v>
      </c>
      <c r="D5" s="9">
        <v>87.4</v>
      </c>
      <c r="E5" s="9">
        <v>75.900000000000006</v>
      </c>
      <c r="F5" s="9">
        <v>44.5</v>
      </c>
      <c r="G5" s="50">
        <f>G$4/D$4*D5</f>
        <v>130.49197494230134</v>
      </c>
      <c r="H5" s="50">
        <f t="shared" ref="H5:I6" si="4">H$4/E$4*E5</f>
        <v>48.097615449202344</v>
      </c>
      <c r="I5" s="50">
        <f t="shared" si="4"/>
        <v>59.160883095531666</v>
      </c>
      <c r="K5" s="14" t="str">
        <f>linefmt("CardGain",J54)</f>
        <v>"CardGain",15.08986,</v>
      </c>
      <c r="M5" s="46">
        <f t="shared" si="0"/>
        <v>78.278273838047355</v>
      </c>
      <c r="N5" s="46">
        <f t="shared" ref="N5:N66" si="5">N4+1</f>
        <v>2</v>
      </c>
      <c r="O5" s="50">
        <f t="shared" si="1"/>
        <v>126.17873905557386</v>
      </c>
      <c r="P5" s="50">
        <f t="shared" si="2"/>
        <v>47.900465217526502</v>
      </c>
      <c r="Q5" s="50">
        <f t="shared" si="3"/>
        <v>58.534560637791209</v>
      </c>
    </row>
    <row r="6" spans="1:17">
      <c r="B6" s="50">
        <f>D5/4</f>
        <v>21.85</v>
      </c>
      <c r="C6" s="7">
        <v>45</v>
      </c>
      <c r="D6" s="9">
        <v>22.4</v>
      </c>
      <c r="E6" s="9">
        <v>68.900000000000006</v>
      </c>
      <c r="F6" s="9">
        <v>33.9</v>
      </c>
      <c r="G6" s="50">
        <f>G$4/D$4*D6</f>
        <v>33.444167490933069</v>
      </c>
      <c r="H6" s="50">
        <f t="shared" si="4"/>
        <v>43.661735236495936</v>
      </c>
      <c r="I6" s="50">
        <f t="shared" si="4"/>
        <v>45.06862779637131</v>
      </c>
      <c r="K6" s="14" t="str">
        <f>linefmt("Range",1,J34,J37)</f>
        <v>"Range",1,0.8891832,1.029652,</v>
      </c>
      <c r="M6" s="46">
        <f t="shared" si="0"/>
        <v>76.220231010521545</v>
      </c>
      <c r="N6" s="46">
        <f t="shared" si="5"/>
        <v>3</v>
      </c>
      <c r="O6" s="50">
        <f t="shared" si="1"/>
        <v>124.02212111221013</v>
      </c>
      <c r="P6" s="50">
        <f t="shared" si="2"/>
        <v>47.801890101688585</v>
      </c>
      <c r="Q6" s="50">
        <f t="shared" si="3"/>
        <v>58.221399408920973</v>
      </c>
    </row>
    <row r="7" spans="1:17">
      <c r="C7" s="46">
        <f>C5</f>
        <v>0</v>
      </c>
      <c r="D7" s="46">
        <f t="shared" ref="D7:F8" si="6">D$4/D5</f>
        <v>5.7837528604118988</v>
      </c>
      <c r="E7" s="46">
        <f t="shared" si="6"/>
        <v>15.691699604743082</v>
      </c>
      <c r="F7" s="46">
        <f t="shared" si="6"/>
        <v>12.757303370786518</v>
      </c>
      <c r="G7" s="49">
        <f>(G5-G6)/($C6-$C5)</f>
        <v>2.1566179433637394</v>
      </c>
      <c r="H7" s="49">
        <f t="shared" ref="H7:I7" si="7">(H5-H6)/($C6-$C5)</f>
        <v>9.8575115837920183E-2</v>
      </c>
      <c r="I7" s="49">
        <f t="shared" si="7"/>
        <v>0.31316122887023012</v>
      </c>
      <c r="K7" s="14" t="str">
        <f>linefmt("CCM" )</f>
        <v>"CCM",</v>
      </c>
      <c r="M7" s="46">
        <f t="shared" si="0"/>
        <v>74.16218818299572</v>
      </c>
      <c r="N7" s="46">
        <f t="shared" si="5"/>
        <v>4</v>
      </c>
      <c r="O7" s="50">
        <f t="shared" si="1"/>
        <v>121.86550316884639</v>
      </c>
      <c r="P7" s="50">
        <f t="shared" si="2"/>
        <v>47.70331498585066</v>
      </c>
      <c r="Q7" s="50">
        <f t="shared" si="3"/>
        <v>57.908238180050745</v>
      </c>
    </row>
    <row r="8" spans="1:17">
      <c r="C8" s="46">
        <f>C6</f>
        <v>45</v>
      </c>
      <c r="D8" s="46">
        <f t="shared" si="6"/>
        <v>22.566964285714288</v>
      </c>
      <c r="E8" s="46">
        <f t="shared" si="6"/>
        <v>17.285921625544265</v>
      </c>
      <c r="F8" s="46">
        <f t="shared" si="6"/>
        <v>16.746312684365783</v>
      </c>
      <c r="K8" s="15" t="str">
        <f>linefmt("",D54,E54,F54)</f>
        <v>0.3086616,1.010438,-0.2851496,</v>
      </c>
      <c r="M8" s="46">
        <f t="shared" si="0"/>
        <v>72.10414535546991</v>
      </c>
      <c r="N8" s="46">
        <f t="shared" si="5"/>
        <v>5</v>
      </c>
      <c r="O8" s="50">
        <f t="shared" si="1"/>
        <v>119.70888522548265</v>
      </c>
      <c r="P8" s="50">
        <f t="shared" si="2"/>
        <v>47.604739870012743</v>
      </c>
      <c r="Q8" s="50">
        <f t="shared" si="3"/>
        <v>57.595076951180516</v>
      </c>
    </row>
    <row r="9" spans="1:17">
      <c r="C9" s="46" t="s">
        <v>23</v>
      </c>
      <c r="D9" s="46">
        <f>(D8-D7)/($C8-$C7)</f>
        <v>0.37296025389560866</v>
      </c>
      <c r="E9" s="46">
        <f>(E8-E7)/($C8-$C7)</f>
        <v>3.5427156017804072E-2</v>
      </c>
      <c r="F9" s="46">
        <f>(F8-F7)/($C8-$C7)</f>
        <v>8.864465141287256E-2</v>
      </c>
      <c r="K9" s="15" t="str">
        <f>linefmt("",D55,E55,F55)</f>
        <v>0.1258862,1,3.451774E-02,</v>
      </c>
      <c r="M9" s="46">
        <f t="shared" si="0"/>
        <v>70.046102527944072</v>
      </c>
      <c r="N9" s="46">
        <f t="shared" si="5"/>
        <v>6</v>
      </c>
      <c r="O9" s="50">
        <f t="shared" si="1"/>
        <v>117.5522672821189</v>
      </c>
      <c r="P9" s="50">
        <f t="shared" si="2"/>
        <v>47.506164754174826</v>
      </c>
      <c r="Q9" s="50">
        <f t="shared" si="3"/>
        <v>57.281915722310288</v>
      </c>
    </row>
    <row r="10" spans="1:17">
      <c r="K10" s="16" t="str">
        <f>linefmt("",D56,E56,F56)</f>
        <v>-0.5295895,0.4059064,1.180351,</v>
      </c>
      <c r="M10" s="46">
        <f t="shared" si="0"/>
        <v>67.988059700418262</v>
      </c>
      <c r="N10" s="46">
        <f t="shared" si="5"/>
        <v>7</v>
      </c>
      <c r="O10" s="50">
        <f t="shared" si="1"/>
        <v>115.39564933875516</v>
      </c>
      <c r="P10" s="50">
        <f t="shared" si="2"/>
        <v>47.407589638336901</v>
      </c>
      <c r="Q10" s="50">
        <f t="shared" si="3"/>
        <v>56.968754493440059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65.930016872892438</v>
      </c>
      <c r="N11" s="46">
        <f t="shared" si="5"/>
        <v>8</v>
      </c>
      <c r="O11" s="50">
        <f t="shared" si="1"/>
        <v>113.23903139539142</v>
      </c>
      <c r="P11" s="50">
        <f t="shared" si="2"/>
        <v>47.309014522498984</v>
      </c>
      <c r="Q11" s="50">
        <f t="shared" si="3"/>
        <v>56.655593264569823</v>
      </c>
    </row>
    <row r="12" spans="1:17">
      <c r="A12" s="46" t="s">
        <v>16</v>
      </c>
      <c r="B12" s="10">
        <f>MATCH(M2,M3:M66,0)-1</f>
        <v>40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Compensation=40</v>
      </c>
      <c r="M12" s="46">
        <f t="shared" si="0"/>
        <v>63.87197404536662</v>
      </c>
      <c r="N12" s="46">
        <f t="shared" si="5"/>
        <v>9</v>
      </c>
      <c r="O12" s="50">
        <f t="shared" si="1"/>
        <v>111.08241345202768</v>
      </c>
      <c r="P12" s="50">
        <f t="shared" si="2"/>
        <v>47.21043940666106</v>
      </c>
      <c r="Q12" s="50">
        <f t="shared" si="3"/>
        <v>56.342432035699595</v>
      </c>
    </row>
    <row r="13" spans="1:17">
      <c r="A13" s="78" t="s">
        <v>12</v>
      </c>
      <c r="B13" s="79" t="s">
        <v>0</v>
      </c>
      <c r="C13" s="46">
        <v>0</v>
      </c>
      <c r="D13" s="7">
        <v>534</v>
      </c>
      <c r="E13" s="7">
        <v>487.8</v>
      </c>
      <c r="F13" s="7">
        <v>146.1</v>
      </c>
      <c r="G13" s="8">
        <v>81.400000000000006</v>
      </c>
      <c r="H13" s="8">
        <v>21.4</v>
      </c>
      <c r="I13" s="8">
        <v>37.5</v>
      </c>
      <c r="M13" s="46">
        <f t="shared" si="0"/>
        <v>61.81393121784081</v>
      </c>
      <c r="N13" s="46">
        <f t="shared" si="5"/>
        <v>10</v>
      </c>
      <c r="O13" s="50">
        <f t="shared" si="1"/>
        <v>108.92579550866395</v>
      </c>
      <c r="P13" s="50">
        <f t="shared" si="2"/>
        <v>47.111864290823142</v>
      </c>
      <c r="Q13" s="50">
        <f t="shared" si="3"/>
        <v>56.029270806829366</v>
      </c>
    </row>
    <row r="14" spans="1:17">
      <c r="A14" s="78"/>
      <c r="B14" s="79"/>
      <c r="C14" s="46">
        <f>C13+1</f>
        <v>1</v>
      </c>
      <c r="D14" s="7">
        <v>541.5</v>
      </c>
      <c r="E14" s="7">
        <v>494</v>
      </c>
      <c r="F14" s="7">
        <v>145.6</v>
      </c>
      <c r="G14" s="8">
        <v>89.9</v>
      </c>
      <c r="H14" s="8">
        <v>24.4</v>
      </c>
      <c r="I14" s="8">
        <v>42.7</v>
      </c>
      <c r="M14" s="46">
        <f t="shared" si="0"/>
        <v>59.755888390314986</v>
      </c>
      <c r="N14" s="46">
        <f t="shared" si="5"/>
        <v>11</v>
      </c>
      <c r="O14" s="50">
        <f t="shared" si="1"/>
        <v>106.76917756530021</v>
      </c>
      <c r="P14" s="50">
        <f t="shared" si="2"/>
        <v>47.013289174985225</v>
      </c>
      <c r="Q14" s="50">
        <f t="shared" si="3"/>
        <v>55.716109577959138</v>
      </c>
    </row>
    <row r="15" spans="1:17">
      <c r="A15" s="78"/>
      <c r="B15" s="79"/>
      <c r="C15" s="46">
        <f>C14+1</f>
        <v>2</v>
      </c>
      <c r="D15" s="6">
        <f>2*(D13-D14)/(D13+D14)</f>
        <v>-1.3947001394700139E-2</v>
      </c>
      <c r="E15" s="6">
        <f t="shared" ref="E15:F15" si="8">2*(E13-E14)/(E13+E14)</f>
        <v>-1.2629863515991014E-2</v>
      </c>
      <c r="F15" s="6">
        <f t="shared" si="8"/>
        <v>3.4281796366129585E-3</v>
      </c>
      <c r="G15" s="8">
        <v>79.3</v>
      </c>
      <c r="H15" s="8">
        <v>19.399999999999999</v>
      </c>
      <c r="I15" s="8">
        <v>35.5</v>
      </c>
      <c r="M15" s="46">
        <f t="shared" si="0"/>
        <v>57.697845562789169</v>
      </c>
      <c r="N15" s="46">
        <f t="shared" si="5"/>
        <v>12</v>
      </c>
      <c r="O15" s="50">
        <f t="shared" si="1"/>
        <v>104.61255962193647</v>
      </c>
      <c r="P15" s="50">
        <f t="shared" si="2"/>
        <v>46.9147140591473</v>
      </c>
      <c r="Q15" s="50">
        <f t="shared" si="3"/>
        <v>55.402948349088902</v>
      </c>
    </row>
    <row r="16" spans="1:17">
      <c r="A16" s="78"/>
      <c r="B16" s="79" t="s">
        <v>1</v>
      </c>
      <c r="C16" s="46">
        <f>C13</f>
        <v>0</v>
      </c>
      <c r="D16" s="7">
        <v>1192</v>
      </c>
      <c r="E16" s="7">
        <v>1202</v>
      </c>
      <c r="F16" s="7">
        <v>649</v>
      </c>
      <c r="G16" s="8">
        <v>61.1</v>
      </c>
      <c r="H16" s="8">
        <v>69.8</v>
      </c>
      <c r="I16" s="8">
        <v>40.799999999999997</v>
      </c>
      <c r="M16" s="46">
        <f t="shared" si="0"/>
        <v>55.639802735263345</v>
      </c>
      <c r="N16" s="46">
        <f t="shared" si="5"/>
        <v>13</v>
      </c>
      <c r="O16" s="50">
        <f t="shared" si="1"/>
        <v>102.45594167857273</v>
      </c>
      <c r="P16" s="50">
        <f t="shared" si="2"/>
        <v>46.816138943309383</v>
      </c>
      <c r="Q16" s="50">
        <f t="shared" si="3"/>
        <v>55.089787120218674</v>
      </c>
    </row>
    <row r="17" spans="1:21">
      <c r="A17" s="78"/>
      <c r="B17" s="79"/>
      <c r="C17" s="46">
        <f t="shared" ref="C17:C21" si="9">C14</f>
        <v>1</v>
      </c>
      <c r="D17" s="7">
        <v>1196</v>
      </c>
      <c r="E17" s="7">
        <v>1206</v>
      </c>
      <c r="F17" s="7">
        <v>647</v>
      </c>
      <c r="G17" s="8">
        <v>68.7</v>
      </c>
      <c r="H17" s="8">
        <v>78</v>
      </c>
      <c r="I17" s="8">
        <v>46.1</v>
      </c>
      <c r="M17" s="46">
        <f t="shared" si="0"/>
        <v>53.581759907737528</v>
      </c>
      <c r="N17" s="46">
        <f t="shared" si="5"/>
        <v>14</v>
      </c>
      <c r="O17" s="50">
        <f t="shared" si="1"/>
        <v>100.29932373520899</v>
      </c>
      <c r="P17" s="50">
        <f t="shared" si="2"/>
        <v>46.717563827471459</v>
      </c>
      <c r="Q17" s="50">
        <f t="shared" si="3"/>
        <v>54.776625891348445</v>
      </c>
    </row>
    <row r="18" spans="1:21">
      <c r="A18" s="78"/>
      <c r="B18" s="79"/>
      <c r="C18" s="46">
        <f t="shared" si="9"/>
        <v>2</v>
      </c>
      <c r="D18" s="6">
        <f>2*(D16-D17)/(D16+D17)</f>
        <v>-3.3500837520938024E-3</v>
      </c>
      <c r="E18" s="6">
        <f t="shared" ref="E18:F18" si="10">2*(E16-E17)/(E16+E17)</f>
        <v>-3.3222591362126247E-3</v>
      </c>
      <c r="F18" s="6">
        <f t="shared" si="10"/>
        <v>3.0864197530864196E-3</v>
      </c>
      <c r="G18" s="8">
        <v>65.099999999999994</v>
      </c>
      <c r="H18" s="8">
        <v>69.8</v>
      </c>
      <c r="I18" s="8">
        <v>38.9</v>
      </c>
      <c r="M18" s="46">
        <f t="shared" si="0"/>
        <v>51.523717080211718</v>
      </c>
      <c r="N18" s="46">
        <f t="shared" si="5"/>
        <v>15</v>
      </c>
      <c r="O18" s="50">
        <f t="shared" si="1"/>
        <v>98.142705791845259</v>
      </c>
      <c r="P18" s="50">
        <f t="shared" si="2"/>
        <v>46.618988711633541</v>
      </c>
      <c r="Q18" s="50">
        <f t="shared" si="3"/>
        <v>54.463464662478216</v>
      </c>
    </row>
    <row r="19" spans="1:21">
      <c r="A19" s="78"/>
      <c r="B19" s="79" t="s">
        <v>2</v>
      </c>
      <c r="C19" s="46">
        <f t="shared" si="9"/>
        <v>0</v>
      </c>
      <c r="D19" s="7">
        <v>502.9</v>
      </c>
      <c r="E19" s="7">
        <v>569.5</v>
      </c>
      <c r="F19" s="7">
        <v>526.6</v>
      </c>
      <c r="G19" s="8">
        <v>26.8</v>
      </c>
      <c r="H19" s="8">
        <v>34</v>
      </c>
      <c r="I19" s="8">
        <v>30</v>
      </c>
      <c r="M19" s="46">
        <f t="shared" si="0"/>
        <v>49.465674252685879</v>
      </c>
      <c r="N19" s="46">
        <f t="shared" si="5"/>
        <v>16</v>
      </c>
      <c r="O19" s="50">
        <f t="shared" si="1"/>
        <v>95.986087848481503</v>
      </c>
      <c r="P19" s="50">
        <f t="shared" si="2"/>
        <v>46.520413595795624</v>
      </c>
      <c r="Q19" s="50">
        <f t="shared" si="3"/>
        <v>54.150303433607988</v>
      </c>
    </row>
    <row r="20" spans="1:21">
      <c r="A20" s="78"/>
      <c r="B20" s="79"/>
      <c r="C20" s="46">
        <f t="shared" si="9"/>
        <v>1</v>
      </c>
      <c r="D20" s="7">
        <v>505</v>
      </c>
      <c r="E20" s="7">
        <v>571.20000000000005</v>
      </c>
      <c r="F20" s="7">
        <v>526.70000000000005</v>
      </c>
      <c r="G20" s="8">
        <v>30.5</v>
      </c>
      <c r="H20" s="8">
        <v>38.6</v>
      </c>
      <c r="I20" s="8">
        <v>34.1</v>
      </c>
      <c r="M20" s="46">
        <f t="shared" si="0"/>
        <v>47.407631425160076</v>
      </c>
      <c r="N20" s="46">
        <f t="shared" si="5"/>
        <v>17</v>
      </c>
      <c r="O20" s="50">
        <f t="shared" si="1"/>
        <v>93.829469905117776</v>
      </c>
      <c r="P20" s="50">
        <f t="shared" si="2"/>
        <v>46.4218384799577</v>
      </c>
      <c r="Q20" s="50">
        <f t="shared" si="3"/>
        <v>53.837142204737752</v>
      </c>
    </row>
    <row r="21" spans="1:21">
      <c r="A21" s="78"/>
      <c r="B21" s="79"/>
      <c r="C21" s="46">
        <f t="shared" si="9"/>
        <v>2</v>
      </c>
      <c r="D21" s="6">
        <f>2*(D19-D20)/(D19+D20)</f>
        <v>-4.1670800674670555E-3</v>
      </c>
      <c r="E21" s="6">
        <f t="shared" ref="E21:F21" si="11">2*(E19-E20)/(E19+E20)</f>
        <v>-2.9806259314456834E-3</v>
      </c>
      <c r="F21" s="6">
        <f t="shared" si="11"/>
        <v>-1.8987942656417491E-4</v>
      </c>
      <c r="G21" s="8">
        <v>24.2</v>
      </c>
      <c r="H21" s="8">
        <v>31.6</v>
      </c>
      <c r="I21" s="8">
        <v>27.4</v>
      </c>
      <c r="M21" s="46">
        <f t="shared" si="0"/>
        <v>45.349588597634252</v>
      </c>
      <c r="N21" s="46">
        <f t="shared" si="5"/>
        <v>18</v>
      </c>
      <c r="O21" s="50">
        <f t="shared" si="1"/>
        <v>91.672851961754034</v>
      </c>
      <c r="P21" s="50">
        <f t="shared" si="2"/>
        <v>46.323263364119782</v>
      </c>
      <c r="Q21" s="50">
        <f t="shared" si="3"/>
        <v>53.523980975867524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537.75</v>
      </c>
      <c r="E22" s="46">
        <f t="shared" ref="E22:F22" si="12">(E13+E14)/2</f>
        <v>490.9</v>
      </c>
      <c r="F22" s="46">
        <f t="shared" si="12"/>
        <v>145.85</v>
      </c>
      <c r="G22" s="5">
        <f>G13</f>
        <v>81.400000000000006</v>
      </c>
      <c r="H22" s="5">
        <f t="shared" ref="H22:I22" si="13">H13</f>
        <v>21.4</v>
      </c>
      <c r="I22" s="5">
        <f t="shared" si="13"/>
        <v>37.5</v>
      </c>
      <c r="J22" s="99">
        <f>AVERAGE(G22:I24)</f>
        <v>44.75555555555556</v>
      </c>
      <c r="M22" s="46">
        <f t="shared" si="0"/>
        <v>43.291545770108435</v>
      </c>
      <c r="N22" s="46">
        <f t="shared" si="5"/>
        <v>19</v>
      </c>
      <c r="O22" s="50">
        <f t="shared" si="1"/>
        <v>89.516234018390293</v>
      </c>
      <c r="P22" s="50">
        <f t="shared" si="2"/>
        <v>46.224688248281858</v>
      </c>
      <c r="Q22" s="50">
        <f t="shared" si="3"/>
        <v>53.210819746997295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1194</v>
      </c>
      <c r="E23" s="46">
        <f>(E16+E17)/2</f>
        <v>1204</v>
      </c>
      <c r="F23" s="46">
        <f>(F16+F17)/2</f>
        <v>648</v>
      </c>
      <c r="G23" s="5">
        <f>G16</f>
        <v>61.1</v>
      </c>
      <c r="H23" s="5">
        <f>H16</f>
        <v>69.8</v>
      </c>
      <c r="I23" s="5">
        <f>I16</f>
        <v>40.799999999999997</v>
      </c>
      <c r="J23" s="99"/>
      <c r="M23" s="46">
        <f t="shared" si="0"/>
        <v>41.233502942582611</v>
      </c>
      <c r="N23" s="46">
        <f t="shared" si="5"/>
        <v>20</v>
      </c>
      <c r="O23" s="50">
        <f t="shared" si="1"/>
        <v>87.359616075026551</v>
      </c>
      <c r="P23" s="50">
        <f t="shared" si="2"/>
        <v>46.12611313244394</v>
      </c>
      <c r="Q23" s="50">
        <f t="shared" si="3"/>
        <v>52.897658518127066</v>
      </c>
    </row>
    <row r="24" spans="1:21">
      <c r="A24" s="78"/>
      <c r="B24" s="46" t="str">
        <f>B19</f>
        <v>D65</v>
      </c>
      <c r="C24" s="79"/>
      <c r="D24" s="46">
        <f>(D19+D20)/2</f>
        <v>503.95</v>
      </c>
      <c r="E24" s="46">
        <f>(E19+E20)/2</f>
        <v>570.35</v>
      </c>
      <c r="F24" s="46">
        <f>(F19+F20)/2</f>
        <v>526.65000000000009</v>
      </c>
      <c r="G24" s="5">
        <f>G19</f>
        <v>26.8</v>
      </c>
      <c r="H24" s="5">
        <f>H19</f>
        <v>34</v>
      </c>
      <c r="I24" s="5">
        <f>I19</f>
        <v>30</v>
      </c>
      <c r="J24" s="99"/>
      <c r="M24" s="46">
        <f t="shared" si="0"/>
        <v>39.175460115056786</v>
      </c>
      <c r="N24" s="46">
        <f t="shared" si="5"/>
        <v>21</v>
      </c>
      <c r="O24" s="50">
        <f t="shared" si="1"/>
        <v>85.20299813166281</v>
      </c>
      <c r="P24" s="50">
        <f t="shared" si="2"/>
        <v>46.027538016606023</v>
      </c>
      <c r="Q24" s="50">
        <f t="shared" si="3"/>
        <v>52.584497289256831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537.75</v>
      </c>
      <c r="E25" s="46">
        <f t="shared" ref="E25:F25" si="15">(E13+E14)/2</f>
        <v>490.9</v>
      </c>
      <c r="F25" s="46">
        <f t="shared" si="15"/>
        <v>145.85</v>
      </c>
      <c r="G25" s="5">
        <f t="shared" ref="G25:I25" si="16">G14</f>
        <v>89.9</v>
      </c>
      <c r="H25" s="5">
        <f t="shared" si="16"/>
        <v>24.4</v>
      </c>
      <c r="I25" s="5">
        <f t="shared" si="16"/>
        <v>42.7</v>
      </c>
      <c r="J25" s="99">
        <f>AVERAGE(G25:I27)</f>
        <v>50.333333333333343</v>
      </c>
      <c r="M25" s="46">
        <f t="shared" si="0"/>
        <v>37.117417287530984</v>
      </c>
      <c r="N25" s="46">
        <f t="shared" si="5"/>
        <v>22</v>
      </c>
      <c r="O25" s="50">
        <f t="shared" si="1"/>
        <v>83.046380188299082</v>
      </c>
      <c r="P25" s="50">
        <f t="shared" si="2"/>
        <v>45.928962900768099</v>
      </c>
      <c r="Q25" s="50">
        <f t="shared" si="3"/>
        <v>52.271336060386602</v>
      </c>
    </row>
    <row r="26" spans="1:21">
      <c r="A26" s="78"/>
      <c r="B26" s="46" t="str">
        <f>B16</f>
        <v>CWF</v>
      </c>
      <c r="C26" s="79"/>
      <c r="D26" s="46">
        <f>(D16+D17)/2</f>
        <v>1194</v>
      </c>
      <c r="E26" s="46">
        <f>(E16+E17)/2</f>
        <v>1204</v>
      </c>
      <c r="F26" s="46">
        <f>(F16+F17)/2</f>
        <v>648</v>
      </c>
      <c r="G26" s="5">
        <f>G17</f>
        <v>68.7</v>
      </c>
      <c r="H26" s="5">
        <f>H17</f>
        <v>78</v>
      </c>
      <c r="I26" s="5">
        <f>I17</f>
        <v>46.1</v>
      </c>
      <c r="J26" s="99"/>
      <c r="M26" s="46">
        <f t="shared" si="0"/>
        <v>35.059374460005145</v>
      </c>
      <c r="N26" s="46">
        <f t="shared" si="5"/>
        <v>23</v>
      </c>
      <c r="O26" s="50">
        <f t="shared" si="1"/>
        <v>80.889762244935326</v>
      </c>
      <c r="P26" s="50">
        <f t="shared" si="2"/>
        <v>45.830387784930181</v>
      </c>
      <c r="Q26" s="50">
        <f t="shared" si="3"/>
        <v>51.958174831516374</v>
      </c>
    </row>
    <row r="27" spans="1:21">
      <c r="A27" s="78"/>
      <c r="B27" s="46" t="str">
        <f>B19</f>
        <v>D65</v>
      </c>
      <c r="C27" s="79"/>
      <c r="D27" s="46">
        <f>(D19+D20)/2</f>
        <v>503.95</v>
      </c>
      <c r="E27" s="46">
        <f>(E19+E20)/2</f>
        <v>570.35</v>
      </c>
      <c r="F27" s="46">
        <f>(F19+F20)/2</f>
        <v>526.65000000000009</v>
      </c>
      <c r="G27" s="5">
        <f>G20</f>
        <v>30.5</v>
      </c>
      <c r="H27" s="5">
        <f>H20</f>
        <v>38.6</v>
      </c>
      <c r="I27" s="5">
        <f>I20</f>
        <v>34.1</v>
      </c>
      <c r="J27" s="99"/>
      <c r="M27" s="46">
        <f t="shared" si="0"/>
        <v>33.001331632479342</v>
      </c>
      <c r="N27" s="46">
        <f t="shared" si="5"/>
        <v>24</v>
      </c>
      <c r="O27" s="50">
        <f t="shared" si="1"/>
        <v>78.733144301571599</v>
      </c>
      <c r="P27" s="50">
        <f t="shared" si="2"/>
        <v>45.731812669092257</v>
      </c>
      <c r="Q27" s="50">
        <f t="shared" si="3"/>
        <v>51.645013602646145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537.75</v>
      </c>
      <c r="E28" s="46">
        <f t="shared" ref="E28:F28" si="17">(E13+E14)/2</f>
        <v>490.9</v>
      </c>
      <c r="F28" s="46">
        <f t="shared" si="17"/>
        <v>145.85</v>
      </c>
      <c r="G28" s="5">
        <f t="shared" ref="G28:I28" si="18">G15</f>
        <v>79.3</v>
      </c>
      <c r="H28" s="5">
        <f t="shared" si="18"/>
        <v>19.399999999999999</v>
      </c>
      <c r="I28" s="5">
        <f t="shared" si="18"/>
        <v>35.5</v>
      </c>
      <c r="J28" s="99">
        <f>AVERAGE(G28:I30)</f>
        <v>43.466666666666661</v>
      </c>
      <c r="M28" s="46">
        <f t="shared" si="0"/>
        <v>30.943288804953518</v>
      </c>
      <c r="N28" s="46">
        <f t="shared" si="5"/>
        <v>25</v>
      </c>
      <c r="O28" s="50">
        <f t="shared" si="1"/>
        <v>76.576526358207857</v>
      </c>
      <c r="P28" s="50">
        <f t="shared" si="2"/>
        <v>45.63323755325434</v>
      </c>
      <c r="Q28" s="50">
        <f t="shared" si="3"/>
        <v>51.331852373775916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1194</v>
      </c>
      <c r="E29" s="46">
        <f t="shared" si="20"/>
        <v>1204</v>
      </c>
      <c r="F29" s="46">
        <f t="shared" si="20"/>
        <v>648</v>
      </c>
      <c r="G29" s="5">
        <f t="shared" ref="G29:I29" si="21">G18</f>
        <v>65.099999999999994</v>
      </c>
      <c r="H29" s="5">
        <f t="shared" si="21"/>
        <v>69.8</v>
      </c>
      <c r="I29" s="5">
        <f t="shared" si="21"/>
        <v>38.9</v>
      </c>
      <c r="J29" s="99"/>
      <c r="M29" s="46">
        <f t="shared" si="0"/>
        <v>28.885245977427694</v>
      </c>
      <c r="N29" s="46">
        <f t="shared" si="5"/>
        <v>26</v>
      </c>
      <c r="O29" s="50">
        <f t="shared" si="1"/>
        <v>74.419908414844116</v>
      </c>
      <c r="P29" s="50">
        <f t="shared" si="2"/>
        <v>45.534662437416422</v>
      </c>
      <c r="Q29" s="50">
        <f t="shared" si="3"/>
        <v>51.018691144905681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503.95</v>
      </c>
      <c r="E30" s="46">
        <f t="shared" si="23"/>
        <v>570.35</v>
      </c>
      <c r="F30" s="46">
        <f t="shared" si="23"/>
        <v>526.65000000000009</v>
      </c>
      <c r="G30" s="5">
        <f t="shared" ref="G30:I30" si="24">G21</f>
        <v>24.2</v>
      </c>
      <c r="H30" s="5">
        <f t="shared" si="24"/>
        <v>31.6</v>
      </c>
      <c r="I30" s="5">
        <f t="shared" si="24"/>
        <v>27.4</v>
      </c>
      <c r="J30" s="99"/>
      <c r="M30" s="46">
        <f t="shared" si="0"/>
        <v>26.827203149901877</v>
      </c>
      <c r="N30" s="46">
        <f t="shared" si="5"/>
        <v>27</v>
      </c>
      <c r="O30" s="50">
        <f t="shared" si="1"/>
        <v>72.263290471480374</v>
      </c>
      <c r="P30" s="50">
        <f t="shared" si="2"/>
        <v>45.436087321578498</v>
      </c>
      <c r="Q30" s="50">
        <f t="shared" si="3"/>
        <v>50.705529916035452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537.75</v>
      </c>
      <c r="E31" s="46">
        <f t="shared" si="25"/>
        <v>490.9</v>
      </c>
      <c r="F31" s="46">
        <f t="shared" si="25"/>
        <v>145.85</v>
      </c>
      <c r="G31" s="5">
        <f t="shared" ref="G31:I33" si="26">G22*$J$31</f>
        <v>81.400000000000006</v>
      </c>
      <c r="H31" s="5">
        <f t="shared" si="26"/>
        <v>21.4</v>
      </c>
      <c r="I31" s="5">
        <f t="shared" si="26"/>
        <v>37.5</v>
      </c>
      <c r="J31" s="96">
        <f>J$22/J22</f>
        <v>1</v>
      </c>
      <c r="M31" s="46">
        <f t="shared" si="0"/>
        <v>24.769160322376052</v>
      </c>
      <c r="N31" s="46">
        <f t="shared" si="5"/>
        <v>28</v>
      </c>
      <c r="O31" s="50">
        <f t="shared" si="1"/>
        <v>70.106672528116633</v>
      </c>
      <c r="P31" s="50">
        <f t="shared" si="2"/>
        <v>45.33751220574058</v>
      </c>
      <c r="Q31" s="50">
        <f t="shared" si="3"/>
        <v>50.392368687165224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1194</v>
      </c>
      <c r="E32" s="46">
        <f t="shared" si="27"/>
        <v>1204</v>
      </c>
      <c r="F32" s="46">
        <f t="shared" si="27"/>
        <v>648</v>
      </c>
      <c r="G32" s="5">
        <f t="shared" si="26"/>
        <v>61.1</v>
      </c>
      <c r="H32" s="5">
        <f t="shared" si="26"/>
        <v>69.8</v>
      </c>
      <c r="I32" s="5">
        <f t="shared" si="26"/>
        <v>40.799999999999997</v>
      </c>
      <c r="J32" s="96"/>
      <c r="M32" s="46">
        <f t="shared" si="0"/>
        <v>22.711117494850249</v>
      </c>
      <c r="N32" s="46">
        <f t="shared" si="5"/>
        <v>29</v>
      </c>
      <c r="O32" s="50">
        <f t="shared" si="1"/>
        <v>67.950054584752905</v>
      </c>
      <c r="P32" s="50">
        <f t="shared" si="2"/>
        <v>45.238937089902656</v>
      </c>
      <c r="Q32" s="50">
        <f t="shared" si="3"/>
        <v>50.079207458294995</v>
      </c>
    </row>
    <row r="33" spans="1:17">
      <c r="A33" s="78"/>
      <c r="B33" s="46" t="str">
        <f t="shared" si="27"/>
        <v>D65</v>
      </c>
      <c r="C33" s="79"/>
      <c r="D33" s="46">
        <f t="shared" si="27"/>
        <v>503.95</v>
      </c>
      <c r="E33" s="46">
        <f t="shared" si="27"/>
        <v>570.35</v>
      </c>
      <c r="F33" s="46">
        <f t="shared" si="27"/>
        <v>526.65000000000009</v>
      </c>
      <c r="G33" s="5">
        <f t="shared" si="26"/>
        <v>26.8</v>
      </c>
      <c r="H33" s="5">
        <f t="shared" si="26"/>
        <v>34</v>
      </c>
      <c r="I33" s="5">
        <f t="shared" si="26"/>
        <v>30</v>
      </c>
      <c r="J33" s="96"/>
      <c r="M33" s="46">
        <f t="shared" si="0"/>
        <v>20.653074667324425</v>
      </c>
      <c r="N33" s="46">
        <f t="shared" si="5"/>
        <v>30</v>
      </c>
      <c r="O33" s="50">
        <f t="shared" si="1"/>
        <v>65.793436641389164</v>
      </c>
      <c r="P33" s="50">
        <f t="shared" si="2"/>
        <v>45.140361974064739</v>
      </c>
      <c r="Q33" s="50">
        <f t="shared" si="3"/>
        <v>49.766046229424759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537.75</v>
      </c>
      <c r="E34" s="46">
        <f t="shared" si="27"/>
        <v>490.9</v>
      </c>
      <c r="F34" s="46">
        <f t="shared" si="27"/>
        <v>145.85</v>
      </c>
      <c r="G34" s="5">
        <f t="shared" ref="G34:I36" si="28">G25*$J$34</f>
        <v>79.937571743929354</v>
      </c>
      <c r="H34" s="5">
        <f t="shared" si="28"/>
        <v>21.696070640176597</v>
      </c>
      <c r="I34" s="5">
        <f t="shared" si="28"/>
        <v>37.968123620309051</v>
      </c>
      <c r="J34" s="96">
        <f>J$22/J25</f>
        <v>0.8891832229580573</v>
      </c>
      <c r="M34" s="46">
        <f t="shared" si="0"/>
        <v>18.595031839798601</v>
      </c>
      <c r="N34" s="46">
        <f t="shared" si="5"/>
        <v>31</v>
      </c>
      <c r="O34" s="50">
        <f t="shared" si="1"/>
        <v>63.636818698025422</v>
      </c>
      <c r="P34" s="50">
        <f t="shared" si="2"/>
        <v>45.041786858226821</v>
      </c>
      <c r="Q34" s="50">
        <f t="shared" si="3"/>
        <v>49.452885000554531</v>
      </c>
    </row>
    <row r="35" spans="1:17">
      <c r="A35" s="78"/>
      <c r="B35" s="46" t="str">
        <f t="shared" si="27"/>
        <v>CWF</v>
      </c>
      <c r="C35" s="79"/>
      <c r="D35" s="46">
        <f t="shared" si="27"/>
        <v>1194</v>
      </c>
      <c r="E35" s="46">
        <f t="shared" si="27"/>
        <v>1204</v>
      </c>
      <c r="F35" s="46">
        <f t="shared" si="27"/>
        <v>648</v>
      </c>
      <c r="G35" s="5">
        <f t="shared" si="28"/>
        <v>61.086887417218541</v>
      </c>
      <c r="H35" s="5">
        <f t="shared" si="28"/>
        <v>69.356291390728472</v>
      </c>
      <c r="I35" s="5">
        <f t="shared" si="28"/>
        <v>40.991346578366439</v>
      </c>
      <c r="J35" s="96"/>
      <c r="M35" s="46">
        <f t="shared" si="0"/>
        <v>16.536989012272784</v>
      </c>
      <c r="N35" s="46">
        <f t="shared" si="5"/>
        <v>32</v>
      </c>
      <c r="O35" s="50">
        <f t="shared" si="1"/>
        <v>61.480200754661681</v>
      </c>
      <c r="P35" s="50">
        <f t="shared" si="2"/>
        <v>44.943211742388897</v>
      </c>
      <c r="Q35" s="50">
        <f t="shared" si="3"/>
        <v>49.139723771684302</v>
      </c>
    </row>
    <row r="36" spans="1:17">
      <c r="A36" s="78"/>
      <c r="B36" s="46" t="str">
        <f t="shared" si="27"/>
        <v>D65</v>
      </c>
      <c r="C36" s="79"/>
      <c r="D36" s="46">
        <f t="shared" si="27"/>
        <v>503.95</v>
      </c>
      <c r="E36" s="46">
        <f t="shared" si="27"/>
        <v>570.35</v>
      </c>
      <c r="F36" s="46">
        <f t="shared" si="27"/>
        <v>526.65000000000009</v>
      </c>
      <c r="G36" s="5">
        <f t="shared" si="28"/>
        <v>27.120088300220747</v>
      </c>
      <c r="H36" s="5">
        <f t="shared" si="28"/>
        <v>34.322472406181014</v>
      </c>
      <c r="I36" s="5">
        <f t="shared" si="28"/>
        <v>30.321147902869754</v>
      </c>
      <c r="J36" s="96"/>
      <c r="M36" s="46">
        <f t="shared" si="0"/>
        <v>14.47894618474696</v>
      </c>
      <c r="N36" s="46">
        <f t="shared" si="5"/>
        <v>33</v>
      </c>
      <c r="O36" s="50">
        <f t="shared" si="1"/>
        <v>59.323582811297939</v>
      </c>
      <c r="P36" s="50">
        <f t="shared" si="2"/>
        <v>44.844636626550979</v>
      </c>
      <c r="Q36" s="50">
        <f t="shared" si="3"/>
        <v>48.826562542814074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537.75</v>
      </c>
      <c r="E37" s="46">
        <f t="shared" si="27"/>
        <v>490.9</v>
      </c>
      <c r="F37" s="46">
        <f t="shared" si="27"/>
        <v>145.85</v>
      </c>
      <c r="G37" s="5">
        <f t="shared" ref="G37:I39" si="29">G28*$J$37</f>
        <v>81.651431492842548</v>
      </c>
      <c r="H37" s="5">
        <f t="shared" si="29"/>
        <v>19.975255623721882</v>
      </c>
      <c r="I37" s="5">
        <f t="shared" si="29"/>
        <v>36.552658486707571</v>
      </c>
      <c r="J37" s="96">
        <f>J$22/J28</f>
        <v>1.0296523517382414</v>
      </c>
      <c r="K37" s="51" t="str">
        <f>CHAR(34) &amp; "EEpromVersion" &amp;CHAR(34)  &amp; ",3,"</f>
        <v>"EEpromVersion",3,</v>
      </c>
      <c r="M37" s="46">
        <f t="shared" si="0"/>
        <v>12.420903357221142</v>
      </c>
      <c r="N37" s="46">
        <f t="shared" si="5"/>
        <v>34</v>
      </c>
      <c r="O37" s="50">
        <f t="shared" si="1"/>
        <v>57.166964867934198</v>
      </c>
      <c r="P37" s="50">
        <f t="shared" si="2"/>
        <v>44.746061510713055</v>
      </c>
      <c r="Q37" s="50">
        <f t="shared" si="3"/>
        <v>48.513401313943845</v>
      </c>
    </row>
    <row r="38" spans="1:17">
      <c r="A38" s="78"/>
      <c r="B38" s="46" t="str">
        <f t="shared" si="27"/>
        <v>CWF</v>
      </c>
      <c r="C38" s="79"/>
      <c r="D38" s="46">
        <f t="shared" si="27"/>
        <v>1194</v>
      </c>
      <c r="E38" s="46">
        <f t="shared" si="27"/>
        <v>1204</v>
      </c>
      <c r="F38" s="46">
        <f t="shared" si="27"/>
        <v>648</v>
      </c>
      <c r="G38" s="5">
        <f t="shared" si="29"/>
        <v>67.030368098159514</v>
      </c>
      <c r="H38" s="5">
        <f t="shared" si="29"/>
        <v>71.869734151329254</v>
      </c>
      <c r="I38" s="5">
        <f t="shared" si="29"/>
        <v>40.05347648261759</v>
      </c>
      <c r="J38" s="96"/>
      <c r="K38" s="52" t="str">
        <f>K4</f>
        <v>"Compensation",40,</v>
      </c>
      <c r="M38" s="46">
        <f t="shared" si="0"/>
        <v>10.362860529695318</v>
      </c>
      <c r="N38" s="46">
        <f t="shared" si="5"/>
        <v>35</v>
      </c>
      <c r="O38" s="50">
        <f t="shared" si="1"/>
        <v>55.010346924570456</v>
      </c>
      <c r="P38" s="50">
        <f t="shared" si="2"/>
        <v>44.647486394875138</v>
      </c>
      <c r="Q38" s="50">
        <f t="shared" si="3"/>
        <v>48.200240085073609</v>
      </c>
    </row>
    <row r="39" spans="1:17">
      <c r="A39" s="78"/>
      <c r="B39" s="46" t="str">
        <f t="shared" si="27"/>
        <v>D65</v>
      </c>
      <c r="C39" s="79"/>
      <c r="D39" s="46">
        <f t="shared" si="27"/>
        <v>503.95</v>
      </c>
      <c r="E39" s="46">
        <f t="shared" si="27"/>
        <v>570.35</v>
      </c>
      <c r="F39" s="46">
        <f t="shared" si="27"/>
        <v>526.65000000000009</v>
      </c>
      <c r="G39" s="5">
        <f t="shared" si="29"/>
        <v>24.917586912065442</v>
      </c>
      <c r="H39" s="5">
        <f t="shared" si="29"/>
        <v>32.537014314928427</v>
      </c>
      <c r="I39" s="5">
        <f t="shared" si="29"/>
        <v>28.212474437627815</v>
      </c>
      <c r="J39" s="96"/>
      <c r="K39" s="53" t="str">
        <f>linefmt("CardGain",J42,J45,J48)</f>
        <v>"CardGain",15.76435,16.09869,13.8682,</v>
      </c>
      <c r="M39" s="46">
        <f t="shared" si="0"/>
        <v>8.3048177021695082</v>
      </c>
      <c r="N39" s="46">
        <f t="shared" si="5"/>
        <v>36</v>
      </c>
      <c r="O39" s="50">
        <f t="shared" si="1"/>
        <v>52.853728981206729</v>
      </c>
      <c r="P39" s="50">
        <f t="shared" si="2"/>
        <v>44.54891127903722</v>
      </c>
      <c r="Q39" s="50">
        <f t="shared" si="3"/>
        <v>47.887078856203381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"Range",1,0.8891832,1.029652,</v>
      </c>
      <c r="M40" s="46">
        <f t="shared" si="0"/>
        <v>6.2467748746436911</v>
      </c>
      <c r="N40" s="46">
        <f t="shared" si="5"/>
        <v>37</v>
      </c>
      <c r="O40" s="50">
        <f t="shared" si="1"/>
        <v>50.697111037842987</v>
      </c>
      <c r="P40" s="50">
        <f t="shared" si="2"/>
        <v>44.450336163199296</v>
      </c>
      <c r="Q40" s="50">
        <f t="shared" si="3"/>
        <v>47.573917627333152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4.1887320471178668</v>
      </c>
      <c r="N41" s="46">
        <f t="shared" si="5"/>
        <v>38</v>
      </c>
      <c r="O41" s="50">
        <f t="shared" si="1"/>
        <v>48.540493094479245</v>
      </c>
      <c r="P41" s="50">
        <f t="shared" si="2"/>
        <v>44.351761047361379</v>
      </c>
      <c r="Q41" s="50">
        <f t="shared" si="3"/>
        <v>47.260756398462924</v>
      </c>
    </row>
    <row r="42" spans="1:17">
      <c r="A42" s="4"/>
      <c r="B42" s="46" t="s">
        <v>3</v>
      </c>
      <c r="C42" s="79">
        <f>C31</f>
        <v>0</v>
      </c>
      <c r="D42" s="46">
        <f>I42/$H$43</f>
        <v>0.32935688699730681</v>
      </c>
      <c r="E42" s="46">
        <f>H42/$H$43</f>
        <v>1.0248360816605817</v>
      </c>
      <c r="F42" s="46">
        <f>G42/$H$43</f>
        <v>-0.39011642613777786</v>
      </c>
      <c r="G42" s="46">
        <f t="array" ref="G42:I42">LINEST($D31:$D33,$G31:$I33,FALSE)</f>
        <v>-6.1499320183914321</v>
      </c>
      <c r="H42" s="46">
        <v>16.155875041214763</v>
      </c>
      <c r="I42" s="46">
        <v>5.1920973563597386</v>
      </c>
      <c r="J42" s="97">
        <f>H43</f>
        <v>15.764350348630163</v>
      </c>
      <c r="K42" s="53" t="str">
        <f t="shared" ref="K42:K50" si="30">linefmt("",D42,E42,F42)</f>
        <v>0.3293569,1.024836,-0.3901164,</v>
      </c>
      <c r="M42" s="46">
        <f t="shared" si="0"/>
        <v>2.6944092380692339</v>
      </c>
      <c r="N42" s="46">
        <f t="shared" si="5"/>
        <v>39</v>
      </c>
      <c r="O42" s="50">
        <f t="shared" si="1"/>
        <v>46.383875151115504</v>
      </c>
      <c r="P42" s="50">
        <f t="shared" si="2"/>
        <v>44.253185931523454</v>
      </c>
      <c r="Q42" s="50">
        <f t="shared" si="3"/>
        <v>46.947595169592688</v>
      </c>
    </row>
    <row r="43" spans="1:17">
      <c r="A43" s="4"/>
      <c r="B43" s="46" t="s">
        <v>4</v>
      </c>
      <c r="C43" s="79"/>
      <c r="D43" s="46">
        <f>I43/$H$43</f>
        <v>0.14645540854092812</v>
      </c>
      <c r="E43" s="46">
        <f>H43/$H$43</f>
        <v>1</v>
      </c>
      <c r="F43" s="46">
        <f>G43/$H$43</f>
        <v>-5.8175703151919361E-2</v>
      </c>
      <c r="G43" s="46">
        <f t="array" ref="G43:I43">LINEST($E31:$E33,$G31:$I33,FALSE)</f>
        <v>-0.91710216626476482</v>
      </c>
      <c r="H43" s="46">
        <v>15.764350348630163</v>
      </c>
      <c r="I43" s="46">
        <v>2.3087743706909531</v>
      </c>
      <c r="J43" s="97"/>
      <c r="K43" s="53" t="str">
        <f t="shared" si="30"/>
        <v>0.1464554,1,-0.0581757,</v>
      </c>
      <c r="M43" s="46">
        <f t="shared" si="0"/>
        <v>2.4798231250369227</v>
      </c>
      <c r="N43" s="46">
        <f t="shared" si="5"/>
        <v>40</v>
      </c>
      <c r="O43" s="50">
        <f t="shared" si="1"/>
        <v>44.227257207751762</v>
      </c>
      <c r="P43" s="50">
        <f t="shared" si="2"/>
        <v>44.154610815685537</v>
      </c>
      <c r="Q43" s="50">
        <f t="shared" si="3"/>
        <v>46.63443394072246</v>
      </c>
    </row>
    <row r="44" spans="1:17">
      <c r="A44" s="4"/>
      <c r="B44" s="46" t="s">
        <v>5</v>
      </c>
      <c r="C44" s="79"/>
      <c r="D44" s="46">
        <f>I44/$H$43</f>
        <v>-0.51994471471540804</v>
      </c>
      <c r="E44" s="46">
        <f>H44/$H$43</f>
        <v>0.36030004369249885</v>
      </c>
      <c r="F44" s="46">
        <f>G44/$H$43</f>
        <v>1.1697324426827864</v>
      </c>
      <c r="G44" s="46">
        <f t="array" ref="G44:I44">LINEST($F$31:$F$33,$G31:$I33,FALSE)</f>
        <v>18.440072040610396</v>
      </c>
      <c r="H44" s="46">
        <v>5.6798961193953073</v>
      </c>
      <c r="I44" s="46">
        <v>-8.1965906446922538</v>
      </c>
      <c r="J44" s="97"/>
      <c r="K44" s="53" t="str">
        <f t="shared" si="30"/>
        <v>-0.5199447,0.3603,1.169732,</v>
      </c>
      <c r="M44" s="46">
        <f t="shared" si="0"/>
        <v>4.2506334474642102</v>
      </c>
      <c r="N44" s="46">
        <f t="shared" si="5"/>
        <v>41</v>
      </c>
      <c r="O44" s="50">
        <f t="shared" si="1"/>
        <v>42.070639264388021</v>
      </c>
      <c r="P44" s="50">
        <f t="shared" si="2"/>
        <v>44.056035699847619</v>
      </c>
      <c r="Q44" s="50">
        <f t="shared" si="3"/>
        <v>46.321272711852231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0.34583340873472701</v>
      </c>
      <c r="E45" s="46">
        <f>H45/$H$46</f>
        <v>1.0194245504013795</v>
      </c>
      <c r="F45" s="46">
        <f>G45/$H$46</f>
        <v>-0.43086789665797448</v>
      </c>
      <c r="G45" s="46">
        <f t="array" ref="G45:I45">LINEST($D34:$D36,$G34:$I36,FALSE)</f>
        <v>-6.9364075807637251</v>
      </c>
      <c r="H45" s="46">
        <v>16.41139716898866</v>
      </c>
      <c r="I45" s="46">
        <v>5.5674639411186746</v>
      </c>
      <c r="J45" s="97">
        <f>H46</f>
        <v>16.098687404111445</v>
      </c>
      <c r="K45" s="53" t="str">
        <f t="shared" si="30"/>
        <v>0.3458334,1.019425,-0.4308679,</v>
      </c>
      <c r="M45" s="46">
        <f t="shared" si="0"/>
        <v>6.094090161957709</v>
      </c>
      <c r="N45" s="46">
        <f t="shared" si="5"/>
        <v>42</v>
      </c>
      <c r="O45" s="50">
        <f t="shared" si="1"/>
        <v>39.914021321024293</v>
      </c>
      <c r="P45" s="50">
        <f t="shared" si="2"/>
        <v>43.957460584009695</v>
      </c>
      <c r="Q45" s="50">
        <f t="shared" si="3"/>
        <v>46.008111482982002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0.16121502000457241</v>
      </c>
      <c r="E46" s="46">
        <f>H46/$H$46</f>
        <v>1</v>
      </c>
      <c r="F46" s="46">
        <f>G46/$H$46</f>
        <v>-0.10772295837626993</v>
      </c>
      <c r="G46" s="46">
        <f t="array" ref="G46:I46">LINEST($E34:$E36,$G34:$I36,FALSE)</f>
        <v>-1.734198233145678</v>
      </c>
      <c r="H46" s="46">
        <v>16.098687404111445</v>
      </c>
      <c r="I46" s="46">
        <v>2.5953502119011844</v>
      </c>
      <c r="J46" s="97"/>
      <c r="K46" s="53" t="str">
        <f t="shared" si="30"/>
        <v>0.161215,1,-0.107723,</v>
      </c>
      <c r="M46" s="46">
        <f t="shared" si="0"/>
        <v>7.937546876451222</v>
      </c>
      <c r="N46" s="46">
        <f t="shared" si="5"/>
        <v>43</v>
      </c>
      <c r="O46" s="50">
        <f t="shared" si="1"/>
        <v>37.757403377660552</v>
      </c>
      <c r="P46" s="50">
        <f t="shared" si="2"/>
        <v>43.858885468171778</v>
      </c>
      <c r="Q46" s="50">
        <f t="shared" si="3"/>
        <v>45.694950254111774</v>
      </c>
    </row>
    <row r="47" spans="1:17">
      <c r="A47" s="4"/>
      <c r="B47" s="46" t="str">
        <f t="shared" si="31"/>
        <v>Z</v>
      </c>
      <c r="C47" s="79"/>
      <c r="D47" s="46">
        <f>I47/$H$46</f>
        <v>-0.51863471208047407</v>
      </c>
      <c r="E47" s="46">
        <f>H47/$H$46</f>
        <v>0.37865956220688124</v>
      </c>
      <c r="F47" s="46">
        <f>G47/$H$46</f>
        <v>1.1141640853769119</v>
      </c>
      <c r="G47" s="46">
        <f t="array" ref="G47:I47">LINEST($F$31:$F$33,$G34:$I36,FALSE)</f>
        <v>17.936579327370641</v>
      </c>
      <c r="H47" s="46">
        <v>6.095921924546273</v>
      </c>
      <c r="I47" s="46">
        <v>-8.3493381067048933</v>
      </c>
      <c r="J47" s="97"/>
      <c r="K47" s="53" t="str">
        <f t="shared" si="30"/>
        <v>-0.5186347,0.3786596,1.114164,</v>
      </c>
      <c r="M47" s="46">
        <f t="shared" si="0"/>
        <v>9.781003590944735</v>
      </c>
      <c r="N47" s="46">
        <f t="shared" si="5"/>
        <v>44</v>
      </c>
      <c r="O47" s="50">
        <f t="shared" si="1"/>
        <v>35.60078543429681</v>
      </c>
      <c r="P47" s="50">
        <f t="shared" si="2"/>
        <v>43.760310352333853</v>
      </c>
      <c r="Q47" s="50">
        <f t="shared" si="3"/>
        <v>45.381789025241545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0.28029975916490307</v>
      </c>
      <c r="E48" s="46">
        <f>H48/$H$49</f>
        <v>0.99831237336503043</v>
      </c>
      <c r="F48" s="46">
        <f>G48/$H$49</f>
        <v>-0.11087213040032588</v>
      </c>
      <c r="G48" s="46">
        <f t="array" ref="G48:I48">LINEST($D37:$D39,$G37:$I39,FALSE)</f>
        <v>-1.5375972776400544</v>
      </c>
      <c r="H48" s="46">
        <v>13.844799247367403</v>
      </c>
      <c r="I48" s="46">
        <v>3.8872541283273749</v>
      </c>
      <c r="J48" s="97">
        <f>H49</f>
        <v>13.868203597137112</v>
      </c>
      <c r="K48" s="53" t="str">
        <f t="shared" si="30"/>
        <v>0.2802998,0.9983124,-0.1108721,</v>
      </c>
      <c r="M48" s="46">
        <f t="shared" si="0"/>
        <v>11.624460305438241</v>
      </c>
      <c r="N48" s="46">
        <f t="shared" si="5"/>
        <v>45</v>
      </c>
      <c r="O48" s="50">
        <f t="shared" si="1"/>
        <v>33.444167490933069</v>
      </c>
      <c r="P48" s="50">
        <f t="shared" si="2"/>
        <v>43.661735236495936</v>
      </c>
      <c r="Q48" s="50">
        <f t="shared" si="3"/>
        <v>45.06862779637131</v>
      </c>
    </row>
    <row r="49" spans="1:24">
      <c r="A49" s="4"/>
      <c r="B49" s="46" t="str">
        <f t="shared" si="31"/>
        <v>Y</v>
      </c>
      <c r="C49" s="79"/>
      <c r="D49" s="46">
        <f>I49/$H$49</f>
        <v>8.6972119918467955E-2</v>
      </c>
      <c r="E49" s="46">
        <f>H49/$H$49</f>
        <v>1</v>
      </c>
      <c r="F49" s="46">
        <f>G49/$H$49</f>
        <v>0.2276404947268299</v>
      </c>
      <c r="G49" s="46">
        <f t="array" ref="G49:I49">LINEST($E37:$E39,$G37:$I39,FALSE)</f>
        <v>3.1569647278246942</v>
      </c>
      <c r="H49" s="46">
        <v>13.868203597137112</v>
      </c>
      <c r="I49" s="46">
        <v>1.2061470663039375</v>
      </c>
      <c r="J49" s="97"/>
      <c r="K49" s="53" t="str">
        <f t="shared" si="30"/>
        <v>8.697212E-02,1,0.2276405,</v>
      </c>
      <c r="M49" s="46">
        <f t="shared" si="0"/>
        <v>13.467917019931754</v>
      </c>
      <c r="N49" s="46">
        <f t="shared" si="5"/>
        <v>46</v>
      </c>
      <c r="O49" s="50">
        <f t="shared" si="1"/>
        <v>31.287549547569327</v>
      </c>
      <c r="P49" s="50">
        <f t="shared" si="2"/>
        <v>43.563160120658019</v>
      </c>
      <c r="Q49" s="50">
        <f t="shared" si="3"/>
        <v>44.755466567501081</v>
      </c>
    </row>
    <row r="50" spans="1:24">
      <c r="A50" s="4"/>
      <c r="B50" s="46" t="str">
        <f t="shared" si="31"/>
        <v>Z</v>
      </c>
      <c r="C50" s="79"/>
      <c r="D50" s="46">
        <f>I50/$H$49</f>
        <v>-0.5852314484324217</v>
      </c>
      <c r="E50" s="46">
        <f>H50/$H$49</f>
        <v>0.44152828193283705</v>
      </c>
      <c r="F50" s="46">
        <f>G50/$H$49</f>
        <v>1.353723927796745</v>
      </c>
      <c r="G50" s="46">
        <f t="array" ref="G50:I50">LINEST($F$31:$F$33,$G37:$I39,FALSE)</f>
        <v>18.7737190450014</v>
      </c>
      <c r="H50" s="46">
        <v>6.12320410773874</v>
      </c>
      <c r="I50" s="46">
        <v>-8.1161088783082729</v>
      </c>
      <c r="J50" s="97"/>
      <c r="K50" s="54" t="str">
        <f t="shared" si="30"/>
        <v>-0.5852314,0.4415283,1.353724,</v>
      </c>
      <c r="M50" s="46">
        <f t="shared" si="0"/>
        <v>15.311373734425267</v>
      </c>
      <c r="N50" s="46">
        <f t="shared" si="5"/>
        <v>47</v>
      </c>
      <c r="O50" s="50">
        <f t="shared" si="1"/>
        <v>29.130931604205585</v>
      </c>
      <c r="P50" s="50">
        <f t="shared" si="2"/>
        <v>43.464585004820094</v>
      </c>
      <c r="Q50" s="50">
        <f t="shared" si="3"/>
        <v>44.442305338630852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0.31849668496564565</v>
      </c>
      <c r="E51" s="46">
        <f t="shared" ref="E51:F51" si="32">(E42+E45+E48)/3</f>
        <v>1.0141910018089972</v>
      </c>
      <c r="F51" s="46">
        <f t="shared" si="32"/>
        <v>-0.31061881773202604</v>
      </c>
      <c r="J51" s="97">
        <f>(J42+J45+J48)/3</f>
        <v>15.24374711662624</v>
      </c>
      <c r="M51" s="46">
        <f t="shared" si="0"/>
        <v>17.154830448918759</v>
      </c>
      <c r="N51" s="46">
        <f t="shared" si="5"/>
        <v>48</v>
      </c>
      <c r="O51" s="50">
        <f t="shared" si="1"/>
        <v>26.974313660841858</v>
      </c>
      <c r="P51" s="50">
        <f t="shared" si="2"/>
        <v>43.366009888982177</v>
      </c>
      <c r="Q51" s="50">
        <f t="shared" si="3"/>
        <v>44.129144109760617</v>
      </c>
    </row>
    <row r="52" spans="1:24">
      <c r="B52" s="46" t="str">
        <f t="shared" si="31"/>
        <v>Y</v>
      </c>
      <c r="C52" s="79"/>
      <c r="D52" s="46">
        <f t="shared" ref="D52:F53" si="33">(D43+D46+D49)/3</f>
        <v>0.13154751615465618</v>
      </c>
      <c r="E52" s="46">
        <f t="shared" si="33"/>
        <v>1</v>
      </c>
      <c r="F52" s="46">
        <f t="shared" si="33"/>
        <v>2.0580611066213544E-2</v>
      </c>
      <c r="J52" s="97"/>
      <c r="M52" s="46">
        <f t="shared" si="0"/>
        <v>18.998287163412272</v>
      </c>
      <c r="N52" s="46">
        <f t="shared" si="5"/>
        <v>49</v>
      </c>
      <c r="O52" s="50">
        <f t="shared" si="1"/>
        <v>24.817695717478117</v>
      </c>
      <c r="P52" s="50">
        <f t="shared" si="2"/>
        <v>43.267434773144252</v>
      </c>
      <c r="Q52" s="50">
        <f t="shared" si="3"/>
        <v>43.815982880890388</v>
      </c>
    </row>
    <row r="53" spans="1:24" ht="15.75" thickBot="1">
      <c r="B53" s="46" t="str">
        <f t="shared" si="31"/>
        <v>Z</v>
      </c>
      <c r="C53" s="79"/>
      <c r="D53" s="46">
        <f t="shared" si="33"/>
        <v>-0.54127029174276797</v>
      </c>
      <c r="E53" s="46">
        <f t="shared" si="33"/>
        <v>0.39349596261073905</v>
      </c>
      <c r="F53" s="46">
        <f t="shared" si="33"/>
        <v>1.2125401519521477</v>
      </c>
      <c r="J53" s="100"/>
      <c r="M53" s="46">
        <f t="shared" si="0"/>
        <v>20.841743877905785</v>
      </c>
      <c r="N53" s="46">
        <f t="shared" si="5"/>
        <v>50</v>
      </c>
      <c r="O53" s="50">
        <f t="shared" si="1"/>
        <v>22.661077774114375</v>
      </c>
      <c r="P53" s="50">
        <f t="shared" si="2"/>
        <v>43.168859657306335</v>
      </c>
      <c r="Q53" s="50">
        <f t="shared" si="3"/>
        <v>43.50282165202016</v>
      </c>
    </row>
    <row r="54" spans="1:24">
      <c r="B54" s="79" t="s">
        <v>14</v>
      </c>
      <c r="C54" s="79"/>
      <c r="D54" s="19">
        <f>I54/$H$55</f>
        <v>0.30866162711085549</v>
      </c>
      <c r="E54" s="20">
        <f>H54/$H$55</f>
        <v>1.0104380655273466</v>
      </c>
      <c r="F54" s="21">
        <f>G54/$H$55</f>
        <v>-0.28514963224336026</v>
      </c>
      <c r="G54" s="46">
        <f t="array" ref="G54:I54">LINEST(D$31:D$39,$G$31:$I$39,FALSE)</f>
        <v>-4.3028673064324483</v>
      </c>
      <c r="H54" s="46">
        <v>15.247366384894594</v>
      </c>
      <c r="I54" s="46">
        <v>4.657659957674622</v>
      </c>
      <c r="J54" s="98">
        <f>H55</f>
        <v>15.08985746388821</v>
      </c>
      <c r="M54" s="46">
        <f t="shared" si="0"/>
        <v>22.685200592399298</v>
      </c>
      <c r="N54" s="46">
        <f t="shared" si="5"/>
        <v>51</v>
      </c>
      <c r="O54" s="50">
        <f t="shared" si="1"/>
        <v>20.504459830750633</v>
      </c>
      <c r="P54" s="50">
        <f t="shared" si="2"/>
        <v>43.070284541468418</v>
      </c>
      <c r="Q54" s="50">
        <f t="shared" si="3"/>
        <v>43.189660423149931</v>
      </c>
    </row>
    <row r="55" spans="1:24" ht="15" customHeight="1">
      <c r="B55" s="79"/>
      <c r="C55" s="79"/>
      <c r="D55" s="22">
        <f>I55/$H$55</f>
        <v>0.12588621294424096</v>
      </c>
      <c r="E55" s="18">
        <f>H55/$H$55</f>
        <v>1</v>
      </c>
      <c r="F55" s="23">
        <f>G55/$H$55</f>
        <v>3.4517742879310587E-2</v>
      </c>
      <c r="G55" s="46">
        <f t="array" ref="G55:I55">LINEST(E$31:E$39,$G$31:$I$39,FALSE)</f>
        <v>0.52086782002393894</v>
      </c>
      <c r="H55" s="46">
        <v>15.08985746388821</v>
      </c>
      <c r="I55" s="46">
        <v>1.899605009997275</v>
      </c>
      <c r="J55" s="98"/>
      <c r="M55" s="46">
        <f t="shared" si="0"/>
        <v>24.623867538243601</v>
      </c>
      <c r="N55" s="46">
        <f t="shared" si="5"/>
        <v>52</v>
      </c>
      <c r="O55" s="50">
        <f t="shared" si="1"/>
        <v>18.347841887386892</v>
      </c>
      <c r="P55" s="50">
        <f t="shared" si="2"/>
        <v>42.971709425630493</v>
      </c>
      <c r="Q55" s="50">
        <f t="shared" si="3"/>
        <v>42.876499194279702</v>
      </c>
    </row>
    <row r="56" spans="1:24" ht="15" customHeight="1" thickBot="1">
      <c r="B56" s="79"/>
      <c r="C56" s="79"/>
      <c r="D56" s="24">
        <f>I56/$H$55</f>
        <v>-0.52958955166293253</v>
      </c>
      <c r="E56" s="25">
        <f>H56/$H$55</f>
        <v>0.40590643457892306</v>
      </c>
      <c r="F56" s="26">
        <f>G56/$H$55</f>
        <v>1.1803506296029334</v>
      </c>
      <c r="G56" s="46">
        <f t="array" ref="G56:I56">LINEST(F$31:F$39,$G$31:$I$39,FALSE)</f>
        <v>17.811322758118973</v>
      </c>
      <c r="H56" s="46">
        <v>6.1250702414710139</v>
      </c>
      <c r="I56" s="46">
        <v>-7.991430848958113</v>
      </c>
      <c r="J56" s="98"/>
      <c r="M56" s="46">
        <f t="shared" si="0"/>
        <v>26.681910365769426</v>
      </c>
      <c r="N56" s="46">
        <f t="shared" si="5"/>
        <v>53</v>
      </c>
      <c r="O56" s="50">
        <f t="shared" si="1"/>
        <v>16.19122394402315</v>
      </c>
      <c r="P56" s="50">
        <f t="shared" si="2"/>
        <v>42.873134309792576</v>
      </c>
      <c r="Q56" s="50">
        <f t="shared" si="3"/>
        <v>42.563337965409474</v>
      </c>
    </row>
    <row r="57" spans="1:24">
      <c r="M57" s="46">
        <f t="shared" si="0"/>
        <v>28.739953193295243</v>
      </c>
      <c r="N57" s="46">
        <f t="shared" si="5"/>
        <v>54</v>
      </c>
      <c r="O57" s="50">
        <f t="shared" si="1"/>
        <v>14.034606000659409</v>
      </c>
      <c r="P57" s="50">
        <f t="shared" si="2"/>
        <v>42.774559193954651</v>
      </c>
      <c r="Q57" s="50">
        <f t="shared" si="3"/>
        <v>42.250176736539238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30.797996020821053</v>
      </c>
      <c r="N58" s="46">
        <f t="shared" si="5"/>
        <v>55</v>
      </c>
      <c r="O58" s="50">
        <f t="shared" si="1"/>
        <v>11.877988057295681</v>
      </c>
      <c r="P58" s="50">
        <f t="shared" si="2"/>
        <v>42.675984078116734</v>
      </c>
      <c r="Q58" s="50">
        <f t="shared" si="3"/>
        <v>41.93701550766901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32.856038848346877</v>
      </c>
      <c r="N59" s="46">
        <f t="shared" si="5"/>
        <v>56</v>
      </c>
      <c r="O59" s="50">
        <f t="shared" si="1"/>
        <v>9.7213701139319397</v>
      </c>
      <c r="P59" s="50">
        <f t="shared" si="2"/>
        <v>42.577408962278817</v>
      </c>
      <c r="Q59" s="50">
        <f t="shared" si="3"/>
        <v>41.623854278798781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490.9</v>
      </c>
      <c r="E60" s="32">
        <f t="shared" ref="E60:E68" si="37">getCCTfromXY(D22/SUM(D22:F22),E22/SUM(D22:F22))</f>
        <v>2790</v>
      </c>
      <c r="F60" s="31">
        <f t="shared" ref="F60:F68" si="38">V60</f>
        <v>497.08334079188364</v>
      </c>
      <c r="G60" s="32">
        <f t="shared" ref="G60:G68" si="39">getCCTfromXY(U60/X60,V60/X60)</f>
        <v>2797</v>
      </c>
      <c r="H60" s="33">
        <f>F60/D60-1</f>
        <v>1.2595927463604939E-2</v>
      </c>
      <c r="I60" s="34">
        <f t="shared" ref="I60:I68" si="40">G60/E60-1</f>
        <v>2.5089605734767151E-3</v>
      </c>
      <c r="M60" s="46">
        <f t="shared" si="0"/>
        <v>34.914081675872694</v>
      </c>
      <c r="N60" s="46">
        <f t="shared" si="5"/>
        <v>57</v>
      </c>
      <c r="O60" s="50">
        <f t="shared" si="1"/>
        <v>7.5647521705681982</v>
      </c>
      <c r="P60" s="50">
        <f t="shared" si="2"/>
        <v>42.478833846440892</v>
      </c>
      <c r="Q60" s="50">
        <f t="shared" si="3"/>
        <v>41.310693049928545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544.06963720024191</v>
      </c>
      <c r="V60" s="50">
        <f>$J$54*$J$31*($D$55*G22+$E$55*H22+$F$55*I22)</f>
        <v>497.08334079188364</v>
      </c>
      <c r="W60" s="50">
        <f>$J$54*$J$31*($D$56*G22+$E$56*H22+$F$56*I22)</f>
        <v>148.49863549175069</v>
      </c>
      <c r="X60" s="29">
        <f>SUM(U60:W60)</f>
        <v>1189.6516134838764</v>
      </c>
    </row>
    <row r="61" spans="1:24">
      <c r="A61" s="87"/>
      <c r="B61" s="48" t="str">
        <f t="shared" si="35"/>
        <v>CWF</v>
      </c>
      <c r="C61" s="93"/>
      <c r="D61" s="31">
        <f t="shared" si="36"/>
        <v>1204</v>
      </c>
      <c r="E61" s="32">
        <f t="shared" si="37"/>
        <v>3864</v>
      </c>
      <c r="F61" s="31">
        <f t="shared" si="38"/>
        <v>1190.5893241472072</v>
      </c>
      <c r="G61" s="32">
        <f t="shared" si="39"/>
        <v>3965</v>
      </c>
      <c r="H61" s="33">
        <f t="shared" ref="H61:H68" si="41">F61/D61-1</f>
        <v>-1.1138435093681731E-2</v>
      </c>
      <c r="I61" s="34">
        <f t="shared" si="40"/>
        <v>2.6138716356107761E-2</v>
      </c>
      <c r="M61" s="46">
        <f t="shared" si="0"/>
        <v>36.972124503398518</v>
      </c>
      <c r="N61" s="46">
        <f t="shared" si="5"/>
        <v>58</v>
      </c>
      <c r="O61" s="50">
        <f t="shared" si="1"/>
        <v>5.4081342272044566</v>
      </c>
      <c r="P61" s="50">
        <f t="shared" si="2"/>
        <v>42.380258730602975</v>
      </c>
      <c r="Q61" s="50">
        <f t="shared" si="3"/>
        <v>40.997531821058317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1173.2922109771184</v>
      </c>
      <c r="V61" s="50">
        <f>$J$54*$J$31*($D$55*G23+$E$55*H23+$F$55*I23)</f>
        <v>1190.5893241472072</v>
      </c>
      <c r="W61" s="50">
        <f>$J$54*$J$31*($D$56*G23+$E$56*H23+$F$56*I23)</f>
        <v>665.95544651458999</v>
      </c>
      <c r="X61" s="29">
        <f t="shared" ref="X61:X68" si="43">SUM(U61:W61)</f>
        <v>3029.8369816389159</v>
      </c>
    </row>
    <row r="62" spans="1:24">
      <c r="A62" s="87"/>
      <c r="B62" s="48" t="str">
        <f t="shared" si="35"/>
        <v>D65</v>
      </c>
      <c r="C62" s="93"/>
      <c r="D62" s="31">
        <f t="shared" si="36"/>
        <v>570.35</v>
      </c>
      <c r="E62" s="32">
        <f t="shared" si="37"/>
        <v>6353</v>
      </c>
      <c r="F62" s="31">
        <f t="shared" si="38"/>
        <v>579.59060264084428</v>
      </c>
      <c r="G62" s="32">
        <f t="shared" si="39"/>
        <v>6250</v>
      </c>
      <c r="H62" s="33">
        <f t="shared" si="41"/>
        <v>1.6201635207932386E-2</v>
      </c>
      <c r="I62" s="34">
        <f t="shared" si="40"/>
        <v>-1.6212812844325519E-2</v>
      </c>
      <c r="M62" s="46">
        <f t="shared" si="0"/>
        <v>39.030167330924336</v>
      </c>
      <c r="N62" s="46">
        <f t="shared" si="5"/>
        <v>59</v>
      </c>
      <c r="O62" s="50">
        <f t="shared" si="1"/>
        <v>3.251516283840715</v>
      </c>
      <c r="P62" s="50">
        <f t="shared" si="2"/>
        <v>42.281683614765051</v>
      </c>
      <c r="Q62" s="50">
        <f t="shared" si="3"/>
        <v>40.684370592188088</v>
      </c>
      <c r="R62" s="78"/>
      <c r="S62" s="46" t="str">
        <f t="shared" si="42"/>
        <v>D65</v>
      </c>
      <c r="T62" s="79"/>
      <c r="U62" s="50">
        <f>$J$54*$J$31*($D$54*G24+$E$54*H24+$F$54*I24)</f>
        <v>514.14972475912271</v>
      </c>
      <c r="V62" s="50">
        <f>$J$54*$J$31*($D$55*G24+$E$55*H24+$F$55*I24)</f>
        <v>579.59060264084428</v>
      </c>
      <c r="W62" s="50">
        <f>$J$54*$J$31*($D$56*G24+$E$56*H24+$F$56*I24)</f>
        <v>528.42172420150609</v>
      </c>
      <c r="X62" s="29">
        <f t="shared" si="43"/>
        <v>1622.1620516014732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490.9</v>
      </c>
      <c r="E63" s="32">
        <f t="shared" si="37"/>
        <v>2790</v>
      </c>
      <c r="F63" s="31">
        <f t="shared" si="38"/>
        <v>499.0167990390093</v>
      </c>
      <c r="G63" s="32">
        <f t="shared" si="39"/>
        <v>2922</v>
      </c>
      <c r="H63" s="33">
        <f t="shared" si="41"/>
        <v>1.6534526459583088E-2</v>
      </c>
      <c r="I63" s="34">
        <f t="shared" si="40"/>
        <v>4.7311827956989294E-2</v>
      </c>
      <c r="M63" s="46">
        <f t="shared" si="0"/>
        <v>41.088210158450146</v>
      </c>
      <c r="N63" s="46">
        <f t="shared" si="5"/>
        <v>60</v>
      </c>
      <c r="O63" s="50">
        <f t="shared" si="1"/>
        <v>1.0948983404769876</v>
      </c>
      <c r="P63" s="50">
        <f t="shared" si="2"/>
        <v>42.183108498927133</v>
      </c>
      <c r="Q63" s="50">
        <f t="shared" si="3"/>
        <v>40.37120936331786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539.7581673763558</v>
      </c>
      <c r="V63" s="50">
        <f>$J$54*$J$34*($D$55*G25+$E$55*H25+$F$55*I25)</f>
        <v>499.0167990390093</v>
      </c>
      <c r="W63" s="50">
        <f>$J$54*$J$34*($D$56*G25+$E$56*H25+$F$56*I25)</f>
        <v>170.3368841312442</v>
      </c>
      <c r="X63" s="29">
        <f t="shared" si="43"/>
        <v>1209.1118505466093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1204</v>
      </c>
      <c r="E64" s="32">
        <f t="shared" si="37"/>
        <v>3864</v>
      </c>
      <c r="F64" s="31">
        <f t="shared" si="38"/>
        <v>1183.968582024997</v>
      </c>
      <c r="G64" s="32">
        <f t="shared" si="39"/>
        <v>3983</v>
      </c>
      <c r="H64" s="33">
        <f t="shared" si="41"/>
        <v>-1.663739034468692E-2</v>
      </c>
      <c r="I64" s="34">
        <f t="shared" si="40"/>
        <v>3.0797101449275388E-2</v>
      </c>
      <c r="M64" s="46">
        <f t="shared" si="0"/>
        <v>43.146252985975984</v>
      </c>
      <c r="N64" s="46">
        <f t="shared" si="5"/>
        <v>61</v>
      </c>
      <c r="O64" s="50">
        <f t="shared" si="1"/>
        <v>-1.0617196028867681</v>
      </c>
      <c r="P64" s="50">
        <f t="shared" si="2"/>
        <v>42.084533383089216</v>
      </c>
      <c r="Q64" s="50">
        <f t="shared" si="3"/>
        <v>40.058048134447631</v>
      </c>
      <c r="R64" s="78"/>
      <c r="S64" s="46" t="str">
        <f t="shared" si="42"/>
        <v>CWF</v>
      </c>
      <c r="T64" s="79"/>
      <c r="U64" s="50">
        <f>$J$54*$J$34*($D$54*G26+$E$54*H26+$F$54*I26)</f>
        <v>1165.6424103554098</v>
      </c>
      <c r="V64" s="50">
        <f>$J$54*$J$34*($D$55*G26+$E$55*H26+$F$55*I26)</f>
        <v>1183.968582024997</v>
      </c>
      <c r="W64" s="50">
        <f>$J$54*$J$34*($D$56*G26+$E$56*H26+$F$56*I26)</f>
        <v>666.75062408055237</v>
      </c>
      <c r="X64" s="29">
        <f t="shared" si="43"/>
        <v>3016.3616164609593</v>
      </c>
    </row>
    <row r="65" spans="1:24">
      <c r="A65" s="87"/>
      <c r="B65" s="48" t="str">
        <f t="shared" si="35"/>
        <v>D65</v>
      </c>
      <c r="C65" s="93"/>
      <c r="D65" s="31">
        <f t="shared" si="36"/>
        <v>570.35</v>
      </c>
      <c r="E65" s="32">
        <f t="shared" si="37"/>
        <v>6353</v>
      </c>
      <c r="F65" s="31">
        <f t="shared" si="38"/>
        <v>585.23198223296674</v>
      </c>
      <c r="G65" s="32">
        <f t="shared" si="39"/>
        <v>6249</v>
      </c>
      <c r="H65" s="33">
        <f t="shared" si="41"/>
        <v>2.6092718914643154E-2</v>
      </c>
      <c r="I65" s="34">
        <f t="shared" si="40"/>
        <v>-1.6370218794270475E-2</v>
      </c>
      <c r="M65" s="46">
        <f t="shared" si="0"/>
        <v>45.204295813501787</v>
      </c>
      <c r="N65" s="46">
        <f t="shared" si="5"/>
        <v>62</v>
      </c>
      <c r="O65" s="50">
        <f t="shared" si="1"/>
        <v>-3.2183375462504955</v>
      </c>
      <c r="P65" s="50">
        <f t="shared" si="2"/>
        <v>41.985958267251291</v>
      </c>
      <c r="Q65" s="50">
        <f t="shared" si="3"/>
        <v>39.744886905577403</v>
      </c>
      <c r="R65" s="78"/>
      <c r="S65" s="46" t="str">
        <f t="shared" si="42"/>
        <v>D65</v>
      </c>
      <c r="T65" s="79"/>
      <c r="U65" s="50">
        <f>$J$54*$J$34*($D$54*G27+$E$54*H27+$F$54*I27)</f>
        <v>519.17558533225383</v>
      </c>
      <c r="V65" s="50">
        <f>$J$54*$J$34*($D$55*G27+$E$55*H27+$F$55*I27)</f>
        <v>585.23198223296674</v>
      </c>
      <c r="W65" s="50">
        <f>$J$54*$J$34*($D$56*G27+$E$56*H27+$F$56*I27)</f>
        <v>533.55899577463265</v>
      </c>
      <c r="X65" s="29">
        <f t="shared" si="43"/>
        <v>1637.9665633398533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490.9</v>
      </c>
      <c r="E66" s="32">
        <f t="shared" si="37"/>
        <v>2790</v>
      </c>
      <c r="F66" s="31">
        <f t="shared" si="38"/>
        <v>475.56833204599855</v>
      </c>
      <c r="G66" s="32">
        <f t="shared" si="39"/>
        <v>2670</v>
      </c>
      <c r="H66" s="33">
        <f t="shared" si="41"/>
        <v>-3.1231753827666409E-2</v>
      </c>
      <c r="I66" s="34">
        <f t="shared" si="40"/>
        <v>-4.3010752688172005E-2</v>
      </c>
      <c r="M66" s="46">
        <f t="shared" si="0"/>
        <v>47.262338641027625</v>
      </c>
      <c r="N66" s="46">
        <f t="shared" si="5"/>
        <v>63</v>
      </c>
      <c r="O66" s="50">
        <f t="shared" si="1"/>
        <v>-5.3749554896142513</v>
      </c>
      <c r="P66" s="50">
        <f t="shared" si="2"/>
        <v>41.887383151413374</v>
      </c>
      <c r="Q66" s="50">
        <f t="shared" si="3"/>
        <v>39.431725676707167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527.5934049121945</v>
      </c>
      <c r="V66" s="50">
        <f>$J$54*$J$37*($D$55*G28+$E$55*H28+$F$55*I28)</f>
        <v>475.56833204599855</v>
      </c>
      <c r="W66" s="50">
        <f>$J$54*$J$37*($D$56*G28+$E$56*H28+$F$56*I28)</f>
        <v>120.88927326718853</v>
      </c>
      <c r="X66" s="29">
        <f t="shared" si="43"/>
        <v>1124.0510102253816</v>
      </c>
    </row>
    <row r="67" spans="1:24">
      <c r="A67" s="87"/>
      <c r="B67" s="48" t="str">
        <f t="shared" si="35"/>
        <v>CWF</v>
      </c>
      <c r="C67" s="93"/>
      <c r="D67" s="31">
        <f t="shared" si="36"/>
        <v>1204</v>
      </c>
      <c r="E67" s="32">
        <f t="shared" si="37"/>
        <v>3864</v>
      </c>
      <c r="F67" s="31">
        <f t="shared" si="38"/>
        <v>1232.6978343522035</v>
      </c>
      <c r="G67" s="32">
        <f t="shared" si="39"/>
        <v>3698</v>
      </c>
      <c r="H67" s="33">
        <f t="shared" si="41"/>
        <v>2.3835410591531048E-2</v>
      </c>
      <c r="I67" s="34">
        <f t="shared" si="40"/>
        <v>-4.2960662525879934E-2</v>
      </c>
      <c r="R67" s="78"/>
      <c r="S67" s="46" t="str">
        <f t="shared" si="42"/>
        <v>CWF</v>
      </c>
      <c r="T67" s="79"/>
      <c r="U67" s="50">
        <f>$J$54*$J$37*($D$54*G29+$E$54*H29+$F$54*I29)</f>
        <v>1235.6840355632605</v>
      </c>
      <c r="V67" s="50">
        <f>$J$54*$J$37*($D$55*G29+$E$55*H29+$F$55*I29)</f>
        <v>1232.6978343522035</v>
      </c>
      <c r="W67" s="50">
        <f>$J$54*$J$37*($D$56*G29+$E$56*H29+$F$56*I29)</f>
        <v>617.94401569271974</v>
      </c>
      <c r="X67" s="29">
        <f t="shared" si="43"/>
        <v>3086.3258856081839</v>
      </c>
    </row>
    <row r="68" spans="1:24">
      <c r="A68" s="87"/>
      <c r="B68" s="48" t="str">
        <f t="shared" si="35"/>
        <v>D65</v>
      </c>
      <c r="C68" s="93"/>
      <c r="D68" s="31">
        <f t="shared" si="36"/>
        <v>570.35</v>
      </c>
      <c r="E68" s="32">
        <f t="shared" si="37"/>
        <v>6353</v>
      </c>
      <c r="F68" s="31">
        <f t="shared" si="38"/>
        <v>553.0074513057707</v>
      </c>
      <c r="G68" s="32">
        <f t="shared" si="39"/>
        <v>6230</v>
      </c>
      <c r="H68" s="33">
        <f t="shared" si="41"/>
        <v>-3.0406853150222402E-2</v>
      </c>
      <c r="I68" s="34">
        <f t="shared" si="40"/>
        <v>-1.9360931843223628E-2</v>
      </c>
      <c r="R68" s="78"/>
      <c r="S68" s="46" t="str">
        <f t="shared" si="42"/>
        <v>D65</v>
      </c>
      <c r="T68" s="79"/>
      <c r="U68" s="50">
        <f>$J$54*$J$37*($D$54*G30+$E$54*H30+$F$54*I30)</f>
        <v>490.76689124124857</v>
      </c>
      <c r="V68" s="50">
        <f>$J$54*$J$37*($D$55*G30+$E$55*H30+$F$55*I30)</f>
        <v>553.0074513057707</v>
      </c>
      <c r="W68" s="50">
        <f>$J$54*$J$37*($D$56*G30+$E$56*H30+$F$56*I30)</f>
        <v>502.66581340977984</v>
      </c>
      <c r="X68" s="29">
        <f t="shared" si="43"/>
        <v>1546.4401559567991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3.1231753827666409E-2</v>
      </c>
      <c r="G69" s="47"/>
      <c r="H69" s="36" t="str">
        <f>I59</f>
        <v>CCT</v>
      </c>
      <c r="I69" s="38">
        <f>MAX(MAX(I60:I68,-MIN(I60:I68)))</f>
        <v>4.7311827956989294E-2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490.9</v>
      </c>
      <c r="E72" s="31">
        <f t="shared" ref="E72:E80" si="47">E60</f>
        <v>2790</v>
      </c>
      <c r="F72" s="31">
        <f t="shared" ref="F72:F80" si="48">V72</f>
        <v>501.21045294792935</v>
      </c>
      <c r="G72" s="32">
        <f t="shared" ref="G72:G80" si="49">getCCTfromXY(U72/X72,V72/X72)</f>
        <v>2798</v>
      </c>
      <c r="H72" s="33">
        <f>F72/D72-1</f>
        <v>2.1003163471031483E-2</v>
      </c>
      <c r="I72" s="34">
        <f t="shared" ref="I72:I80" si="50">G72/E72-1</f>
        <v>2.8673835125447855E-3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548.48697123541172</v>
      </c>
      <c r="V72" s="50">
        <f>$J$51*$J$31*($D$52*G22+$E$52*H22+$F$52*I22)</f>
        <v>501.21045294792935</v>
      </c>
      <c r="W72" s="50">
        <f>$J$51*$J$31*($D$53*G22+$E$53*H22+$F$53*I22)</f>
        <v>149.87145387020308</v>
      </c>
      <c r="X72" s="29">
        <f>SUM(U72:W72)</f>
        <v>1199.5688780535443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1204</v>
      </c>
      <c r="E73" s="31">
        <f t="shared" si="47"/>
        <v>3864</v>
      </c>
      <c r="F73" s="31">
        <f t="shared" si="48"/>
        <v>1199.3359834509538</v>
      </c>
      <c r="G73" s="32">
        <f t="shared" si="49"/>
        <v>3957</v>
      </c>
      <c r="H73" s="33">
        <f t="shared" ref="H73:H80" si="52">F73/D73-1</f>
        <v>-3.8737678978789658E-3</v>
      </c>
      <c r="I73" s="34">
        <f t="shared" si="50"/>
        <v>2.4068322981366519E-2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1182.5707494842654</v>
      </c>
      <c r="V73" s="50">
        <f t="shared" ref="V73:V74" si="55">$J$51*$J$31*($D$52*G23+$E$52*H23+$F$52*I23)</f>
        <v>1199.3359834509538</v>
      </c>
      <c r="W73" s="50">
        <f t="shared" ref="W73:W74" si="56">$J$51*$J$31*($D$53*G23+$E$53*H23+$F$53*I23)</f>
        <v>668.68284461503913</v>
      </c>
      <c r="X73" s="29">
        <f t="shared" ref="X73:X80" si="57">SUM(U73:W73)</f>
        <v>3050.5895775502586</v>
      </c>
    </row>
    <row r="74" spans="1:24">
      <c r="A74" s="87"/>
      <c r="B74" s="48" t="str">
        <f t="shared" si="46"/>
        <v>X</v>
      </c>
      <c r="C74" s="93"/>
      <c r="D74" s="31">
        <f t="shared" si="51"/>
        <v>570.35</v>
      </c>
      <c r="E74" s="31">
        <f t="shared" si="47"/>
        <v>6353</v>
      </c>
      <c r="F74" s="31">
        <f t="shared" si="48"/>
        <v>581.44059636145664</v>
      </c>
      <c r="G74" s="32">
        <f t="shared" si="49"/>
        <v>6358</v>
      </c>
      <c r="H74" s="33">
        <f t="shared" si="52"/>
        <v>1.9445246535384708E-2</v>
      </c>
      <c r="I74" s="34">
        <f t="shared" si="50"/>
        <v>7.8702974972455486E-4</v>
      </c>
      <c r="R74" s="78"/>
      <c r="S74" s="46" t="str">
        <f t="shared" si="53"/>
        <v>D65</v>
      </c>
      <c r="T74" s="79"/>
      <c r="U74" s="50">
        <f t="shared" si="54"/>
        <v>513.70880054807139</v>
      </c>
      <c r="V74" s="50">
        <f t="shared" si="55"/>
        <v>581.44059636145664</v>
      </c>
      <c r="W74" s="50">
        <f t="shared" si="56"/>
        <v>537.32719986371831</v>
      </c>
      <c r="X74" s="29">
        <f t="shared" si="57"/>
        <v>1632.4765967732465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490.9</v>
      </c>
      <c r="E75" s="31">
        <f t="shared" si="47"/>
        <v>2790</v>
      </c>
      <c r="F75" s="31">
        <f t="shared" si="48"/>
        <v>502.93796744488043</v>
      </c>
      <c r="G75" s="32">
        <f t="shared" si="49"/>
        <v>2927</v>
      </c>
      <c r="H75" s="33">
        <f t="shared" si="52"/>
        <v>2.4522239651416644E-2</v>
      </c>
      <c r="I75" s="34">
        <f t="shared" si="50"/>
        <v>4.9103942652329646E-2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543.74747108401743</v>
      </c>
      <c r="V75" s="50">
        <f>$J$51*$J$34*($D$52*G25+$E$52*H25+$F$52*I25)</f>
        <v>502.93796744488043</v>
      </c>
      <c r="W75" s="50">
        <f>$J$51*$J$34*($D$53*G25+$E$53*H25+$F$53*I25)</f>
        <v>172.36650295628306</v>
      </c>
      <c r="X75" s="29">
        <f t="shared" si="57"/>
        <v>1219.051941485181</v>
      </c>
    </row>
    <row r="76" spans="1:24">
      <c r="A76" s="87"/>
      <c r="B76" s="48" t="str">
        <f t="shared" si="46"/>
        <v>Z</v>
      </c>
      <c r="C76" s="93"/>
      <c r="D76" s="31">
        <f t="shared" si="51"/>
        <v>1204</v>
      </c>
      <c r="E76" s="31">
        <f t="shared" si="47"/>
        <v>3864</v>
      </c>
      <c r="F76" s="31">
        <f t="shared" si="48"/>
        <v>1192.6059375821283</v>
      </c>
      <c r="G76" s="32">
        <f t="shared" si="49"/>
        <v>3975</v>
      </c>
      <c r="H76" s="33">
        <f t="shared" si="52"/>
        <v>-9.4635069915878223E-3</v>
      </c>
      <c r="I76" s="34">
        <f t="shared" si="50"/>
        <v>2.8726708074534146E-2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1174.7412950982889</v>
      </c>
      <c r="V76" s="50">
        <f t="shared" ref="V76:V77" si="59">$J$51*$J$34*($D$52*G26+$E$52*H26+$F$52*I26)</f>
        <v>1192.6059375821283</v>
      </c>
      <c r="W76" s="50">
        <f t="shared" ref="W76:W77" si="60">$J$51*$J$34*($D$53*G26+$E$53*H26+$F$53*I26)</f>
        <v>669.66629975277465</v>
      </c>
      <c r="X76" s="29">
        <f t="shared" si="57"/>
        <v>3037.0135324331918</v>
      </c>
    </row>
    <row r="77" spans="1:24">
      <c r="A77" s="87"/>
      <c r="B77" s="48" t="str">
        <f t="shared" si="46"/>
        <v>X</v>
      </c>
      <c r="C77" s="93"/>
      <c r="D77" s="31">
        <f t="shared" si="51"/>
        <v>570.35</v>
      </c>
      <c r="E77" s="31">
        <f t="shared" si="47"/>
        <v>6353</v>
      </c>
      <c r="F77" s="31">
        <f t="shared" si="48"/>
        <v>587.09890223054742</v>
      </c>
      <c r="G77" s="32">
        <f t="shared" si="49"/>
        <v>6358</v>
      </c>
      <c r="H77" s="33">
        <f t="shared" si="52"/>
        <v>2.9366007242127568E-2</v>
      </c>
      <c r="I77" s="34">
        <f t="shared" si="50"/>
        <v>7.8702974972455486E-4</v>
      </c>
      <c r="R77" s="78"/>
      <c r="S77" s="46" t="str">
        <f t="shared" si="53"/>
        <v>D65</v>
      </c>
      <c r="T77" s="79"/>
      <c r="U77" s="50">
        <f t="shared" si="58"/>
        <v>518.72766851459414</v>
      </c>
      <c r="V77" s="50">
        <f t="shared" si="59"/>
        <v>587.09890223054742</v>
      </c>
      <c r="W77" s="50">
        <f t="shared" si="60"/>
        <v>542.55644580701119</v>
      </c>
      <c r="X77" s="29">
        <f t="shared" si="57"/>
        <v>1648.3830165521526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490.9</v>
      </c>
      <c r="E78" s="31">
        <f t="shared" si="47"/>
        <v>2790</v>
      </c>
      <c r="F78" s="31">
        <f t="shared" si="48"/>
        <v>479.69899446375365</v>
      </c>
      <c r="G78" s="32">
        <f t="shared" si="49"/>
        <v>2670</v>
      </c>
      <c r="H78" s="33">
        <f t="shared" si="52"/>
        <v>-2.2817285671717924E-2</v>
      </c>
      <c r="I78" s="34">
        <f t="shared" si="50"/>
        <v>-4.3010752688172005E-2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532.16669959255978</v>
      </c>
      <c r="V78" s="50">
        <f>$J$51*$J$37*($D$52*G28+$E$52*H28+$F$52*I28)</f>
        <v>479.69899446375365</v>
      </c>
      <c r="W78" s="50">
        <f>$J$51*$J$37*($D$53*G28+$E$53*H28+$F$53*I28)</f>
        <v>121.74044203194495</v>
      </c>
      <c r="X78" s="29">
        <f t="shared" si="57"/>
        <v>1133.6061360882584</v>
      </c>
    </row>
    <row r="79" spans="1:24">
      <c r="A79" s="87"/>
      <c r="B79" s="48" t="str">
        <f t="shared" si="46"/>
        <v>Z</v>
      </c>
      <c r="C79" s="93"/>
      <c r="D79" s="31">
        <f t="shared" si="51"/>
        <v>1204</v>
      </c>
      <c r="E79" s="31">
        <f t="shared" si="47"/>
        <v>3864</v>
      </c>
      <c r="F79" s="31">
        <f t="shared" si="48"/>
        <v>1242.5443150555984</v>
      </c>
      <c r="G79" s="32">
        <f t="shared" si="49"/>
        <v>3682</v>
      </c>
      <c r="H79" s="33">
        <f t="shared" si="52"/>
        <v>3.2013550710629834E-2</v>
      </c>
      <c r="I79" s="34">
        <f t="shared" si="50"/>
        <v>-4.7101449275362306E-2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1246.896200529791</v>
      </c>
      <c r="V79" s="50">
        <f t="shared" ref="V79:V80" si="62">$J$51*$J$37*($D$52*G29+$E$52*H29+$F$52*I29)</f>
        <v>1242.5443150555984</v>
      </c>
      <c r="W79" s="50">
        <f t="shared" ref="W79:W80" si="63">$J$51*$J$37*($D$53*G29+$E$53*H29+$F$53*I29)</f>
        <v>618.36796433472057</v>
      </c>
      <c r="X79" s="29">
        <f t="shared" si="57"/>
        <v>3107.8084799201097</v>
      </c>
    </row>
    <row r="80" spans="1:24">
      <c r="A80" s="87"/>
      <c r="B80" s="48" t="str">
        <f t="shared" si="46"/>
        <v>X</v>
      </c>
      <c r="C80" s="93"/>
      <c r="D80" s="31">
        <f t="shared" si="51"/>
        <v>570.35</v>
      </c>
      <c r="E80" s="31">
        <f t="shared" si="47"/>
        <v>6353</v>
      </c>
      <c r="F80" s="31">
        <f t="shared" si="48"/>
        <v>554.80366015705715</v>
      </c>
      <c r="G80" s="32">
        <f t="shared" si="49"/>
        <v>6337</v>
      </c>
      <c r="H80" s="33">
        <f t="shared" si="52"/>
        <v>-2.7257543338200851E-2</v>
      </c>
      <c r="I80" s="34">
        <f t="shared" si="50"/>
        <v>-2.5184951991185089E-3</v>
      </c>
      <c r="R80" s="78"/>
      <c r="S80" s="46" t="str">
        <f t="shared" si="53"/>
        <v>D65</v>
      </c>
      <c r="T80" s="79"/>
      <c r="U80" s="50">
        <f t="shared" si="61"/>
        <v>490.41559019080171</v>
      </c>
      <c r="V80" s="50">
        <f t="shared" si="62"/>
        <v>554.80366015705715</v>
      </c>
      <c r="W80" s="50">
        <f t="shared" si="63"/>
        <v>511.04345553880626</v>
      </c>
      <c r="X80" s="29">
        <f t="shared" si="57"/>
        <v>1556.2627058866651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3.2013550710629834E-2</v>
      </c>
      <c r="G81" s="47"/>
      <c r="H81" s="36" t="str">
        <f>I71</f>
        <v>CCT</v>
      </c>
      <c r="I81" s="38">
        <f>MAX(MAX(I72:I80,-MIN(I72:I80)))</f>
        <v>4.9103942652329646E-2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490.9</v>
      </c>
      <c r="E84" s="31">
        <f t="shared" ref="E84:E92" si="67">E72</f>
        <v>2790</v>
      </c>
      <c r="F84" s="31">
        <f t="shared" ref="F84:F92" si="68">V84</f>
        <v>490.90000000000038</v>
      </c>
      <c r="G84" s="32">
        <f t="shared" ref="G84:G92" si="69">getCCTfromXY(U84/X84,V84/X84)</f>
        <v>2790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537.75</v>
      </c>
      <c r="V84" s="50">
        <f>$J$42*$J$31*($D$43*G22+$E$43*H22+$F$43*I22)</f>
        <v>490.90000000000038</v>
      </c>
      <c r="W84" s="50">
        <f>$J$42*$J$31*($D$44*G22+$E$44*H22+$F$44*I22)</f>
        <v>145.85000000000002</v>
      </c>
      <c r="X84" s="29">
        <f>SUM(U84:W84)</f>
        <v>1174.5000000000005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1204</v>
      </c>
      <c r="E85" s="31">
        <f t="shared" si="67"/>
        <v>3864</v>
      </c>
      <c r="F85" s="31">
        <f t="shared" si="68"/>
        <v>1204</v>
      </c>
      <c r="G85" s="32">
        <f t="shared" si="69"/>
        <v>3864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1193.9999999999998</v>
      </c>
      <c r="V85" s="50">
        <f t="shared" ref="V85:V86" si="75">$J$42*$J$31*($D$43*G23+$E$43*H23+$F$43*I23)</f>
        <v>1204</v>
      </c>
      <c r="W85" s="50">
        <f t="shared" ref="W85:W86" si="76">$J$42*$J$31*($D$44*G23+$E$44*H23+$F$44*I23)</f>
        <v>647.99999999999989</v>
      </c>
      <c r="X85" s="29">
        <f t="shared" ref="X85:X92" si="77">SUM(U85:W85)</f>
        <v>3046</v>
      </c>
    </row>
    <row r="86" spans="1:24">
      <c r="A86" s="87"/>
      <c r="B86" s="48">
        <f t="shared" si="66"/>
        <v>0</v>
      </c>
      <c r="C86" s="93"/>
      <c r="D86" s="31">
        <f t="shared" si="71"/>
        <v>570.35</v>
      </c>
      <c r="E86" s="31">
        <f t="shared" si="67"/>
        <v>6353</v>
      </c>
      <c r="F86" s="31">
        <f t="shared" si="68"/>
        <v>570.35000000000014</v>
      </c>
      <c r="G86" s="32">
        <f t="shared" si="69"/>
        <v>6353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503.95</v>
      </c>
      <c r="V86" s="50">
        <f t="shared" si="75"/>
        <v>570.35000000000014</v>
      </c>
      <c r="W86" s="50">
        <f t="shared" si="76"/>
        <v>526.65</v>
      </c>
      <c r="X86" s="29">
        <f t="shared" si="77"/>
        <v>1600.9500000000003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490.9</v>
      </c>
      <c r="E87" s="31">
        <f t="shared" si="67"/>
        <v>2790</v>
      </c>
      <c r="F87" s="31">
        <f t="shared" si="68"/>
        <v>490.89999999999958</v>
      </c>
      <c r="G87" s="32">
        <f t="shared" si="69"/>
        <v>2790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537.75</v>
      </c>
      <c r="V87" s="50">
        <f>$J$45*$J$34*($D$46*G25+$E$46*H25+$F$46*I25)</f>
        <v>490.89999999999958</v>
      </c>
      <c r="W87" s="50">
        <f>$J$45*$J$34*($D$47*G25+$E$47*H25+$F$47*I25)</f>
        <v>145.84999999999968</v>
      </c>
      <c r="X87" s="29">
        <f t="shared" si="77"/>
        <v>1174.4999999999993</v>
      </c>
    </row>
    <row r="88" spans="1:24">
      <c r="A88" s="87"/>
      <c r="B88" s="48">
        <f t="shared" si="66"/>
        <v>0</v>
      </c>
      <c r="C88" s="93"/>
      <c r="D88" s="31">
        <f t="shared" si="71"/>
        <v>1204</v>
      </c>
      <c r="E88" s="31">
        <f t="shared" si="67"/>
        <v>3864</v>
      </c>
      <c r="F88" s="31">
        <f t="shared" si="68"/>
        <v>1204.0000000000002</v>
      </c>
      <c r="G88" s="32">
        <f t="shared" si="69"/>
        <v>3864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1193.9999999999995</v>
      </c>
      <c r="V88" s="50">
        <f t="shared" ref="V88:V89" si="79">$J$45*$J$34*($D$46*G26+$E$46*H26+$F$46*I26)</f>
        <v>1204.0000000000002</v>
      </c>
      <c r="W88" s="50">
        <f t="shared" ref="W88:W89" si="80">$J$45*$J$34*($D$47*G26+$E$47*H26+$F$47*I26)</f>
        <v>647.99999999999989</v>
      </c>
      <c r="X88" s="29">
        <f t="shared" si="77"/>
        <v>3046</v>
      </c>
    </row>
    <row r="89" spans="1:24">
      <c r="A89" s="87"/>
      <c r="B89" s="48" t="str">
        <f t="shared" si="66"/>
        <v>A</v>
      </c>
      <c r="C89" s="93"/>
      <c r="D89" s="31">
        <f t="shared" si="71"/>
        <v>570.35</v>
      </c>
      <c r="E89" s="31">
        <f t="shared" si="67"/>
        <v>6353</v>
      </c>
      <c r="F89" s="31">
        <f t="shared" si="68"/>
        <v>570.35000000000014</v>
      </c>
      <c r="G89" s="32">
        <f t="shared" si="69"/>
        <v>6353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503.95</v>
      </c>
      <c r="V89" s="50">
        <f t="shared" si="79"/>
        <v>570.35000000000014</v>
      </c>
      <c r="W89" s="50">
        <f t="shared" si="80"/>
        <v>526.65</v>
      </c>
      <c r="X89" s="29">
        <f t="shared" si="77"/>
        <v>1600.9500000000003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490.9</v>
      </c>
      <c r="E90" s="31">
        <f t="shared" si="67"/>
        <v>2790</v>
      </c>
      <c r="F90" s="31">
        <f t="shared" si="68"/>
        <v>490.89999999999986</v>
      </c>
      <c r="G90" s="32">
        <f t="shared" si="69"/>
        <v>2790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537.75</v>
      </c>
      <c r="V90" s="50">
        <f>$J$48*$J$37*($D$49*G28+$E$49*H28+$F$49*I28)</f>
        <v>490.89999999999986</v>
      </c>
      <c r="W90" s="50">
        <f>$J$48*$J$37*($D$50*G28+$E$50*H28+$F$50*I28)</f>
        <v>145.85</v>
      </c>
      <c r="X90" s="29">
        <f t="shared" si="77"/>
        <v>1174.4999999999998</v>
      </c>
    </row>
    <row r="91" spans="1:24">
      <c r="A91" s="87"/>
      <c r="B91" s="48" t="str">
        <f t="shared" si="66"/>
        <v>D65</v>
      </c>
      <c r="C91" s="93"/>
      <c r="D91" s="31">
        <f t="shared" si="71"/>
        <v>1204</v>
      </c>
      <c r="E91" s="31">
        <f t="shared" si="67"/>
        <v>3864</v>
      </c>
      <c r="F91" s="31">
        <f t="shared" si="68"/>
        <v>1203.9999999999998</v>
      </c>
      <c r="G91" s="32">
        <f t="shared" si="69"/>
        <v>3864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1194</v>
      </c>
      <c r="V91" s="50">
        <f t="shared" ref="V91:V92" si="82">$J$48*$J$37*($D$49*G29+$E$49*H29+$F$49*I29)</f>
        <v>1203.9999999999998</v>
      </c>
      <c r="W91" s="50">
        <f t="shared" ref="W91:W92" si="83">$J$48*$J$37*($D$50*G29+$E$50*H29+$F$50*I29)</f>
        <v>647.99999999999989</v>
      </c>
      <c r="X91" s="29">
        <f t="shared" si="77"/>
        <v>3046</v>
      </c>
    </row>
    <row r="92" spans="1:24">
      <c r="A92" s="87"/>
      <c r="B92" s="48" t="str">
        <f t="shared" si="66"/>
        <v>A</v>
      </c>
      <c r="C92" s="93"/>
      <c r="D92" s="31">
        <f t="shared" si="71"/>
        <v>570.35</v>
      </c>
      <c r="E92" s="31">
        <f t="shared" si="67"/>
        <v>6353</v>
      </c>
      <c r="F92" s="31">
        <f t="shared" si="68"/>
        <v>570.35000000000014</v>
      </c>
      <c r="G92" s="32">
        <f t="shared" si="69"/>
        <v>6353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503.95</v>
      </c>
      <c r="V92" s="50">
        <f t="shared" si="82"/>
        <v>570.35000000000014</v>
      </c>
      <c r="W92" s="50">
        <f t="shared" si="83"/>
        <v>526.65000000000009</v>
      </c>
      <c r="X92" s="29">
        <f t="shared" si="77"/>
        <v>1600.9500000000003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5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1.1379873400713052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76.406325375338426</v>
      </c>
      <c r="N3" s="46">
        <v>0</v>
      </c>
      <c r="O3" s="50">
        <f>G$5-N3*G$7</f>
        <v>129.75176470588235</v>
      </c>
      <c r="P3" s="50">
        <f>H$5-N3*H$7</f>
        <v>53.345439330543925</v>
      </c>
      <c r="Q3" s="50">
        <f>I$5-N3*I$7</f>
        <v>63.410896309314587</v>
      </c>
    </row>
    <row r="4" spans="1:17">
      <c r="C4" s="46" t="s">
        <v>20</v>
      </c>
      <c r="D4" s="7">
        <v>510</v>
      </c>
      <c r="E4" s="7">
        <v>1195</v>
      </c>
      <c r="F4" s="7">
        <v>569</v>
      </c>
      <c r="G4" s="50">
        <f>AVERAGE(D4:F4)</f>
        <v>758</v>
      </c>
      <c r="H4" s="50">
        <f>G4</f>
        <v>758</v>
      </c>
      <c r="I4" s="50">
        <f>H4</f>
        <v>758</v>
      </c>
      <c r="K4" s="13" t="str">
        <f>linefmt("Compensation",B12)</f>
        <v>"Compensation",36,</v>
      </c>
      <c r="M4" s="46">
        <f t="shared" si="0"/>
        <v>74.295747730815435</v>
      </c>
      <c r="N4" s="46">
        <f>N3+1</f>
        <v>1</v>
      </c>
      <c r="O4" s="50">
        <f t="shared" ref="O4:O66" si="1">G$5-N4*G$7</f>
        <v>127.55613190730838</v>
      </c>
      <c r="P4" s="50">
        <f t="shared" ref="P4:P66" si="2">H$5-N4*H$7</f>
        <v>53.260384176492956</v>
      </c>
      <c r="Q4" s="50">
        <f t="shared" ref="Q4:Q66" si="3">I$5-N4*I$7</f>
        <v>63.07785588752197</v>
      </c>
    </row>
    <row r="5" spans="1:17">
      <c r="C5" s="46">
        <v>0</v>
      </c>
      <c r="D5" s="9">
        <v>87.3</v>
      </c>
      <c r="E5" s="9">
        <v>84.1</v>
      </c>
      <c r="F5" s="9">
        <v>47.6</v>
      </c>
      <c r="G5" s="50">
        <f>G$4/D$4*D5</f>
        <v>129.75176470588235</v>
      </c>
      <c r="H5" s="50">
        <f t="shared" ref="H5:I6" si="4">H$4/E$4*E5</f>
        <v>53.345439330543925</v>
      </c>
      <c r="I5" s="50">
        <f t="shared" si="4"/>
        <v>63.410896309314587</v>
      </c>
      <c r="K5" s="14" t="str">
        <f>linefmt("CardGain",J54)</f>
        <v>"CardGain",19.1284,</v>
      </c>
      <c r="M5" s="46">
        <f t="shared" si="0"/>
        <v>72.185170086292416</v>
      </c>
      <c r="N5" s="46">
        <f t="shared" ref="N5:N66" si="5">N4+1</f>
        <v>2</v>
      </c>
      <c r="O5" s="50">
        <f t="shared" si="1"/>
        <v>125.3604991087344</v>
      </c>
      <c r="P5" s="50">
        <f t="shared" si="2"/>
        <v>53.175329022441986</v>
      </c>
      <c r="Q5" s="50">
        <f t="shared" si="3"/>
        <v>62.744815465729353</v>
      </c>
    </row>
    <row r="6" spans="1:17">
      <c r="B6" s="50">
        <f>D5/4</f>
        <v>21.824999999999999</v>
      </c>
      <c r="C6" s="7">
        <v>44</v>
      </c>
      <c r="D6" s="9">
        <v>22.3</v>
      </c>
      <c r="E6" s="9">
        <v>78.2</v>
      </c>
      <c r="F6" s="9">
        <v>36.6</v>
      </c>
      <c r="G6" s="50">
        <f>G$4/D$4*D6</f>
        <v>33.143921568627455</v>
      </c>
      <c r="H6" s="50">
        <f t="shared" si="4"/>
        <v>49.603012552301252</v>
      </c>
      <c r="I6" s="50">
        <f t="shared" si="4"/>
        <v>48.75711775043937</v>
      </c>
      <c r="K6" s="14" t="str">
        <f>linefmt("Range",1,J34,J37)</f>
        <v>"Range",1,0.9525675,0.941303,</v>
      </c>
      <c r="M6" s="46">
        <f t="shared" si="0"/>
        <v>70.074592441769397</v>
      </c>
      <c r="N6" s="46">
        <f t="shared" si="5"/>
        <v>3</v>
      </c>
      <c r="O6" s="50">
        <f t="shared" si="1"/>
        <v>123.16486631016042</v>
      </c>
      <c r="P6" s="50">
        <f t="shared" si="2"/>
        <v>53.090273868391016</v>
      </c>
      <c r="Q6" s="50">
        <f t="shared" si="3"/>
        <v>62.411775043936728</v>
      </c>
    </row>
    <row r="7" spans="1:17">
      <c r="C7" s="46">
        <f>C5</f>
        <v>0</v>
      </c>
      <c r="D7" s="46">
        <f t="shared" ref="D7:F8" si="6">D$4/D5</f>
        <v>5.8419243986254301</v>
      </c>
      <c r="E7" s="46">
        <f t="shared" si="6"/>
        <v>14.209274673008325</v>
      </c>
      <c r="F7" s="46">
        <f t="shared" si="6"/>
        <v>11.953781512605042</v>
      </c>
      <c r="G7" s="49">
        <f>(G5-G6)/($C6-$C5)</f>
        <v>2.1956327985739748</v>
      </c>
      <c r="H7" s="49">
        <f t="shared" ref="H7:I7" si="7">(H5-H6)/($C6-$C5)</f>
        <v>8.5055154050969861E-2</v>
      </c>
      <c r="I7" s="49">
        <f t="shared" si="7"/>
        <v>0.33304042179261856</v>
      </c>
      <c r="K7" s="14" t="str">
        <f>linefmt("CCM" )</f>
        <v>"CCM",</v>
      </c>
      <c r="M7" s="46">
        <f t="shared" si="0"/>
        <v>67.964014797246406</v>
      </c>
      <c r="N7" s="46">
        <f t="shared" si="5"/>
        <v>4</v>
      </c>
      <c r="O7" s="50">
        <f t="shared" si="1"/>
        <v>120.96923351158645</v>
      </c>
      <c r="P7" s="50">
        <f t="shared" si="2"/>
        <v>53.005218714340046</v>
      </c>
      <c r="Q7" s="50">
        <f t="shared" si="3"/>
        <v>62.078734622144111</v>
      </c>
    </row>
    <row r="8" spans="1:17">
      <c r="C8" s="46">
        <f>C6</f>
        <v>44</v>
      </c>
      <c r="D8" s="46">
        <f t="shared" si="6"/>
        <v>22.86995515695067</v>
      </c>
      <c r="E8" s="46">
        <f t="shared" si="6"/>
        <v>15.281329923273656</v>
      </c>
      <c r="F8" s="46">
        <f t="shared" si="6"/>
        <v>15.546448087431694</v>
      </c>
      <c r="K8" s="15" t="str">
        <f>linefmt("",D54,E54,F54)</f>
        <v>-4.231614E-02,1.035824,-0.4342715,</v>
      </c>
      <c r="M8" s="46">
        <f t="shared" si="0"/>
        <v>65.853437152723416</v>
      </c>
      <c r="N8" s="46">
        <f t="shared" si="5"/>
        <v>5</v>
      </c>
      <c r="O8" s="50">
        <f t="shared" si="1"/>
        <v>118.77360071301248</v>
      </c>
      <c r="P8" s="50">
        <f t="shared" si="2"/>
        <v>52.920163560289076</v>
      </c>
      <c r="Q8" s="50">
        <f t="shared" si="3"/>
        <v>61.745694200351494</v>
      </c>
    </row>
    <row r="9" spans="1:17">
      <c r="C9" s="46" t="s">
        <v>23</v>
      </c>
      <c r="D9" s="46">
        <f>(D8-D7)/($C8-$C7)</f>
        <v>0.38700069905284634</v>
      </c>
      <c r="E9" s="46">
        <f>(E8-E7)/($C8-$C7)</f>
        <v>2.4364892051484791E-2</v>
      </c>
      <c r="F9" s="46">
        <f>(F8-F7)/($C8-$C7)</f>
        <v>8.1651513064242079E-2</v>
      </c>
      <c r="K9" s="15" t="str">
        <f>linefmt("",D55,E55,F55)</f>
        <v>-0.1606724,1,-0.1493957,</v>
      </c>
      <c r="M9" s="46">
        <f t="shared" si="0"/>
        <v>63.742859508200397</v>
      </c>
      <c r="N9" s="46">
        <f t="shared" si="5"/>
        <v>6</v>
      </c>
      <c r="O9" s="50">
        <f t="shared" si="1"/>
        <v>116.5779679144385</v>
      </c>
      <c r="P9" s="50">
        <f t="shared" si="2"/>
        <v>52.835108406238106</v>
      </c>
      <c r="Q9" s="50">
        <f t="shared" si="3"/>
        <v>61.412653778558877</v>
      </c>
    </row>
    <row r="10" spans="1:17">
      <c r="K10" s="16" t="str">
        <f>linefmt("",D56,E56,F56)</f>
        <v>-0.4770425,0.3538489,0.9479612,</v>
      </c>
      <c r="M10" s="46">
        <f t="shared" si="0"/>
        <v>61.632281863677385</v>
      </c>
      <c r="N10" s="46">
        <f t="shared" si="5"/>
        <v>7</v>
      </c>
      <c r="O10" s="50">
        <f t="shared" si="1"/>
        <v>114.38233511586452</v>
      </c>
      <c r="P10" s="50">
        <f t="shared" si="2"/>
        <v>52.750053252187136</v>
      </c>
      <c r="Q10" s="50">
        <f t="shared" si="3"/>
        <v>61.079613356766259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59.521704219154387</v>
      </c>
      <c r="N11" s="46">
        <f t="shared" si="5"/>
        <v>8</v>
      </c>
      <c r="O11" s="50">
        <f t="shared" si="1"/>
        <v>112.18670231729055</v>
      </c>
      <c r="P11" s="50">
        <f t="shared" si="2"/>
        <v>52.664998098136167</v>
      </c>
      <c r="Q11" s="50">
        <f t="shared" si="3"/>
        <v>60.746572934973642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57.411126574631389</v>
      </c>
      <c r="N12" s="46">
        <f t="shared" si="5"/>
        <v>9</v>
      </c>
      <c r="O12" s="50">
        <f t="shared" si="1"/>
        <v>109.99106951871659</v>
      </c>
      <c r="P12" s="50">
        <f t="shared" si="2"/>
        <v>52.579942944085197</v>
      </c>
      <c r="Q12" s="50">
        <f t="shared" si="3"/>
        <v>60.413532513181018</v>
      </c>
    </row>
    <row r="13" spans="1:17">
      <c r="A13" s="78" t="s">
        <v>12</v>
      </c>
      <c r="B13" s="79" t="s">
        <v>0</v>
      </c>
      <c r="C13" s="46">
        <v>0</v>
      </c>
      <c r="D13" s="7">
        <v>536.5</v>
      </c>
      <c r="E13" s="7">
        <v>489.5</v>
      </c>
      <c r="F13" s="7">
        <v>147.19999999999999</v>
      </c>
      <c r="G13" s="8">
        <v>85.3</v>
      </c>
      <c r="H13" s="8">
        <v>32</v>
      </c>
      <c r="I13" s="8">
        <v>35.299999999999997</v>
      </c>
      <c r="M13" s="46">
        <f t="shared" si="0"/>
        <v>55.300548930108377</v>
      </c>
      <c r="N13" s="46">
        <f t="shared" si="5"/>
        <v>10</v>
      </c>
      <c r="O13" s="50">
        <f t="shared" si="1"/>
        <v>107.7954367201426</v>
      </c>
      <c r="P13" s="50">
        <f t="shared" si="2"/>
        <v>52.494887790034227</v>
      </c>
      <c r="Q13" s="50">
        <f t="shared" si="3"/>
        <v>60.0804920913884</v>
      </c>
    </row>
    <row r="14" spans="1:17">
      <c r="A14" s="78"/>
      <c r="B14" s="79"/>
      <c r="C14" s="46">
        <f>C13+1</f>
        <v>1</v>
      </c>
      <c r="D14" s="7"/>
      <c r="E14" s="7"/>
      <c r="F14" s="7"/>
      <c r="G14" s="8">
        <v>89</v>
      </c>
      <c r="H14" s="8">
        <v>34.1</v>
      </c>
      <c r="I14" s="8">
        <v>37.5</v>
      </c>
      <c r="M14" s="46">
        <f t="shared" si="0"/>
        <v>53.189971285585365</v>
      </c>
      <c r="N14" s="46">
        <f t="shared" si="5"/>
        <v>11</v>
      </c>
      <c r="O14" s="50">
        <f t="shared" si="1"/>
        <v>105.59980392156862</v>
      </c>
      <c r="P14" s="50">
        <f t="shared" si="2"/>
        <v>52.409832635983257</v>
      </c>
      <c r="Q14" s="50">
        <f t="shared" si="3"/>
        <v>59.747451669595783</v>
      </c>
    </row>
    <row r="15" spans="1:17">
      <c r="A15" s="78"/>
      <c r="B15" s="79"/>
      <c r="C15" s="46">
        <f>C14+1</f>
        <v>2</v>
      </c>
      <c r="D15" s="6">
        <f>2*(D13-D14)/(D13+D14)</f>
        <v>2</v>
      </c>
      <c r="E15" s="6">
        <f t="shared" ref="E15:F15" si="8">2*(E13-E14)/(E13+E14)</f>
        <v>2</v>
      </c>
      <c r="F15" s="6">
        <f t="shared" si="8"/>
        <v>2</v>
      </c>
      <c r="G15" s="8">
        <v>92.9</v>
      </c>
      <c r="H15" s="8">
        <v>33.200000000000003</v>
      </c>
      <c r="I15" s="8">
        <v>37.299999999999997</v>
      </c>
      <c r="M15" s="46">
        <f t="shared" si="0"/>
        <v>51.079393641062367</v>
      </c>
      <c r="N15" s="46">
        <f t="shared" si="5"/>
        <v>12</v>
      </c>
      <c r="O15" s="50">
        <f t="shared" si="1"/>
        <v>103.40417112299465</v>
      </c>
      <c r="P15" s="50">
        <f t="shared" si="2"/>
        <v>52.324777481932287</v>
      </c>
      <c r="Q15" s="50">
        <f t="shared" si="3"/>
        <v>59.414411247803166</v>
      </c>
    </row>
    <row r="16" spans="1:17">
      <c r="A16" s="78"/>
      <c r="B16" s="79" t="s">
        <v>1</v>
      </c>
      <c r="C16" s="46">
        <f>C13</f>
        <v>0</v>
      </c>
      <c r="D16" s="7">
        <v>1185</v>
      </c>
      <c r="E16" s="7">
        <v>1195</v>
      </c>
      <c r="F16" s="7">
        <v>644</v>
      </c>
      <c r="G16" s="8">
        <v>68.2</v>
      </c>
      <c r="H16" s="8">
        <v>79.2</v>
      </c>
      <c r="I16" s="8">
        <v>39.6</v>
      </c>
      <c r="M16" s="46">
        <f t="shared" si="0"/>
        <v>48.968815996539369</v>
      </c>
      <c r="N16" s="46">
        <f t="shared" si="5"/>
        <v>13</v>
      </c>
      <c r="O16" s="50">
        <f t="shared" si="1"/>
        <v>101.20853832442069</v>
      </c>
      <c r="P16" s="50">
        <f t="shared" si="2"/>
        <v>52.239722327881317</v>
      </c>
      <c r="Q16" s="50">
        <f t="shared" si="3"/>
        <v>59.081370826010549</v>
      </c>
    </row>
    <row r="17" spans="1:21">
      <c r="A17" s="78"/>
      <c r="B17" s="79"/>
      <c r="C17" s="46">
        <f t="shared" ref="C17:C21" si="9">C14</f>
        <v>1</v>
      </c>
      <c r="D17" s="7">
        <v>1186</v>
      </c>
      <c r="E17" s="7">
        <v>1196</v>
      </c>
      <c r="F17" s="7">
        <v>643</v>
      </c>
      <c r="G17" s="8">
        <v>71.2</v>
      </c>
      <c r="H17" s="8">
        <v>82.3</v>
      </c>
      <c r="I17" s="8">
        <v>41.9</v>
      </c>
      <c r="M17" s="46">
        <f t="shared" si="0"/>
        <v>46.858238352016357</v>
      </c>
      <c r="N17" s="46">
        <f t="shared" si="5"/>
        <v>14</v>
      </c>
      <c r="O17" s="50">
        <f t="shared" si="1"/>
        <v>99.012905525846705</v>
      </c>
      <c r="P17" s="50">
        <f t="shared" si="2"/>
        <v>52.154667173830347</v>
      </c>
      <c r="Q17" s="50">
        <f t="shared" si="3"/>
        <v>58.748330404217924</v>
      </c>
    </row>
    <row r="18" spans="1:21">
      <c r="A18" s="78"/>
      <c r="B18" s="79"/>
      <c r="C18" s="46">
        <f t="shared" si="9"/>
        <v>2</v>
      </c>
      <c r="D18" s="6">
        <f>2*(D16-D17)/(D16+D17)</f>
        <v>-8.4352593842260647E-4</v>
      </c>
      <c r="E18" s="6">
        <f t="shared" ref="E18:F18" si="10">2*(E16-E17)/(E16+E17)</f>
        <v>-8.3647009619406104E-4</v>
      </c>
      <c r="F18" s="6">
        <f t="shared" si="10"/>
        <v>1.554001554001554E-3</v>
      </c>
      <c r="G18" s="8">
        <v>71.3</v>
      </c>
      <c r="H18" s="8">
        <v>85.4</v>
      </c>
      <c r="I18" s="8">
        <v>42.9</v>
      </c>
      <c r="M18" s="46">
        <f t="shared" si="0"/>
        <v>44.747660707493345</v>
      </c>
      <c r="N18" s="46">
        <f t="shared" si="5"/>
        <v>15</v>
      </c>
      <c r="O18" s="50">
        <f t="shared" si="1"/>
        <v>96.817272727272723</v>
      </c>
      <c r="P18" s="50">
        <f t="shared" si="2"/>
        <v>52.069612019779377</v>
      </c>
      <c r="Q18" s="50">
        <f t="shared" si="3"/>
        <v>58.415289982425307</v>
      </c>
    </row>
    <row r="19" spans="1:21">
      <c r="A19" s="78"/>
      <c r="B19" s="79" t="s">
        <v>2</v>
      </c>
      <c r="C19" s="46">
        <f t="shared" si="9"/>
        <v>0</v>
      </c>
      <c r="D19" s="7">
        <v>509.5</v>
      </c>
      <c r="E19" s="7">
        <v>575.6</v>
      </c>
      <c r="F19" s="7">
        <v>528.29999999999995</v>
      </c>
      <c r="G19" s="8">
        <v>29.7</v>
      </c>
      <c r="H19" s="8">
        <v>38.799999999999997</v>
      </c>
      <c r="I19" s="8">
        <v>29.7</v>
      </c>
      <c r="M19" s="46">
        <f t="shared" si="0"/>
        <v>42.637083062970348</v>
      </c>
      <c r="N19" s="46">
        <f t="shared" si="5"/>
        <v>16</v>
      </c>
      <c r="O19" s="50">
        <f t="shared" si="1"/>
        <v>94.621639928698755</v>
      </c>
      <c r="P19" s="50">
        <f t="shared" si="2"/>
        <v>51.984556865728408</v>
      </c>
      <c r="Q19" s="50">
        <f t="shared" si="3"/>
        <v>58.08224956063269</v>
      </c>
    </row>
    <row r="20" spans="1:21">
      <c r="A20" s="78"/>
      <c r="B20" s="79"/>
      <c r="C20" s="46">
        <f t="shared" si="9"/>
        <v>1</v>
      </c>
      <c r="D20" s="7">
        <v>510</v>
      </c>
      <c r="E20" s="7">
        <v>576.29999999999995</v>
      </c>
      <c r="F20" s="7">
        <v>528.20000000000005</v>
      </c>
      <c r="G20" s="8">
        <v>31.4</v>
      </c>
      <c r="H20" s="8">
        <v>41.1</v>
      </c>
      <c r="I20" s="8">
        <v>31.1</v>
      </c>
      <c r="M20" s="46">
        <f t="shared" si="0"/>
        <v>40.52650541844735</v>
      </c>
      <c r="N20" s="46">
        <f t="shared" si="5"/>
        <v>17</v>
      </c>
      <c r="O20" s="50">
        <f t="shared" si="1"/>
        <v>92.426007130124788</v>
      </c>
      <c r="P20" s="50">
        <f t="shared" si="2"/>
        <v>51.899501711677438</v>
      </c>
      <c r="Q20" s="50">
        <f t="shared" si="3"/>
        <v>57.749209138840072</v>
      </c>
    </row>
    <row r="21" spans="1:21">
      <c r="A21" s="78"/>
      <c r="B21" s="79"/>
      <c r="C21" s="46">
        <f t="shared" si="9"/>
        <v>2</v>
      </c>
      <c r="D21" s="6">
        <f>2*(D19-D20)/(D19+D20)</f>
        <v>-9.8087297694948511E-4</v>
      </c>
      <c r="E21" s="6">
        <f t="shared" ref="E21:F21" si="11">2*(E19-E20)/(E19+E20)</f>
        <v>-1.2153832797984752E-3</v>
      </c>
      <c r="F21" s="6">
        <f t="shared" si="11"/>
        <v>1.8930430667280464E-4</v>
      </c>
      <c r="G21" s="8">
        <v>30.1</v>
      </c>
      <c r="H21" s="8">
        <v>42</v>
      </c>
      <c r="I21" s="8">
        <v>30</v>
      </c>
      <c r="M21" s="46">
        <f t="shared" si="0"/>
        <v>38.415927773924338</v>
      </c>
      <c r="N21" s="46">
        <f t="shared" si="5"/>
        <v>18</v>
      </c>
      <c r="O21" s="50">
        <f t="shared" si="1"/>
        <v>90.230374331550806</v>
      </c>
      <c r="P21" s="50">
        <f t="shared" si="2"/>
        <v>51.814446557626468</v>
      </c>
      <c r="Q21" s="50">
        <f t="shared" si="3"/>
        <v>57.416168717047455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268.25</v>
      </c>
      <c r="E22" s="46">
        <f t="shared" ref="E22:F22" si="12">(E13+E14)/2</f>
        <v>244.75</v>
      </c>
      <c r="F22" s="46">
        <f t="shared" si="12"/>
        <v>73.599999999999994</v>
      </c>
      <c r="G22" s="5">
        <f>G13</f>
        <v>85.3</v>
      </c>
      <c r="H22" s="5">
        <f t="shared" ref="H22:I22" si="13">H13</f>
        <v>32</v>
      </c>
      <c r="I22" s="5">
        <f t="shared" si="13"/>
        <v>35.299999999999997</v>
      </c>
      <c r="J22" s="99">
        <f>AVERAGE(G22:I24)</f>
        <v>48.644444444444446</v>
      </c>
      <c r="M22" s="46">
        <f t="shared" si="0"/>
        <v>36.305350129401326</v>
      </c>
      <c r="N22" s="46">
        <f t="shared" si="5"/>
        <v>19</v>
      </c>
      <c r="O22" s="50">
        <f t="shared" si="1"/>
        <v>88.034741532976824</v>
      </c>
      <c r="P22" s="50">
        <f t="shared" si="2"/>
        <v>51.729391403575498</v>
      </c>
      <c r="Q22" s="50">
        <f t="shared" si="3"/>
        <v>57.083128295254838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1185.5</v>
      </c>
      <c r="E23" s="46">
        <f>(E16+E17)/2</f>
        <v>1195.5</v>
      </c>
      <c r="F23" s="46">
        <f>(F16+F17)/2</f>
        <v>643.5</v>
      </c>
      <c r="G23" s="5">
        <f>G16</f>
        <v>68.2</v>
      </c>
      <c r="H23" s="5">
        <f>H16</f>
        <v>79.2</v>
      </c>
      <c r="I23" s="5">
        <f>I16</f>
        <v>39.6</v>
      </c>
      <c r="J23" s="99"/>
      <c r="M23" s="46">
        <f t="shared" si="0"/>
        <v>34.194772484878328</v>
      </c>
      <c r="N23" s="46">
        <f t="shared" si="5"/>
        <v>20</v>
      </c>
      <c r="O23" s="50">
        <f t="shared" si="1"/>
        <v>85.839108734402856</v>
      </c>
      <c r="P23" s="50">
        <f t="shared" si="2"/>
        <v>51.644336249524528</v>
      </c>
      <c r="Q23" s="50">
        <f t="shared" si="3"/>
        <v>56.750087873462213</v>
      </c>
    </row>
    <row r="24" spans="1:21">
      <c r="A24" s="78"/>
      <c r="B24" s="46" t="str">
        <f>B19</f>
        <v>D65</v>
      </c>
      <c r="C24" s="79"/>
      <c r="D24" s="46">
        <f>(D19+D20)/2</f>
        <v>509.75</v>
      </c>
      <c r="E24" s="46">
        <f>(E19+E20)/2</f>
        <v>575.95000000000005</v>
      </c>
      <c r="F24" s="46">
        <f>(F19+F20)/2</f>
        <v>528.25</v>
      </c>
      <c r="G24" s="5">
        <f>G19</f>
        <v>29.7</v>
      </c>
      <c r="H24" s="5">
        <f>H19</f>
        <v>38.799999999999997</v>
      </c>
      <c r="I24" s="5">
        <f>I19</f>
        <v>29.7</v>
      </c>
      <c r="J24" s="99"/>
      <c r="M24" s="46">
        <f t="shared" si="0"/>
        <v>32.08419484035533</v>
      </c>
      <c r="N24" s="46">
        <f t="shared" si="5"/>
        <v>21</v>
      </c>
      <c r="O24" s="50">
        <f t="shared" si="1"/>
        <v>83.643475935828889</v>
      </c>
      <c r="P24" s="50">
        <f t="shared" si="2"/>
        <v>51.559281095473558</v>
      </c>
      <c r="Q24" s="50">
        <f t="shared" si="3"/>
        <v>56.417047451669596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268.25</v>
      </c>
      <c r="E25" s="46">
        <f t="shared" ref="E25:F25" si="15">(E13+E14)/2</f>
        <v>244.75</v>
      </c>
      <c r="F25" s="46">
        <f t="shared" si="15"/>
        <v>73.599999999999994</v>
      </c>
      <c r="G25" s="5">
        <f t="shared" ref="G25:I25" si="16">G14</f>
        <v>89</v>
      </c>
      <c r="H25" s="5">
        <f t="shared" si="16"/>
        <v>34.1</v>
      </c>
      <c r="I25" s="5">
        <f t="shared" si="16"/>
        <v>37.5</v>
      </c>
      <c r="J25" s="99">
        <f>AVERAGE(G25:I27)</f>
        <v>51.06666666666667</v>
      </c>
      <c r="M25" s="46">
        <f t="shared" si="0"/>
        <v>29.973617195832318</v>
      </c>
      <c r="N25" s="46">
        <f t="shared" si="5"/>
        <v>22</v>
      </c>
      <c r="O25" s="50">
        <f t="shared" si="1"/>
        <v>81.447843137254907</v>
      </c>
      <c r="P25" s="50">
        <f t="shared" si="2"/>
        <v>51.474225941422588</v>
      </c>
      <c r="Q25" s="50">
        <f t="shared" si="3"/>
        <v>56.084007029876979</v>
      </c>
    </row>
    <row r="26" spans="1:21">
      <c r="A26" s="78"/>
      <c r="B26" s="46" t="str">
        <f>B16</f>
        <v>CWF</v>
      </c>
      <c r="C26" s="79"/>
      <c r="D26" s="46">
        <f>(D16+D17)/2</f>
        <v>1185.5</v>
      </c>
      <c r="E26" s="46">
        <f>(E16+E17)/2</f>
        <v>1195.5</v>
      </c>
      <c r="F26" s="46">
        <f>(F16+F17)/2</f>
        <v>643.5</v>
      </c>
      <c r="G26" s="5">
        <f>G17</f>
        <v>71.2</v>
      </c>
      <c r="H26" s="5">
        <f>H17</f>
        <v>82.3</v>
      </c>
      <c r="I26" s="5">
        <f>I17</f>
        <v>41.9</v>
      </c>
      <c r="J26" s="99"/>
      <c r="M26" s="46">
        <f t="shared" si="0"/>
        <v>27.863039551309306</v>
      </c>
      <c r="N26" s="46">
        <f t="shared" si="5"/>
        <v>23</v>
      </c>
      <c r="O26" s="50">
        <f t="shared" si="1"/>
        <v>79.252210338680925</v>
      </c>
      <c r="P26" s="50">
        <f t="shared" si="2"/>
        <v>51.389170787371619</v>
      </c>
      <c r="Q26" s="50">
        <f t="shared" si="3"/>
        <v>55.750966608084362</v>
      </c>
    </row>
    <row r="27" spans="1:21">
      <c r="A27" s="78"/>
      <c r="B27" s="46" t="str">
        <f>B19</f>
        <v>D65</v>
      </c>
      <c r="C27" s="79"/>
      <c r="D27" s="46">
        <f>(D19+D20)/2</f>
        <v>509.75</v>
      </c>
      <c r="E27" s="46">
        <f>(E19+E20)/2</f>
        <v>575.95000000000005</v>
      </c>
      <c r="F27" s="46">
        <f>(F19+F20)/2</f>
        <v>528.25</v>
      </c>
      <c r="G27" s="5">
        <f>G20</f>
        <v>31.4</v>
      </c>
      <c r="H27" s="5">
        <f>H20</f>
        <v>41.1</v>
      </c>
      <c r="I27" s="5">
        <f>I20</f>
        <v>31.1</v>
      </c>
      <c r="J27" s="99"/>
      <c r="M27" s="46">
        <f t="shared" si="0"/>
        <v>25.752461906786309</v>
      </c>
      <c r="N27" s="46">
        <f t="shared" si="5"/>
        <v>24</v>
      </c>
      <c r="O27" s="50">
        <f t="shared" si="1"/>
        <v>77.056577540106957</v>
      </c>
      <c r="P27" s="50">
        <f t="shared" si="2"/>
        <v>51.304115633320649</v>
      </c>
      <c r="Q27" s="50">
        <f t="shared" si="3"/>
        <v>55.417926186291744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268.25</v>
      </c>
      <c r="E28" s="46">
        <f t="shared" ref="E28:F28" si="17">(E13+E14)/2</f>
        <v>244.75</v>
      </c>
      <c r="F28" s="46">
        <f t="shared" si="17"/>
        <v>73.599999999999994</v>
      </c>
      <c r="G28" s="5">
        <f t="shared" ref="G28:I28" si="18">G15</f>
        <v>92.9</v>
      </c>
      <c r="H28" s="5">
        <f t="shared" si="18"/>
        <v>33.200000000000003</v>
      </c>
      <c r="I28" s="5">
        <f t="shared" si="18"/>
        <v>37.299999999999997</v>
      </c>
      <c r="J28" s="99">
        <f>AVERAGE(G28:I30)</f>
        <v>51.677777777777777</v>
      </c>
      <c r="M28" s="46">
        <f t="shared" si="0"/>
        <v>23.641884262263311</v>
      </c>
      <c r="N28" s="46">
        <f t="shared" si="5"/>
        <v>25</v>
      </c>
      <c r="O28" s="50">
        <f t="shared" si="1"/>
        <v>74.86094474153299</v>
      </c>
      <c r="P28" s="50">
        <f t="shared" si="2"/>
        <v>51.219060479269679</v>
      </c>
      <c r="Q28" s="50">
        <f t="shared" si="3"/>
        <v>55.08488576449912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1185.5</v>
      </c>
      <c r="E29" s="46">
        <f t="shared" si="20"/>
        <v>1195.5</v>
      </c>
      <c r="F29" s="46">
        <f t="shared" si="20"/>
        <v>643.5</v>
      </c>
      <c r="G29" s="5">
        <f t="shared" ref="G29:I29" si="21">G18</f>
        <v>71.3</v>
      </c>
      <c r="H29" s="5">
        <f t="shared" si="21"/>
        <v>85.4</v>
      </c>
      <c r="I29" s="5">
        <f t="shared" si="21"/>
        <v>42.9</v>
      </c>
      <c r="J29" s="99"/>
      <c r="M29" s="46">
        <f t="shared" si="0"/>
        <v>21.531306617740299</v>
      </c>
      <c r="N29" s="46">
        <f t="shared" si="5"/>
        <v>26</v>
      </c>
      <c r="O29" s="50">
        <f t="shared" si="1"/>
        <v>72.665311942959008</v>
      </c>
      <c r="P29" s="50">
        <f t="shared" si="2"/>
        <v>51.134005325218709</v>
      </c>
      <c r="Q29" s="50">
        <f t="shared" si="3"/>
        <v>54.751845342706503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509.75</v>
      </c>
      <c r="E30" s="46">
        <f t="shared" si="23"/>
        <v>575.95000000000005</v>
      </c>
      <c r="F30" s="46">
        <f t="shared" si="23"/>
        <v>528.25</v>
      </c>
      <c r="G30" s="5">
        <f t="shared" ref="G30:I30" si="24">G21</f>
        <v>30.1</v>
      </c>
      <c r="H30" s="5">
        <f t="shared" si="24"/>
        <v>42</v>
      </c>
      <c r="I30" s="5">
        <f t="shared" si="24"/>
        <v>30</v>
      </c>
      <c r="J30" s="99"/>
      <c r="M30" s="46">
        <f t="shared" si="0"/>
        <v>19.420728973217287</v>
      </c>
      <c r="N30" s="46">
        <f t="shared" si="5"/>
        <v>27</v>
      </c>
      <c r="O30" s="50">
        <f t="shared" si="1"/>
        <v>70.469679144385026</v>
      </c>
      <c r="P30" s="50">
        <f t="shared" si="2"/>
        <v>51.048950171167739</v>
      </c>
      <c r="Q30" s="50">
        <f t="shared" si="3"/>
        <v>54.418804920913885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268.25</v>
      </c>
      <c r="E31" s="46">
        <f t="shared" si="25"/>
        <v>244.75</v>
      </c>
      <c r="F31" s="46">
        <f t="shared" si="25"/>
        <v>73.599999999999994</v>
      </c>
      <c r="G31" s="5">
        <f t="shared" ref="G31:I33" si="26">G22*$J$31</f>
        <v>85.3</v>
      </c>
      <c r="H31" s="5">
        <f t="shared" si="26"/>
        <v>32</v>
      </c>
      <c r="I31" s="5">
        <f t="shared" si="26"/>
        <v>35.299999999999997</v>
      </c>
      <c r="J31" s="96">
        <f>J$22/J22</f>
        <v>1</v>
      </c>
      <c r="M31" s="46">
        <f t="shared" si="0"/>
        <v>17.310151328694289</v>
      </c>
      <c r="N31" s="46">
        <f t="shared" si="5"/>
        <v>28</v>
      </c>
      <c r="O31" s="50">
        <f t="shared" si="1"/>
        <v>68.274046345811058</v>
      </c>
      <c r="P31" s="50">
        <f t="shared" si="2"/>
        <v>50.963895017116769</v>
      </c>
      <c r="Q31" s="50">
        <f t="shared" si="3"/>
        <v>54.085764499121268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1185.5</v>
      </c>
      <c r="E32" s="46">
        <f t="shared" si="27"/>
        <v>1195.5</v>
      </c>
      <c r="F32" s="46">
        <f t="shared" si="27"/>
        <v>643.5</v>
      </c>
      <c r="G32" s="5">
        <f t="shared" si="26"/>
        <v>68.2</v>
      </c>
      <c r="H32" s="5">
        <f t="shared" si="26"/>
        <v>79.2</v>
      </c>
      <c r="I32" s="5">
        <f t="shared" si="26"/>
        <v>39.6</v>
      </c>
      <c r="J32" s="96"/>
      <c r="M32" s="46">
        <f t="shared" si="0"/>
        <v>15.199573684171291</v>
      </c>
      <c r="N32" s="46">
        <f t="shared" si="5"/>
        <v>29</v>
      </c>
      <c r="O32" s="50">
        <f t="shared" si="1"/>
        <v>66.078413547237091</v>
      </c>
      <c r="P32" s="50">
        <f t="shared" si="2"/>
        <v>50.878839863065799</v>
      </c>
      <c r="Q32" s="50">
        <f t="shared" si="3"/>
        <v>53.752724077328651</v>
      </c>
    </row>
    <row r="33" spans="1:17">
      <c r="A33" s="78"/>
      <c r="B33" s="46" t="str">
        <f t="shared" si="27"/>
        <v>D65</v>
      </c>
      <c r="C33" s="79"/>
      <c r="D33" s="46">
        <f t="shared" si="27"/>
        <v>509.75</v>
      </c>
      <c r="E33" s="46">
        <f t="shared" si="27"/>
        <v>575.95000000000005</v>
      </c>
      <c r="F33" s="46">
        <f t="shared" si="27"/>
        <v>528.25</v>
      </c>
      <c r="G33" s="5">
        <f t="shared" si="26"/>
        <v>29.7</v>
      </c>
      <c r="H33" s="5">
        <f t="shared" si="26"/>
        <v>38.799999999999997</v>
      </c>
      <c r="I33" s="5">
        <f t="shared" si="26"/>
        <v>29.7</v>
      </c>
      <c r="J33" s="96"/>
      <c r="M33" s="46">
        <f t="shared" si="0"/>
        <v>13.088996039648279</v>
      </c>
      <c r="N33" s="46">
        <f t="shared" si="5"/>
        <v>30</v>
      </c>
      <c r="O33" s="50">
        <f t="shared" si="1"/>
        <v>63.882780748663109</v>
      </c>
      <c r="P33" s="50">
        <f t="shared" si="2"/>
        <v>50.79378470901483</v>
      </c>
      <c r="Q33" s="50">
        <f t="shared" si="3"/>
        <v>53.419683655536033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268.25</v>
      </c>
      <c r="E34" s="46">
        <f t="shared" si="27"/>
        <v>244.75</v>
      </c>
      <c r="F34" s="46">
        <f t="shared" si="27"/>
        <v>73.599999999999994</v>
      </c>
      <c r="G34" s="5">
        <f t="shared" ref="G34:I36" si="28">G25*$J$34</f>
        <v>84.778503046127071</v>
      </c>
      <c r="H34" s="5">
        <f t="shared" si="28"/>
        <v>32.482550043516099</v>
      </c>
      <c r="I34" s="5">
        <f t="shared" si="28"/>
        <v>35.721279373368148</v>
      </c>
      <c r="J34" s="96">
        <f>J$22/J25</f>
        <v>0.9525674499564839</v>
      </c>
      <c r="M34" s="46">
        <f t="shared" si="0"/>
        <v>10.978418395125267</v>
      </c>
      <c r="N34" s="46">
        <f t="shared" si="5"/>
        <v>31</v>
      </c>
      <c r="O34" s="50">
        <f t="shared" si="1"/>
        <v>61.687147950089127</v>
      </c>
      <c r="P34" s="50">
        <f t="shared" si="2"/>
        <v>50.70872955496386</v>
      </c>
      <c r="Q34" s="50">
        <f t="shared" si="3"/>
        <v>53.086643233743416</v>
      </c>
    </row>
    <row r="35" spans="1:17">
      <c r="A35" s="78"/>
      <c r="B35" s="46" t="str">
        <f t="shared" si="27"/>
        <v>CWF</v>
      </c>
      <c r="C35" s="79"/>
      <c r="D35" s="46">
        <f t="shared" si="27"/>
        <v>1185.5</v>
      </c>
      <c r="E35" s="46">
        <f t="shared" si="27"/>
        <v>1195.5</v>
      </c>
      <c r="F35" s="46">
        <f t="shared" si="27"/>
        <v>643.5</v>
      </c>
      <c r="G35" s="5">
        <f t="shared" si="28"/>
        <v>67.822802436901654</v>
      </c>
      <c r="H35" s="5">
        <f t="shared" si="28"/>
        <v>78.396301131418625</v>
      </c>
      <c r="I35" s="5">
        <f t="shared" si="28"/>
        <v>39.912576153176673</v>
      </c>
      <c r="J35" s="96"/>
      <c r="M35" s="46">
        <f t="shared" si="0"/>
        <v>8.8678407506022694</v>
      </c>
      <c r="N35" s="46">
        <f t="shared" si="5"/>
        <v>32</v>
      </c>
      <c r="O35" s="50">
        <f t="shared" si="1"/>
        <v>59.491515151515159</v>
      </c>
      <c r="P35" s="50">
        <f t="shared" si="2"/>
        <v>50.62367440091289</v>
      </c>
      <c r="Q35" s="50">
        <f t="shared" si="3"/>
        <v>52.753602811950792</v>
      </c>
    </row>
    <row r="36" spans="1:17">
      <c r="A36" s="78"/>
      <c r="B36" s="46" t="str">
        <f t="shared" si="27"/>
        <v>D65</v>
      </c>
      <c r="C36" s="79"/>
      <c r="D36" s="46">
        <f t="shared" si="27"/>
        <v>509.75</v>
      </c>
      <c r="E36" s="46">
        <f t="shared" si="27"/>
        <v>575.95000000000005</v>
      </c>
      <c r="F36" s="46">
        <f t="shared" si="27"/>
        <v>528.25</v>
      </c>
      <c r="G36" s="5">
        <f t="shared" si="28"/>
        <v>29.910617928633592</v>
      </c>
      <c r="H36" s="5">
        <f t="shared" si="28"/>
        <v>39.150522193211486</v>
      </c>
      <c r="I36" s="5">
        <f t="shared" si="28"/>
        <v>29.62484769364665</v>
      </c>
      <c r="J36" s="96"/>
      <c r="M36" s="46">
        <f t="shared" si="0"/>
        <v>6.7572631060792716</v>
      </c>
      <c r="N36" s="46">
        <f t="shared" si="5"/>
        <v>33</v>
      </c>
      <c r="O36" s="50">
        <f t="shared" si="1"/>
        <v>57.295882352941192</v>
      </c>
      <c r="P36" s="50">
        <f t="shared" si="2"/>
        <v>50.53861924686192</v>
      </c>
      <c r="Q36" s="50">
        <f t="shared" si="3"/>
        <v>52.420562390158175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268.25</v>
      </c>
      <c r="E37" s="46">
        <f t="shared" si="27"/>
        <v>244.75</v>
      </c>
      <c r="F37" s="46">
        <f t="shared" si="27"/>
        <v>73.599999999999994</v>
      </c>
      <c r="G37" s="5">
        <f t="shared" ref="G37:I39" si="29">G28*$J$37</f>
        <v>87.447043646527632</v>
      </c>
      <c r="H37" s="5">
        <f t="shared" si="29"/>
        <v>31.251257794022795</v>
      </c>
      <c r="I37" s="5">
        <f t="shared" si="29"/>
        <v>35.110599870995486</v>
      </c>
      <c r="J37" s="96">
        <f>J$22/J28</f>
        <v>0.94130294560309613</v>
      </c>
      <c r="K37" s="51" t="str">
        <f>CHAR(34) &amp; "EEpromVersion" &amp;CHAR(34)  &amp; ",3,"</f>
        <v>"EEpromVersion",3,</v>
      </c>
      <c r="M37" s="46">
        <f t="shared" si="0"/>
        <v>4.6466854615562596</v>
      </c>
      <c r="N37" s="46">
        <f t="shared" si="5"/>
        <v>34</v>
      </c>
      <c r="O37" s="50">
        <f t="shared" si="1"/>
        <v>55.10024955436721</v>
      </c>
      <c r="P37" s="50">
        <f t="shared" si="2"/>
        <v>50.45356409281095</v>
      </c>
      <c r="Q37" s="50">
        <f t="shared" si="3"/>
        <v>52.087521968365557</v>
      </c>
    </row>
    <row r="38" spans="1:17">
      <c r="A38" s="78"/>
      <c r="B38" s="46" t="str">
        <f t="shared" si="27"/>
        <v>CWF</v>
      </c>
      <c r="C38" s="79"/>
      <c r="D38" s="46">
        <f t="shared" si="27"/>
        <v>1185.5</v>
      </c>
      <c r="E38" s="46">
        <f t="shared" si="27"/>
        <v>1195.5</v>
      </c>
      <c r="F38" s="46">
        <f t="shared" si="27"/>
        <v>643.5</v>
      </c>
      <c r="G38" s="5">
        <f t="shared" si="29"/>
        <v>67.114900021500745</v>
      </c>
      <c r="H38" s="5">
        <f t="shared" si="29"/>
        <v>80.387271554504409</v>
      </c>
      <c r="I38" s="5">
        <f t="shared" si="29"/>
        <v>40.381896366372821</v>
      </c>
      <c r="J38" s="96"/>
      <c r="K38" s="52" t="str">
        <f>K4</f>
        <v>"Compensation",36,</v>
      </c>
      <c r="M38" s="46">
        <f t="shared" si="0"/>
        <v>2.5361078170332476</v>
      </c>
      <c r="N38" s="46">
        <f t="shared" si="5"/>
        <v>35</v>
      </c>
      <c r="O38" s="50">
        <f t="shared" si="1"/>
        <v>52.904616755793228</v>
      </c>
      <c r="P38" s="50">
        <f t="shared" si="2"/>
        <v>50.36850893875998</v>
      </c>
      <c r="Q38" s="50">
        <f t="shared" si="3"/>
        <v>51.75448154657294</v>
      </c>
    </row>
    <row r="39" spans="1:17">
      <c r="A39" s="78"/>
      <c r="B39" s="46" t="str">
        <f t="shared" si="27"/>
        <v>D65</v>
      </c>
      <c r="C39" s="79"/>
      <c r="D39" s="46">
        <f t="shared" si="27"/>
        <v>509.75</v>
      </c>
      <c r="E39" s="46">
        <f t="shared" si="27"/>
        <v>575.95000000000005</v>
      </c>
      <c r="F39" s="46">
        <f t="shared" si="27"/>
        <v>528.25</v>
      </c>
      <c r="G39" s="5">
        <f t="shared" si="29"/>
        <v>28.333218662653195</v>
      </c>
      <c r="H39" s="5">
        <f t="shared" si="29"/>
        <v>39.534723715330038</v>
      </c>
      <c r="I39" s="5">
        <f t="shared" si="29"/>
        <v>28.239088368092883</v>
      </c>
      <c r="J39" s="96"/>
      <c r="K39" s="53" t="str">
        <f>linefmt("CardGain",J42,J45,J48)</f>
        <v>"CardGain",19.10841,19.83082,18.56051,</v>
      </c>
      <c r="M39" s="46">
        <f t="shared" si="0"/>
        <v>1.1379873400713052</v>
      </c>
      <c r="N39" s="46">
        <f t="shared" si="5"/>
        <v>36</v>
      </c>
      <c r="O39" s="50">
        <f t="shared" si="1"/>
        <v>50.70898395721926</v>
      </c>
      <c r="P39" s="50">
        <f t="shared" si="2"/>
        <v>50.28345378470901</v>
      </c>
      <c r="Q39" s="50">
        <f t="shared" si="3"/>
        <v>51.421441124780316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"Range",1,0.9525675,0.941303,</v>
      </c>
      <c r="M40" s="46">
        <f t="shared" si="0"/>
        <v>2.5750495443424057</v>
      </c>
      <c r="N40" s="46">
        <f t="shared" si="5"/>
        <v>37</v>
      </c>
      <c r="O40" s="50">
        <f t="shared" si="1"/>
        <v>48.513351158645293</v>
      </c>
      <c r="P40" s="50">
        <f t="shared" si="2"/>
        <v>50.198398630658041</v>
      </c>
      <c r="Q40" s="50">
        <f t="shared" si="3"/>
        <v>51.088400702987698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4.4376419211237703</v>
      </c>
      <c r="N41" s="46">
        <f t="shared" si="5"/>
        <v>38</v>
      </c>
      <c r="O41" s="50">
        <f t="shared" si="1"/>
        <v>46.317718360071311</v>
      </c>
      <c r="P41" s="50">
        <f t="shared" si="2"/>
        <v>50.113343476607071</v>
      </c>
      <c r="Q41" s="50">
        <f t="shared" si="3"/>
        <v>50.755360281195081</v>
      </c>
    </row>
    <row r="42" spans="1:17">
      <c r="A42" s="4"/>
      <c r="B42" s="46" t="s">
        <v>3</v>
      </c>
      <c r="C42" s="79">
        <f>C31</f>
        <v>0</v>
      </c>
      <c r="D42" s="46">
        <f>I42/$H$43</f>
        <v>-6.2812377369657321E-2</v>
      </c>
      <c r="E42" s="46">
        <f>H42/$H$43</f>
        <v>1.0291821361602804</v>
      </c>
      <c r="F42" s="46">
        <f>G42/$H$43</f>
        <v>-0.38350167452619954</v>
      </c>
      <c r="G42" s="46">
        <f t="array" ref="G42:I42">LINEST($D31:$D33,$G31:$I33,FALSE)</f>
        <v>-7.328106130963298</v>
      </c>
      <c r="H42" s="46">
        <v>19.666031266204584</v>
      </c>
      <c r="I42" s="46">
        <v>-1.2002444794319151</v>
      </c>
      <c r="J42" s="97">
        <f>H43</f>
        <v>19.108407127600863</v>
      </c>
      <c r="K42" s="53" t="str">
        <f t="shared" ref="K42:K50" si="30">linefmt("",D42,E42,F42)</f>
        <v>-6.281238E-02,1.029182,-0.3835017,</v>
      </c>
      <c r="M42" s="46">
        <f t="shared" si="0"/>
        <v>6.3002342979051349</v>
      </c>
      <c r="N42" s="46">
        <f t="shared" si="5"/>
        <v>39</v>
      </c>
      <c r="O42" s="50">
        <f t="shared" si="1"/>
        <v>44.122085561497329</v>
      </c>
      <c r="P42" s="50">
        <f t="shared" si="2"/>
        <v>50.028288322556101</v>
      </c>
      <c r="Q42" s="50">
        <f t="shared" si="3"/>
        <v>50.422319859402464</v>
      </c>
    </row>
    <row r="43" spans="1:17">
      <c r="A43" s="4"/>
      <c r="B43" s="46" t="s">
        <v>4</v>
      </c>
      <c r="C43" s="79"/>
      <c r="D43" s="46">
        <f>I43/$H$43</f>
        <v>-0.17800092119397001</v>
      </c>
      <c r="E43" s="46">
        <f>H43/$H$43</f>
        <v>1</v>
      </c>
      <c r="F43" s="46">
        <f>G43/$H$43</f>
        <v>-0.11354173181650161</v>
      </c>
      <c r="G43" s="46">
        <f t="array" ref="G43:I43">LINEST($E31:$E33,$G31:$I33,FALSE)</f>
        <v>-2.1696016375225851</v>
      </c>
      <c r="H43" s="46">
        <v>19.108407127600863</v>
      </c>
      <c r="I43" s="46">
        <v>-3.4013140712623762</v>
      </c>
      <c r="J43" s="97"/>
      <c r="K43" s="53" t="str">
        <f t="shared" si="30"/>
        <v>-0.1780009,1,-0.1135417,</v>
      </c>
      <c r="M43" s="46">
        <f t="shared" si="0"/>
        <v>8.1628266746864853</v>
      </c>
      <c r="N43" s="46">
        <f t="shared" si="5"/>
        <v>40</v>
      </c>
      <c r="O43" s="50">
        <f t="shared" si="1"/>
        <v>41.926452762923361</v>
      </c>
      <c r="P43" s="50">
        <f t="shared" si="2"/>
        <v>49.943233168505131</v>
      </c>
      <c r="Q43" s="50">
        <f t="shared" si="3"/>
        <v>50.089279437609846</v>
      </c>
    </row>
    <row r="44" spans="1:17">
      <c r="A44" s="4"/>
      <c r="B44" s="46" t="s">
        <v>5</v>
      </c>
      <c r="C44" s="79"/>
      <c r="D44" s="46">
        <f>I44/$H$43</f>
        <v>-0.47361119661140461</v>
      </c>
      <c r="E44" s="46">
        <f>H44/$H$43</f>
        <v>0.37724600424708721</v>
      </c>
      <c r="F44" s="46">
        <f>G44/$H$43</f>
        <v>0.91158273921475808</v>
      </c>
      <c r="G44" s="46">
        <f t="array" ref="G44:I44">LINEST($F$31:$F$33,$G31:$I33,FALSE)</f>
        <v>17.418894111409202</v>
      </c>
      <c r="H44" s="46">
        <v>7.208570236413987</v>
      </c>
      <c r="I44" s="46">
        <v>-9.0499555650409373</v>
      </c>
      <c r="J44" s="97"/>
      <c r="K44" s="53" t="str">
        <f t="shared" si="30"/>
        <v>-0.4736112,0.377246,0.9115828,</v>
      </c>
      <c r="M44" s="46">
        <f t="shared" si="0"/>
        <v>10.127358050104768</v>
      </c>
      <c r="N44" s="46">
        <f t="shared" si="5"/>
        <v>41</v>
      </c>
      <c r="O44" s="50">
        <f t="shared" si="1"/>
        <v>39.730819964349394</v>
      </c>
      <c r="P44" s="50">
        <f t="shared" si="2"/>
        <v>49.858178014454161</v>
      </c>
      <c r="Q44" s="50">
        <f t="shared" si="3"/>
        <v>49.756239015817229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-4.6976172543059268E-2</v>
      </c>
      <c r="E45" s="46">
        <f>H45/$H$46</f>
        <v>1.0308850993522871</v>
      </c>
      <c r="F45" s="46">
        <f>G45/$H$46</f>
        <v>-0.44724830283630707</v>
      </c>
      <c r="G45" s="46">
        <f t="array" ref="G45:I45">LINEST($D34:$D36,$G34:$I36,FALSE)</f>
        <v>-8.8692996612926702</v>
      </c>
      <c r="H45" s="46">
        <v>20.443294707958511</v>
      </c>
      <c r="I45" s="46">
        <v>-0.93157592456527227</v>
      </c>
      <c r="J45" s="97">
        <f>H46</f>
        <v>19.83081792607458</v>
      </c>
      <c r="K45" s="53" t="str">
        <f t="shared" si="30"/>
        <v>-4.697617E-02,1.030885,-0.4472483,</v>
      </c>
      <c r="M45" s="46">
        <f t="shared" si="0"/>
        <v>12.23793569462778</v>
      </c>
      <c r="N45" s="46">
        <f t="shared" si="5"/>
        <v>42</v>
      </c>
      <c r="O45" s="50">
        <f t="shared" si="1"/>
        <v>37.535187165775412</v>
      </c>
      <c r="P45" s="50">
        <f t="shared" si="2"/>
        <v>49.773122860403191</v>
      </c>
      <c r="Q45" s="50">
        <f t="shared" si="3"/>
        <v>49.423198594024612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-0.16327050085481684</v>
      </c>
      <c r="E46" s="46">
        <f>H46/$H$46</f>
        <v>1</v>
      </c>
      <c r="F46" s="46">
        <f>G46/$H$46</f>
        <v>-0.17633242918491276</v>
      </c>
      <c r="G46" s="46">
        <f t="array" ref="G46:I46">LINEST($E34:$E36,$G34:$I36,FALSE)</f>
        <v>-3.4968162976284445</v>
      </c>
      <c r="H46" s="46">
        <v>19.83081792607458</v>
      </c>
      <c r="I46" s="46">
        <v>-3.2377875751508771</v>
      </c>
      <c r="J46" s="97"/>
      <c r="K46" s="53" t="str">
        <f t="shared" si="30"/>
        <v>-0.1632705,1,-0.1763324,</v>
      </c>
      <c r="M46" s="46">
        <f t="shared" si="0"/>
        <v>14.348513339150792</v>
      </c>
      <c r="N46" s="46">
        <f t="shared" si="5"/>
        <v>43</v>
      </c>
      <c r="O46" s="50">
        <f t="shared" si="1"/>
        <v>35.33955436720143</v>
      </c>
      <c r="P46" s="50">
        <f t="shared" si="2"/>
        <v>49.688067706352221</v>
      </c>
      <c r="Q46" s="50">
        <f t="shared" si="3"/>
        <v>49.090158172231988</v>
      </c>
    </row>
    <row r="47" spans="1:17">
      <c r="A47" s="4"/>
      <c r="B47" s="46" t="str">
        <f t="shared" si="31"/>
        <v>Z</v>
      </c>
      <c r="C47" s="79"/>
      <c r="D47" s="46">
        <f>I47/$H$46</f>
        <v>-0.47094208358895207</v>
      </c>
      <c r="E47" s="46">
        <f>H47/$H$46</f>
        <v>0.37130491215727462</v>
      </c>
      <c r="F47" s="46">
        <f>G47/$H$46</f>
        <v>0.88396132801696237</v>
      </c>
      <c r="G47" s="46">
        <f t="array" ref="G47:I47">LINEST($F$31:$F$33,$G34:$I36,FALSE)</f>
        <v>17.52967614959547</v>
      </c>
      <c r="H47" s="46">
        <v>7.3632801080480288</v>
      </c>
      <c r="I47" s="46">
        <v>-9.3391667133787042</v>
      </c>
      <c r="J47" s="97"/>
      <c r="K47" s="53" t="str">
        <f t="shared" si="30"/>
        <v>-0.4709421,0.3713049,0.8839613,</v>
      </c>
      <c r="M47" s="46">
        <f t="shared" si="0"/>
        <v>16.459090983673789</v>
      </c>
      <c r="N47" s="46">
        <f t="shared" si="5"/>
        <v>44</v>
      </c>
      <c r="O47" s="50">
        <f t="shared" si="1"/>
        <v>33.143921568627462</v>
      </c>
      <c r="P47" s="50">
        <f t="shared" si="2"/>
        <v>49.603012552301252</v>
      </c>
      <c r="Q47" s="50">
        <f t="shared" si="3"/>
        <v>48.75711775043937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-1.7055733895124291E-2</v>
      </c>
      <c r="E48" s="46">
        <f>H48/$H$49</f>
        <v>1.0502820949715266</v>
      </c>
      <c r="F48" s="46">
        <f>G48/$H$49</f>
        <v>-0.48072203019359838</v>
      </c>
      <c r="G48" s="46">
        <f t="array" ref="G48:I48">LINEST($D37:$D39,$G37:$I39,FALSE)</f>
        <v>-8.9224483406871986</v>
      </c>
      <c r="H48" s="46">
        <v>19.493776334232507</v>
      </c>
      <c r="I48" s="46">
        <v>-0.31656320083868011</v>
      </c>
      <c r="J48" s="97">
        <f>H49</f>
        <v>18.560514767950021</v>
      </c>
      <c r="K48" s="53" t="str">
        <f t="shared" si="30"/>
        <v>-1.705573E-02,1.050282,-0.480722,</v>
      </c>
      <c r="M48" s="46">
        <f t="shared" si="0"/>
        <v>18.569668628196787</v>
      </c>
      <c r="N48" s="46">
        <f t="shared" si="5"/>
        <v>45</v>
      </c>
      <c r="O48" s="50">
        <f t="shared" si="1"/>
        <v>30.948288770053495</v>
      </c>
      <c r="P48" s="50">
        <f t="shared" si="2"/>
        <v>49.517957398250282</v>
      </c>
      <c r="Q48" s="50">
        <f t="shared" si="3"/>
        <v>48.424077328646753</v>
      </c>
    </row>
    <row r="49" spans="1:24">
      <c r="A49" s="4"/>
      <c r="B49" s="46" t="str">
        <f t="shared" si="31"/>
        <v>Y</v>
      </c>
      <c r="C49" s="79"/>
      <c r="D49" s="46">
        <f>I49/$H$49</f>
        <v>-0.14346408828154472</v>
      </c>
      <c r="E49" s="46">
        <f>H49/$H$49</f>
        <v>1</v>
      </c>
      <c r="F49" s="46">
        <f>G49/$H$49</f>
        <v>-0.15719332487842275</v>
      </c>
      <c r="G49" s="46">
        <f t="array" ref="G49:I49">LINEST($E37:$E39,$G37:$I39,FALSE)</f>
        <v>-2.917589027829131</v>
      </c>
      <c r="H49" s="46">
        <v>18.560514767950021</v>
      </c>
      <c r="I49" s="46">
        <v>-2.6627673292200962</v>
      </c>
      <c r="J49" s="97"/>
      <c r="K49" s="53" t="str">
        <f t="shared" si="30"/>
        <v>-0.1434641,1,-0.1571933,</v>
      </c>
      <c r="M49" s="46">
        <f t="shared" si="0"/>
        <v>20.680246272719799</v>
      </c>
      <c r="N49" s="46">
        <f t="shared" si="5"/>
        <v>46</v>
      </c>
      <c r="O49" s="50">
        <f t="shared" si="1"/>
        <v>28.752655971479513</v>
      </c>
      <c r="P49" s="50">
        <f t="shared" si="2"/>
        <v>49.432902244199312</v>
      </c>
      <c r="Q49" s="50">
        <f t="shared" si="3"/>
        <v>48.091036906854136</v>
      </c>
    </row>
    <row r="50" spans="1:24">
      <c r="A50" s="4"/>
      <c r="B50" s="46" t="str">
        <f t="shared" si="31"/>
        <v>Z</v>
      </c>
      <c r="C50" s="79"/>
      <c r="D50" s="46">
        <f>I50/$H$49</f>
        <v>-0.49798066167270377</v>
      </c>
      <c r="E50" s="46">
        <f>H50/$H$49</f>
        <v>0.3025535811662407</v>
      </c>
      <c r="F50" s="46">
        <f>G50/$H$49</f>
        <v>1.0839223509188614</v>
      </c>
      <c r="G50" s="46">
        <f t="array" ref="G50:I50">LINEST($F$31:$F$33,$G37:$I39,FALSE)</f>
        <v>20.118156801540632</v>
      </c>
      <c r="H50" s="46">
        <v>5.6155502113321765</v>
      </c>
      <c r="I50" s="46">
        <v>-9.2427774251297414</v>
      </c>
      <c r="J50" s="97"/>
      <c r="K50" s="54" t="str">
        <f t="shared" si="30"/>
        <v>-0.4979807,0.3025536,1.083922,</v>
      </c>
      <c r="M50" s="46">
        <f t="shared" si="0"/>
        <v>22.790823917242811</v>
      </c>
      <c r="N50" s="46">
        <f t="shared" si="5"/>
        <v>47</v>
      </c>
      <c r="O50" s="50">
        <f t="shared" si="1"/>
        <v>26.557023172905531</v>
      </c>
      <c r="P50" s="50">
        <f t="shared" si="2"/>
        <v>49.347847090148342</v>
      </c>
      <c r="Q50" s="50">
        <f t="shared" si="3"/>
        <v>47.757996485061511</v>
      </c>
    </row>
    <row r="51" spans="1:24">
      <c r="B51" s="46" t="str">
        <f t="shared" si="31"/>
        <v>X</v>
      </c>
      <c r="C51" s="79" t="s">
        <v>28</v>
      </c>
      <c r="D51" s="46">
        <f>(D42+D45+D48)/3</f>
        <v>-4.2281427935946962E-2</v>
      </c>
      <c r="E51" s="46">
        <f t="shared" ref="E51:F51" si="32">(E42+E45+E48)/3</f>
        <v>1.0367831101613649</v>
      </c>
      <c r="F51" s="46">
        <f t="shared" si="32"/>
        <v>-0.43715733585203503</v>
      </c>
      <c r="J51" s="97">
        <f>(J42+J45+J48)/3</f>
        <v>19.166579940541823</v>
      </c>
      <c r="M51" s="46">
        <f t="shared" si="0"/>
        <v>24.901401561765809</v>
      </c>
      <c r="N51" s="46">
        <f t="shared" si="5"/>
        <v>48</v>
      </c>
      <c r="O51" s="50">
        <f t="shared" si="1"/>
        <v>24.361390374331563</v>
      </c>
      <c r="P51" s="50">
        <f t="shared" si="2"/>
        <v>49.262791936097372</v>
      </c>
      <c r="Q51" s="50">
        <f t="shared" si="3"/>
        <v>47.424956063268894</v>
      </c>
    </row>
    <row r="52" spans="1:24">
      <c r="B52" s="46" t="str">
        <f t="shared" si="31"/>
        <v>Y</v>
      </c>
      <c r="C52" s="79"/>
      <c r="D52" s="46">
        <f t="shared" ref="D52:F53" si="33">(D43+D46+D49)/3</f>
        <v>-0.16157850344344385</v>
      </c>
      <c r="E52" s="46">
        <f t="shared" si="33"/>
        <v>1</v>
      </c>
      <c r="F52" s="46">
        <f t="shared" si="33"/>
        <v>-0.14902249529327904</v>
      </c>
      <c r="J52" s="97"/>
      <c r="M52" s="46">
        <f t="shared" si="0"/>
        <v>27.011979206288807</v>
      </c>
      <c r="N52" s="46">
        <f t="shared" si="5"/>
        <v>49</v>
      </c>
      <c r="O52" s="50">
        <f t="shared" si="1"/>
        <v>22.165757575757596</v>
      </c>
      <c r="P52" s="50">
        <f t="shared" si="2"/>
        <v>49.177736782046402</v>
      </c>
      <c r="Q52" s="50">
        <f t="shared" si="3"/>
        <v>47.091915641476277</v>
      </c>
    </row>
    <row r="53" spans="1:24" ht="15.75" thickBot="1">
      <c r="B53" s="46" t="str">
        <f t="shared" si="31"/>
        <v>Z</v>
      </c>
      <c r="C53" s="79"/>
      <c r="D53" s="46">
        <f t="shared" si="33"/>
        <v>-0.48084464729102017</v>
      </c>
      <c r="E53" s="46">
        <f t="shared" si="33"/>
        <v>0.35036816585686753</v>
      </c>
      <c r="F53" s="46">
        <f t="shared" si="33"/>
        <v>0.95982213938352723</v>
      </c>
      <c r="J53" s="100"/>
      <c r="M53" s="46">
        <f t="shared" si="0"/>
        <v>29.122556850811819</v>
      </c>
      <c r="N53" s="46">
        <f t="shared" si="5"/>
        <v>50</v>
      </c>
      <c r="O53" s="50">
        <f t="shared" si="1"/>
        <v>19.970124777183614</v>
      </c>
      <c r="P53" s="50">
        <f t="shared" si="2"/>
        <v>49.092681627995432</v>
      </c>
      <c r="Q53" s="50">
        <f t="shared" si="3"/>
        <v>46.758875219683659</v>
      </c>
    </row>
    <row r="54" spans="1:24">
      <c r="B54" s="79" t="s">
        <v>14</v>
      </c>
      <c r="C54" s="79"/>
      <c r="D54" s="19">
        <f>I54/$H$55</f>
        <v>-4.2316144321400517E-2</v>
      </c>
      <c r="E54" s="20">
        <f>H54/$H$55</f>
        <v>1.0358241376677206</v>
      </c>
      <c r="F54" s="21">
        <f>G54/$H$55</f>
        <v>-0.43427147178685516</v>
      </c>
      <c r="G54" s="46">
        <f t="array" ref="G54:I54">LINEST(D$31:D$39,$G$31:$I$39,FALSE)</f>
        <v>-8.3069172312163708</v>
      </c>
      <c r="H54" s="46">
        <v>19.813655597264297</v>
      </c>
      <c r="I54" s="46">
        <v>-0.80944001911000196</v>
      </c>
      <c r="J54" s="98">
        <f>H55</f>
        <v>19.128397260443325</v>
      </c>
      <c r="M54" s="46">
        <f t="shared" si="0"/>
        <v>31.233134495334831</v>
      </c>
      <c r="N54" s="46">
        <f t="shared" si="5"/>
        <v>51</v>
      </c>
      <c r="O54" s="50">
        <f t="shared" si="1"/>
        <v>17.774491978609632</v>
      </c>
      <c r="P54" s="50">
        <f t="shared" si="2"/>
        <v>49.007626473944462</v>
      </c>
      <c r="Q54" s="50">
        <f t="shared" si="3"/>
        <v>46.425834797891042</v>
      </c>
    </row>
    <row r="55" spans="1:24" ht="15" customHeight="1">
      <c r="B55" s="79"/>
      <c r="C55" s="79"/>
      <c r="D55" s="22">
        <f>I55/$H$55</f>
        <v>-0.16067243353983676</v>
      </c>
      <c r="E55" s="18">
        <f>H55/$H$55</f>
        <v>1</v>
      </c>
      <c r="F55" s="23">
        <f>G55/$H$55</f>
        <v>-0.14939569687747414</v>
      </c>
      <c r="G55" s="46">
        <f t="array" ref="G55:I55">LINEST(E$31:E$39,$G$31:$I$39,FALSE)</f>
        <v>-2.8577002388730977</v>
      </c>
      <c r="H55" s="46">
        <v>19.128397260443325</v>
      </c>
      <c r="I55" s="46">
        <v>-3.0734061375521757</v>
      </c>
      <c r="J55" s="98"/>
      <c r="M55" s="46">
        <f t="shared" si="0"/>
        <v>33.343712139857828</v>
      </c>
      <c r="N55" s="46">
        <f t="shared" si="5"/>
        <v>52</v>
      </c>
      <c r="O55" s="50">
        <f t="shared" si="1"/>
        <v>15.578859180035664</v>
      </c>
      <c r="P55" s="50">
        <f t="shared" si="2"/>
        <v>48.922571319893493</v>
      </c>
      <c r="Q55" s="50">
        <f t="shared" si="3"/>
        <v>46.092794376098425</v>
      </c>
    </row>
    <row r="56" spans="1:24" ht="15" customHeight="1" thickBot="1">
      <c r="B56" s="79"/>
      <c r="C56" s="79"/>
      <c r="D56" s="24">
        <f>I56/$H$55</f>
        <v>-0.47704251323293761</v>
      </c>
      <c r="E56" s="25">
        <f>H56/$H$55</f>
        <v>0.35384893641787152</v>
      </c>
      <c r="F56" s="26">
        <f>G56/$H$55</f>
        <v>0.94796121922899845</v>
      </c>
      <c r="G56" s="46">
        <f t="array" ref="G56:I56">LINEST(F$31:F$39,$G$31:$I$39,FALSE)</f>
        <v>18.132978788906488</v>
      </c>
      <c r="H56" s="46">
        <v>6.7685630259863983</v>
      </c>
      <c r="I56" s="46">
        <v>-9.1250587032399224</v>
      </c>
      <c r="J56" s="98"/>
      <c r="M56" s="46">
        <f t="shared" si="0"/>
        <v>35.454289784380826</v>
      </c>
      <c r="N56" s="46">
        <f t="shared" si="5"/>
        <v>53</v>
      </c>
      <c r="O56" s="50">
        <f t="shared" si="1"/>
        <v>13.383226381461697</v>
      </c>
      <c r="P56" s="50">
        <f t="shared" si="2"/>
        <v>48.837516165842523</v>
      </c>
      <c r="Q56" s="50">
        <f t="shared" si="3"/>
        <v>45.759753954305808</v>
      </c>
    </row>
    <row r="57" spans="1:24">
      <c r="M57" s="46">
        <f t="shared" si="0"/>
        <v>37.564867428903838</v>
      </c>
      <c r="N57" s="46">
        <f t="shared" si="5"/>
        <v>54</v>
      </c>
      <c r="O57" s="50">
        <f t="shared" si="1"/>
        <v>11.187593582887715</v>
      </c>
      <c r="P57" s="50">
        <f t="shared" si="2"/>
        <v>48.752461011791553</v>
      </c>
      <c r="Q57" s="50">
        <f t="shared" si="3"/>
        <v>45.42671353251319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39.67544507342685</v>
      </c>
      <c r="N58" s="46">
        <f t="shared" si="5"/>
        <v>55</v>
      </c>
      <c r="O58" s="50">
        <f t="shared" si="1"/>
        <v>8.9919607843137328</v>
      </c>
      <c r="P58" s="50">
        <f t="shared" si="2"/>
        <v>48.667405857740583</v>
      </c>
      <c r="Q58" s="50">
        <f t="shared" si="3"/>
        <v>45.093673110720566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41.786022717949848</v>
      </c>
      <c r="N59" s="46">
        <f t="shared" si="5"/>
        <v>56</v>
      </c>
      <c r="O59" s="50">
        <f t="shared" si="1"/>
        <v>6.7963279857397652</v>
      </c>
      <c r="P59" s="50">
        <f t="shared" si="2"/>
        <v>48.582350703689613</v>
      </c>
      <c r="Q59" s="50">
        <f t="shared" si="3"/>
        <v>44.760632688927949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244.75</v>
      </c>
      <c r="E60" s="32">
        <f t="shared" ref="E60:E68" si="37">getCCTfromXY(D22/SUM(D22:F22),E22/SUM(D22:F22))</f>
        <v>2793</v>
      </c>
      <c r="F60" s="31">
        <f t="shared" ref="F60:F68" si="38">V60</f>
        <v>249.07035036876545</v>
      </c>
      <c r="G60" s="32">
        <f t="shared" ref="G60:G68" si="39">getCCTfromXY(U60/X60,V60/X60)</f>
        <v>2836</v>
      </c>
      <c r="H60" s="33">
        <f>F60/D60-1</f>
        <v>1.7652095480144903E-2</v>
      </c>
      <c r="I60" s="34">
        <f t="shared" ref="I60:I68" si="40">G60/E60-1</f>
        <v>1.5395631936985232E-2</v>
      </c>
      <c r="M60" s="46">
        <f t="shared" si="0"/>
        <v>43.896600362472846</v>
      </c>
      <c r="N60" s="46">
        <f t="shared" si="5"/>
        <v>57</v>
      </c>
      <c r="O60" s="50">
        <f t="shared" si="1"/>
        <v>4.6006951871657975</v>
      </c>
      <c r="P60" s="50">
        <f t="shared" si="2"/>
        <v>48.497295549638643</v>
      </c>
      <c r="Q60" s="50">
        <f t="shared" si="3"/>
        <v>44.427592267135331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271.75756722043644</v>
      </c>
      <c r="V60" s="50">
        <f>$J$54*$J$31*($D$55*G22+$E$55*H22+$F$55*I22)</f>
        <v>249.07035036876545</v>
      </c>
      <c r="W60" s="50">
        <f>$J$54*$J$31*($D$56*G22+$E$56*H22+$F$56*I22)</f>
        <v>78.320660693598242</v>
      </c>
      <c r="X60" s="29">
        <f>SUM(U60:W60)</f>
        <v>599.14857828280014</v>
      </c>
    </row>
    <row r="61" spans="1:24">
      <c r="A61" s="87"/>
      <c r="B61" s="48" t="str">
        <f t="shared" si="35"/>
        <v>CWF</v>
      </c>
      <c r="C61" s="93"/>
      <c r="D61" s="31">
        <f t="shared" si="36"/>
        <v>1195.5</v>
      </c>
      <c r="E61" s="32">
        <f t="shared" si="37"/>
        <v>3865</v>
      </c>
      <c r="F61" s="31">
        <f t="shared" si="38"/>
        <v>1192.1978349866783</v>
      </c>
      <c r="G61" s="32">
        <f t="shared" si="39"/>
        <v>3827</v>
      </c>
      <c r="H61" s="33">
        <f t="shared" ref="H61:H68" si="41">F61/D61-1</f>
        <v>-2.7621622863418516E-3</v>
      </c>
      <c r="I61" s="34">
        <f t="shared" si="40"/>
        <v>-9.8318240620957065E-3</v>
      </c>
      <c r="M61" s="46">
        <f t="shared" si="0"/>
        <v>46.007178006995858</v>
      </c>
      <c r="N61" s="46">
        <f t="shared" si="5"/>
        <v>58</v>
      </c>
      <c r="O61" s="50">
        <f t="shared" si="1"/>
        <v>2.4050623885918156</v>
      </c>
      <c r="P61" s="50">
        <f t="shared" si="2"/>
        <v>48.412240395587673</v>
      </c>
      <c r="Q61" s="50">
        <f t="shared" si="3"/>
        <v>44.094551845342707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1185.083791643862</v>
      </c>
      <c r="V61" s="50">
        <f>$J$54*$J$31*($D$55*G23+$E$55*H23+$F$55*I23)</f>
        <v>1192.1978349866783</v>
      </c>
      <c r="W61" s="50">
        <f>$J$54*$J$31*($D$56*G23+$E$56*H23+$F$56*I23)</f>
        <v>631.80714813785698</v>
      </c>
      <c r="X61" s="29">
        <f t="shared" ref="X61:X68" si="43">SUM(U61:W61)</f>
        <v>3009.0887747683973</v>
      </c>
    </row>
    <row r="62" spans="1:24">
      <c r="A62" s="87"/>
      <c r="B62" s="48" t="str">
        <f t="shared" si="35"/>
        <v>D65</v>
      </c>
      <c r="C62" s="93"/>
      <c r="D62" s="31">
        <f t="shared" si="36"/>
        <v>575.95000000000005</v>
      </c>
      <c r="E62" s="32">
        <f t="shared" si="37"/>
        <v>6302</v>
      </c>
      <c r="F62" s="31">
        <f t="shared" si="38"/>
        <v>566.02795432537039</v>
      </c>
      <c r="G62" s="32">
        <f t="shared" si="39"/>
        <v>6471</v>
      </c>
      <c r="H62" s="33">
        <f t="shared" si="41"/>
        <v>-1.7227269163346937E-2</v>
      </c>
      <c r="I62" s="34">
        <f t="shared" si="40"/>
        <v>2.6816883529038327E-2</v>
      </c>
      <c r="M62" s="46">
        <f t="shared" si="0"/>
        <v>48.11775565151887</v>
      </c>
      <c r="N62" s="46">
        <f t="shared" si="5"/>
        <v>59</v>
      </c>
      <c r="O62" s="50">
        <f t="shared" si="1"/>
        <v>0.20942959001783379</v>
      </c>
      <c r="P62" s="50">
        <f t="shared" si="2"/>
        <v>48.327185241536704</v>
      </c>
      <c r="Q62" s="50">
        <f t="shared" si="3"/>
        <v>43.76151142355009</v>
      </c>
      <c r="R62" s="78"/>
      <c r="S62" s="46" t="str">
        <f t="shared" si="42"/>
        <v>D65</v>
      </c>
      <c r="T62" s="79"/>
      <c r="U62" s="50">
        <f>$J$54*$J$31*($D$54*G24+$E$54*H24+$F$54*I24)</f>
        <v>498.01402683916137</v>
      </c>
      <c r="V62" s="50">
        <f>$J$54*$J$31*($D$55*G24+$E$55*H24+$F$55*I24)</f>
        <v>566.02795432537039</v>
      </c>
      <c r="W62" s="50">
        <f>$J$54*$J$31*($D$56*G24+$E$56*H24+$F$56*I24)</f>
        <v>530.1554719525692</v>
      </c>
      <c r="X62" s="29">
        <f t="shared" si="43"/>
        <v>1594.1974531171008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244.75</v>
      </c>
      <c r="E63" s="32">
        <f t="shared" si="37"/>
        <v>2793</v>
      </c>
      <c r="F63" s="31">
        <f t="shared" si="38"/>
        <v>258.69964107202702</v>
      </c>
      <c r="G63" s="32">
        <f t="shared" si="39"/>
        <v>2988</v>
      </c>
      <c r="H63" s="33">
        <f t="shared" si="41"/>
        <v>5.699546914004916E-2</v>
      </c>
      <c r="I63" s="34">
        <f t="shared" si="40"/>
        <v>6.9817400644468286E-2</v>
      </c>
      <c r="M63" s="46">
        <f t="shared" si="0"/>
        <v>50.228333296041868</v>
      </c>
      <c r="N63" s="46">
        <f t="shared" si="5"/>
        <v>60</v>
      </c>
      <c r="O63" s="50">
        <f t="shared" si="1"/>
        <v>-1.9862032085561339</v>
      </c>
      <c r="P63" s="50">
        <f t="shared" si="2"/>
        <v>48.242130087485734</v>
      </c>
      <c r="Q63" s="50">
        <f t="shared" si="3"/>
        <v>43.428471001757472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278.24123520963019</v>
      </c>
      <c r="V63" s="50">
        <f>$J$54*$J$34*($D$55*G25+$E$55*H25+$F$55*I25)</f>
        <v>258.69964107202702</v>
      </c>
      <c r="W63" s="50">
        <f>$J$54*$J$34*($D$56*G25+$E$56*H25+$F$56*I25)</f>
        <v>93.984571335469283</v>
      </c>
      <c r="X63" s="29">
        <f t="shared" si="43"/>
        <v>630.92544761712645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1195.5</v>
      </c>
      <c r="E64" s="32">
        <f t="shared" si="37"/>
        <v>3865</v>
      </c>
      <c r="F64" s="31">
        <f t="shared" si="38"/>
        <v>1177.0903961085819</v>
      </c>
      <c r="G64" s="32">
        <f t="shared" si="39"/>
        <v>3871</v>
      </c>
      <c r="H64" s="33">
        <f t="shared" si="41"/>
        <v>-1.5399083137949021E-2</v>
      </c>
      <c r="I64" s="34">
        <f t="shared" si="40"/>
        <v>1.5523932729624157E-3</v>
      </c>
      <c r="M64" s="46">
        <f t="shared" si="0"/>
        <v>52.338910940564865</v>
      </c>
      <c r="N64" s="46">
        <f t="shared" si="5"/>
        <v>61</v>
      </c>
      <c r="O64" s="50">
        <f t="shared" si="1"/>
        <v>-4.1818360071301015</v>
      </c>
      <c r="P64" s="50">
        <f t="shared" si="2"/>
        <v>48.157074933434764</v>
      </c>
      <c r="Q64" s="50">
        <f t="shared" si="3"/>
        <v>43.095430579964855</v>
      </c>
      <c r="R64" s="78"/>
      <c r="S64" s="46" t="str">
        <f t="shared" si="42"/>
        <v>CWF</v>
      </c>
      <c r="T64" s="79"/>
      <c r="U64" s="50">
        <f>$J$54*$J$34*($D$54*G26+$E$54*H26+$F$54*I26)</f>
        <v>1166.8683536276715</v>
      </c>
      <c r="V64" s="50">
        <f>$J$54*$J$34*($D$55*G26+$E$55*H26+$F$55*I26)</f>
        <v>1177.0903961085819</v>
      </c>
      <c r="W64" s="50">
        <f>$J$54*$J$34*($D$56*G26+$E$56*H26+$F$56*I26)</f>
        <v>635.47714835341196</v>
      </c>
      <c r="X64" s="29">
        <f t="shared" si="43"/>
        <v>2979.4358980896654</v>
      </c>
    </row>
    <row r="65" spans="1:24">
      <c r="A65" s="87"/>
      <c r="B65" s="48" t="str">
        <f t="shared" si="35"/>
        <v>D65</v>
      </c>
      <c r="C65" s="93"/>
      <c r="D65" s="31">
        <f t="shared" si="36"/>
        <v>575.95000000000005</v>
      </c>
      <c r="E65" s="32">
        <f t="shared" si="37"/>
        <v>6302</v>
      </c>
      <c r="F65" s="31">
        <f t="shared" si="38"/>
        <v>572.30033041499837</v>
      </c>
      <c r="G65" s="32">
        <f t="shared" si="39"/>
        <v>6366</v>
      </c>
      <c r="H65" s="33">
        <f t="shared" si="41"/>
        <v>-6.3367819862863994E-3</v>
      </c>
      <c r="I65" s="34">
        <f t="shared" si="40"/>
        <v>1.0155506188511687E-2</v>
      </c>
      <c r="M65" s="46">
        <f t="shared" si="0"/>
        <v>54.449488585087892</v>
      </c>
      <c r="N65" s="46">
        <f t="shared" si="5"/>
        <v>62</v>
      </c>
      <c r="O65" s="50">
        <f t="shared" si="1"/>
        <v>-6.3774688057040976</v>
      </c>
      <c r="P65" s="50">
        <f t="shared" si="2"/>
        <v>48.072019779383794</v>
      </c>
      <c r="Q65" s="50">
        <f t="shared" si="3"/>
        <v>42.762390158172238</v>
      </c>
      <c r="R65" s="78"/>
      <c r="S65" s="46" t="str">
        <f t="shared" si="42"/>
        <v>D65</v>
      </c>
      <c r="T65" s="79"/>
      <c r="U65" s="50">
        <f>$J$54*$J$34*($D$54*G27+$E$54*H27+$F$54*I27)</f>
        <v>505.41295426308591</v>
      </c>
      <c r="V65" s="50">
        <f>$J$54*$J$34*($D$55*G27+$E$55*H27+$F$55*I27)</f>
        <v>572.30033041499837</v>
      </c>
      <c r="W65" s="50">
        <f>$J$54*$J$34*($D$56*G27+$E$56*H27+$F$56*I27)</f>
        <v>529.24336736954922</v>
      </c>
      <c r="X65" s="29">
        <f t="shared" si="43"/>
        <v>1606.9566520476333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244.75</v>
      </c>
      <c r="E66" s="32">
        <f t="shared" si="37"/>
        <v>2793</v>
      </c>
      <c r="F66" s="31">
        <f t="shared" si="38"/>
        <v>228.69062368024115</v>
      </c>
      <c r="G66" s="32">
        <f t="shared" si="39"/>
        <v>2571</v>
      </c>
      <c r="H66" s="33">
        <f t="shared" si="41"/>
        <v>-6.5615429294213934E-2</v>
      </c>
      <c r="I66" s="34">
        <f t="shared" si="40"/>
        <v>-7.9484425349086951E-2</v>
      </c>
      <c r="M66" s="46">
        <f t="shared" si="0"/>
        <v>56.560066229610889</v>
      </c>
      <c r="N66" s="46">
        <f t="shared" si="5"/>
        <v>63</v>
      </c>
      <c r="O66" s="50">
        <f t="shared" si="1"/>
        <v>-8.5731016042780652</v>
      </c>
      <c r="P66" s="50">
        <f t="shared" si="2"/>
        <v>47.986964625332824</v>
      </c>
      <c r="Q66" s="50">
        <f t="shared" si="3"/>
        <v>42.429349736379621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256.75767516501509</v>
      </c>
      <c r="V66" s="50">
        <f>$J$54*$J$37*($D$55*G28+$E$55*H28+$F$55*I28)</f>
        <v>228.69062368024115</v>
      </c>
      <c r="W66" s="50">
        <f>$J$54*$J$37*($D$56*G28+$E$56*H28+$F$56*I28)</f>
        <v>50.226464047387552</v>
      </c>
      <c r="X66" s="29">
        <f t="shared" si="43"/>
        <v>535.6747628926438</v>
      </c>
    </row>
    <row r="67" spans="1:24">
      <c r="A67" s="87"/>
      <c r="B67" s="48" t="str">
        <f t="shared" si="35"/>
        <v>CWF</v>
      </c>
      <c r="C67" s="93"/>
      <c r="D67" s="31">
        <f t="shared" si="36"/>
        <v>1195.5</v>
      </c>
      <c r="E67" s="32">
        <f t="shared" si="37"/>
        <v>3865</v>
      </c>
      <c r="F67" s="31">
        <f t="shared" si="38"/>
        <v>1216.0089644380823</v>
      </c>
      <c r="G67" s="32">
        <f t="shared" si="39"/>
        <v>3902</v>
      </c>
      <c r="H67" s="33">
        <f t="shared" si="41"/>
        <v>1.7155135456363269E-2</v>
      </c>
      <c r="I67" s="34">
        <f t="shared" si="40"/>
        <v>9.5730918499352669E-3</v>
      </c>
      <c r="R67" s="78"/>
      <c r="S67" s="46" t="str">
        <f t="shared" si="42"/>
        <v>CWF</v>
      </c>
      <c r="T67" s="79"/>
      <c r="U67" s="50">
        <f>$J$54*$J$37*($D$54*G29+$E$54*H29+$F$54*I29)</f>
        <v>1202.9911562737257</v>
      </c>
      <c r="V67" s="50">
        <f>$J$54*$J$37*($D$55*G29+$E$55*H29+$F$55*I29)</f>
        <v>1216.0089644380823</v>
      </c>
      <c r="W67" s="50">
        <f>$J$54*$J$37*($D$56*G29+$E$56*H29+$F$56*I29)</f>
        <v>663.92298171273228</v>
      </c>
      <c r="X67" s="29">
        <f t="shared" si="43"/>
        <v>3082.92310242454</v>
      </c>
    </row>
    <row r="68" spans="1:24">
      <c r="A68" s="87"/>
      <c r="B68" s="48" t="str">
        <f t="shared" si="35"/>
        <v>D65</v>
      </c>
      <c r="C68" s="93"/>
      <c r="D68" s="31">
        <f t="shared" si="36"/>
        <v>575.95000000000005</v>
      </c>
      <c r="E68" s="32">
        <f t="shared" si="37"/>
        <v>6302</v>
      </c>
      <c r="F68" s="31">
        <f t="shared" si="38"/>
        <v>588.45756309923911</v>
      </c>
      <c r="G68" s="32">
        <f t="shared" si="39"/>
        <v>6039</v>
      </c>
      <c r="H68" s="33">
        <f t="shared" si="41"/>
        <v>2.1716404374058529E-2</v>
      </c>
      <c r="I68" s="34">
        <f t="shared" si="40"/>
        <v>-4.1732783243414784E-2</v>
      </c>
      <c r="R68" s="78"/>
      <c r="S68" s="46" t="str">
        <f t="shared" si="42"/>
        <v>D65</v>
      </c>
      <c r="T68" s="79"/>
      <c r="U68" s="50">
        <f>$J$54*$J$37*($D$54*G30+$E$54*H30+$F$54*I30)</f>
        <v>525.81358901404803</v>
      </c>
      <c r="V68" s="50">
        <f>$J$54*$J$37*($D$55*G30+$E$55*H30+$F$55*I30)</f>
        <v>588.45756309923911</v>
      </c>
      <c r="W68" s="50">
        <f>$J$54*$J$37*($D$56*G30+$E$56*H30+$F$56*I30)</f>
        <v>521.10977603041135</v>
      </c>
      <c r="X68" s="29">
        <f t="shared" si="43"/>
        <v>1635.3809281436984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6.5615429294213934E-2</v>
      </c>
      <c r="G69" s="47"/>
      <c r="H69" s="36" t="str">
        <f>I59</f>
        <v>CCT</v>
      </c>
      <c r="I69" s="38">
        <f>MAX(MAX(I60:I68,-MIN(I60:I68)))</f>
        <v>7.9484425349086951E-2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244.75</v>
      </c>
      <c r="E72" s="31">
        <f t="shared" ref="E72:E80" si="47">E60</f>
        <v>2793</v>
      </c>
      <c r="F72" s="31">
        <f t="shared" ref="F72:F80" si="48">V72</f>
        <v>248.33868477319106</v>
      </c>
      <c r="G72" s="32">
        <f t="shared" ref="G72:G80" si="49">getCCTfromXY(U72/X72,V72/X72)</f>
        <v>2835</v>
      </c>
      <c r="H72" s="33">
        <f>F72/D72-1</f>
        <v>1.4662654844498801E-2</v>
      </c>
      <c r="I72" s="34">
        <f t="shared" ref="I72:I80" si="50">G72/E72-1</f>
        <v>1.5037593984962516E-2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270.99243599082212</v>
      </c>
      <c r="V72" s="50">
        <f>$J$51*$J$31*($D$52*G22+$E$52*H22+$F$52*I22)</f>
        <v>248.33868477319106</v>
      </c>
      <c r="W72" s="50">
        <f>$J$51*$J$31*($D$53*G22+$E$53*H22+$F$53*I22)</f>
        <v>78.150855974752631</v>
      </c>
      <c r="X72" s="29">
        <f>SUM(U72:W72)</f>
        <v>597.48197673876575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1195.5</v>
      </c>
      <c r="E73" s="31">
        <f t="shared" si="47"/>
        <v>3865</v>
      </c>
      <c r="F73" s="31">
        <f t="shared" si="48"/>
        <v>1193.6764911001253</v>
      </c>
      <c r="G73" s="32">
        <f t="shared" si="49"/>
        <v>3824</v>
      </c>
      <c r="H73" s="33">
        <f t="shared" ref="H73:H80" si="52">F73/D73-1</f>
        <v>-1.5253106648889236E-3</v>
      </c>
      <c r="I73" s="34">
        <f t="shared" si="50"/>
        <v>-1.0608020698577025E-2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1186.7601001709108</v>
      </c>
      <c r="V73" s="50">
        <f t="shared" ref="V73:V74" si="55">$J$51*$J$31*($D$52*G23+$E$52*H23+$F$52*I23)</f>
        <v>1193.6764911001253</v>
      </c>
      <c r="W73" s="50">
        <f t="shared" ref="W73:W74" si="56">$J$51*$J$31*($D$53*G23+$E$53*H23+$F$53*I23)</f>
        <v>631.81692589465626</v>
      </c>
      <c r="X73" s="29">
        <f t="shared" ref="X73:X80" si="57">SUM(U73:W73)</f>
        <v>3012.2535171656928</v>
      </c>
    </row>
    <row r="74" spans="1:24">
      <c r="A74" s="87"/>
      <c r="B74" s="48" t="str">
        <f t="shared" si="46"/>
        <v>X</v>
      </c>
      <c r="C74" s="93"/>
      <c r="D74" s="31">
        <f t="shared" si="51"/>
        <v>575.95000000000005</v>
      </c>
      <c r="E74" s="31">
        <f t="shared" si="47"/>
        <v>6302</v>
      </c>
      <c r="F74" s="31">
        <f t="shared" si="48"/>
        <v>566.85448319760667</v>
      </c>
      <c r="G74" s="32">
        <f t="shared" si="49"/>
        <v>6507</v>
      </c>
      <c r="H74" s="33">
        <f t="shared" si="52"/>
        <v>-1.5792198632508692E-2</v>
      </c>
      <c r="I74" s="34">
        <f t="shared" si="50"/>
        <v>3.2529355760076095E-2</v>
      </c>
      <c r="R74" s="78"/>
      <c r="S74" s="46" t="str">
        <f t="shared" si="53"/>
        <v>D65</v>
      </c>
      <c r="T74" s="79"/>
      <c r="U74" s="50">
        <f t="shared" si="54"/>
        <v>498.09826947787536</v>
      </c>
      <c r="V74" s="50">
        <f t="shared" si="55"/>
        <v>566.85448319760667</v>
      </c>
      <c r="W74" s="50">
        <f t="shared" si="56"/>
        <v>533.21265066901151</v>
      </c>
      <c r="X74" s="29">
        <f t="shared" si="57"/>
        <v>1598.1654033444936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244.75</v>
      </c>
      <c r="E75" s="31">
        <f t="shared" si="47"/>
        <v>2793</v>
      </c>
      <c r="F75" s="31">
        <f t="shared" si="48"/>
        <v>257.99926661129427</v>
      </c>
      <c r="G75" s="32">
        <f t="shared" si="49"/>
        <v>2990</v>
      </c>
      <c r="H75" s="33">
        <f t="shared" si="52"/>
        <v>5.4133877880671255E-2</v>
      </c>
      <c r="I75" s="34">
        <f t="shared" si="50"/>
        <v>7.0533476548514162E-2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277.4742667052891</v>
      </c>
      <c r="V75" s="50">
        <f>$J$51*$J$34*($D$52*G25+$E$52*H25+$F$52*I25)</f>
        <v>257.99926661129427</v>
      </c>
      <c r="W75" s="50">
        <f>$J$51*$J$34*($D$53*G25+$E$53*H25+$F$53*I25)</f>
        <v>93.947615017379391</v>
      </c>
      <c r="X75" s="29">
        <f t="shared" si="57"/>
        <v>629.42114833396272</v>
      </c>
    </row>
    <row r="76" spans="1:24">
      <c r="A76" s="87"/>
      <c r="B76" s="48" t="str">
        <f t="shared" si="46"/>
        <v>Z</v>
      </c>
      <c r="C76" s="93"/>
      <c r="D76" s="31">
        <f t="shared" si="51"/>
        <v>1195.5</v>
      </c>
      <c r="E76" s="31">
        <f t="shared" si="47"/>
        <v>3865</v>
      </c>
      <c r="F76" s="31">
        <f t="shared" si="48"/>
        <v>1178.5476822472051</v>
      </c>
      <c r="G76" s="32">
        <f t="shared" si="49"/>
        <v>3869</v>
      </c>
      <c r="H76" s="33">
        <f t="shared" si="52"/>
        <v>-1.4180106861392594E-2</v>
      </c>
      <c r="I76" s="34">
        <f t="shared" si="50"/>
        <v>1.0349288486417585E-3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1168.4759894489557</v>
      </c>
      <c r="V76" s="50">
        <f t="shared" ref="V76:V77" si="59">$J$51*$J$34*($D$52*G26+$E$52*H26+$F$52*I26)</f>
        <v>1178.5476822472051</v>
      </c>
      <c r="W76" s="50">
        <f t="shared" ref="W76:W77" si="60">$J$51*$J$34*($D$53*G26+$E$53*H26+$F$53*I26)</f>
        <v>635.64641705303427</v>
      </c>
      <c r="X76" s="29">
        <f t="shared" si="57"/>
        <v>2982.6700887491952</v>
      </c>
    </row>
    <row r="77" spans="1:24">
      <c r="A77" s="87"/>
      <c r="B77" s="48" t="str">
        <f t="shared" si="46"/>
        <v>X</v>
      </c>
      <c r="C77" s="93"/>
      <c r="D77" s="31">
        <f t="shared" si="51"/>
        <v>575.95000000000005</v>
      </c>
      <c r="E77" s="31">
        <f t="shared" si="47"/>
        <v>6302</v>
      </c>
      <c r="F77" s="31">
        <f t="shared" si="48"/>
        <v>573.13518452635128</v>
      </c>
      <c r="G77" s="32">
        <f t="shared" si="49"/>
        <v>6401</v>
      </c>
      <c r="H77" s="33">
        <f t="shared" si="52"/>
        <v>-4.8872566605586698E-3</v>
      </c>
      <c r="I77" s="34">
        <f t="shared" si="50"/>
        <v>1.5709298635353752E-2</v>
      </c>
      <c r="R77" s="78"/>
      <c r="S77" s="46" t="str">
        <f t="shared" si="53"/>
        <v>D65</v>
      </c>
      <c r="T77" s="79"/>
      <c r="U77" s="50">
        <f t="shared" si="58"/>
        <v>505.52270574420641</v>
      </c>
      <c r="V77" s="50">
        <f t="shared" si="59"/>
        <v>573.13518452635128</v>
      </c>
      <c r="W77" s="50">
        <f t="shared" si="60"/>
        <v>532.24290733839143</v>
      </c>
      <c r="X77" s="29">
        <f t="shared" si="57"/>
        <v>1610.9007976089492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244.75</v>
      </c>
      <c r="E78" s="31">
        <f t="shared" si="47"/>
        <v>2793</v>
      </c>
      <c r="F78" s="31">
        <f t="shared" si="48"/>
        <v>227.87963669448158</v>
      </c>
      <c r="G78" s="32">
        <f t="shared" si="49"/>
        <v>2568</v>
      </c>
      <c r="H78" s="33">
        <f t="shared" si="52"/>
        <v>-6.892896141171978E-2</v>
      </c>
      <c r="I78" s="34">
        <f t="shared" si="50"/>
        <v>-8.0558539205155766E-2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255.96074497885704</v>
      </c>
      <c r="V78" s="50">
        <f>$J$51*$J$37*($D$52*G28+$E$52*H28+$F$52*I28)</f>
        <v>227.87963669448158</v>
      </c>
      <c r="W78" s="50">
        <f>$J$51*$J$37*($D$53*G28+$E$53*H28+$F$53*I28)</f>
        <v>49.851011316542525</v>
      </c>
      <c r="X78" s="29">
        <f t="shared" si="57"/>
        <v>533.69139298988114</v>
      </c>
    </row>
    <row r="79" spans="1:24">
      <c r="A79" s="87"/>
      <c r="B79" s="48" t="str">
        <f t="shared" si="46"/>
        <v>Z</v>
      </c>
      <c r="C79" s="93"/>
      <c r="D79" s="31">
        <f t="shared" si="51"/>
        <v>1195.5</v>
      </c>
      <c r="E79" s="31">
        <f t="shared" si="47"/>
        <v>3865</v>
      </c>
      <c r="F79" s="31">
        <f t="shared" si="48"/>
        <v>1217.55958758525</v>
      </c>
      <c r="G79" s="32">
        <f t="shared" si="49"/>
        <v>3900</v>
      </c>
      <c r="H79" s="33">
        <f t="shared" si="52"/>
        <v>1.845218534943549E-2</v>
      </c>
      <c r="I79" s="34">
        <f t="shared" si="50"/>
        <v>9.0556274256143876E-3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1204.6810620784106</v>
      </c>
      <c r="V79" s="50">
        <f t="shared" ref="V79:V80" si="62">$J$51*$J$37*($D$52*G29+$E$52*H29+$F$52*I29)</f>
        <v>1217.55958758525</v>
      </c>
      <c r="W79" s="50">
        <f t="shared" ref="W79:W80" si="63">$J$51*$J$37*($D$53*G29+$E$53*H29+$F$53*I29)</f>
        <v>664.1744850476324</v>
      </c>
      <c r="X79" s="29">
        <f t="shared" si="57"/>
        <v>3086.4151347112929</v>
      </c>
    </row>
    <row r="80" spans="1:24">
      <c r="A80" s="87"/>
      <c r="B80" s="48" t="str">
        <f t="shared" si="46"/>
        <v>X</v>
      </c>
      <c r="C80" s="93"/>
      <c r="D80" s="31">
        <f t="shared" si="51"/>
        <v>575.95000000000005</v>
      </c>
      <c r="E80" s="31">
        <f t="shared" si="47"/>
        <v>6302</v>
      </c>
      <c r="F80" s="31">
        <f t="shared" si="48"/>
        <v>589.3421502675908</v>
      </c>
      <c r="G80" s="32">
        <f t="shared" si="49"/>
        <v>6067</v>
      </c>
      <c r="H80" s="33">
        <f t="shared" si="52"/>
        <v>2.325227930825724E-2</v>
      </c>
      <c r="I80" s="34">
        <f t="shared" si="50"/>
        <v>-3.7289749285940976E-2</v>
      </c>
      <c r="R80" s="78"/>
      <c r="S80" s="46" t="str">
        <f t="shared" si="53"/>
        <v>D65</v>
      </c>
      <c r="T80" s="79"/>
      <c r="U80" s="50">
        <f t="shared" si="61"/>
        <v>526.04672415768812</v>
      </c>
      <c r="V80" s="50">
        <f t="shared" si="62"/>
        <v>589.3421502675908</v>
      </c>
      <c r="W80" s="50">
        <f t="shared" si="63"/>
        <v>523.86737057247149</v>
      </c>
      <c r="X80" s="29">
        <f t="shared" si="57"/>
        <v>1639.2562449977504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6.892896141171978E-2</v>
      </c>
      <c r="G81" s="47"/>
      <c r="H81" s="36" t="str">
        <f>I71</f>
        <v>CCT</v>
      </c>
      <c r="I81" s="38">
        <f>MAX(MAX(I72:I80,-MIN(I72:I80)))</f>
        <v>8.0558539205155766E-2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244.75</v>
      </c>
      <c r="E84" s="31">
        <f t="shared" ref="E84:E92" si="67">E72</f>
        <v>2793</v>
      </c>
      <c r="F84" s="31">
        <f t="shared" ref="F84:F92" si="68">V84</f>
        <v>244.74999999999972</v>
      </c>
      <c r="G84" s="32">
        <f t="shared" ref="G84:G92" si="69">getCCTfromXY(U84/X84,V84/X84)</f>
        <v>2793</v>
      </c>
      <c r="H84" s="33">
        <f>F84/D84-1</f>
        <v>-1.1102230246251565E-15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268.24999999999994</v>
      </c>
      <c r="V84" s="50">
        <f>$J$42*$J$31*($D$43*G22+$E$43*H22+$F$43*I22)</f>
        <v>244.74999999999972</v>
      </c>
      <c r="W84" s="50">
        <f>$J$42*$J$31*($D$44*G22+$E$44*H22+$F$44*I22)</f>
        <v>73.600000000000421</v>
      </c>
      <c r="X84" s="29">
        <f>SUM(U84:W84)</f>
        <v>586.60000000000014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1195.5</v>
      </c>
      <c r="E85" s="31">
        <f t="shared" si="67"/>
        <v>3865</v>
      </c>
      <c r="F85" s="31">
        <f t="shared" si="68"/>
        <v>1195.5</v>
      </c>
      <c r="G85" s="32">
        <f t="shared" si="69"/>
        <v>3865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1185.5</v>
      </c>
      <c r="V85" s="50">
        <f t="shared" ref="V85:V86" si="75">$J$42*$J$31*($D$43*G23+$E$43*H23+$F$43*I23)</f>
        <v>1195.5</v>
      </c>
      <c r="W85" s="50">
        <f t="shared" ref="W85:W86" si="76">$J$42*$J$31*($D$44*G23+$E$44*H23+$F$44*I23)</f>
        <v>643.50000000000034</v>
      </c>
      <c r="X85" s="29">
        <f t="shared" ref="X85:X92" si="77">SUM(U85:W85)</f>
        <v>3024.5000000000005</v>
      </c>
    </row>
    <row r="86" spans="1:24">
      <c r="A86" s="87"/>
      <c r="B86" s="48">
        <f t="shared" si="66"/>
        <v>0</v>
      </c>
      <c r="C86" s="93"/>
      <c r="D86" s="31">
        <f t="shared" si="71"/>
        <v>575.95000000000005</v>
      </c>
      <c r="E86" s="31">
        <f t="shared" si="67"/>
        <v>6302</v>
      </c>
      <c r="F86" s="31">
        <f t="shared" si="68"/>
        <v>575.95000000000005</v>
      </c>
      <c r="G86" s="32">
        <f t="shared" si="69"/>
        <v>6302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509.74999999999994</v>
      </c>
      <c r="V86" s="50">
        <f t="shared" si="75"/>
        <v>575.95000000000005</v>
      </c>
      <c r="W86" s="50">
        <f t="shared" si="76"/>
        <v>528.25000000000011</v>
      </c>
      <c r="X86" s="29">
        <f t="shared" si="77"/>
        <v>1613.9500000000003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244.75</v>
      </c>
      <c r="E87" s="31">
        <f t="shared" si="67"/>
        <v>2793</v>
      </c>
      <c r="F87" s="31">
        <f t="shared" si="68"/>
        <v>244.75000000000017</v>
      </c>
      <c r="G87" s="32">
        <f t="shared" si="69"/>
        <v>2793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268.24999999999966</v>
      </c>
      <c r="V87" s="50">
        <f>$J$45*$J$34*($D$46*G25+$E$46*H25+$F$46*I25)</f>
        <v>244.75000000000017</v>
      </c>
      <c r="W87" s="50">
        <f>$J$45*$J$34*($D$47*G25+$E$47*H25+$F$47*I25)</f>
        <v>73.600000000000023</v>
      </c>
      <c r="X87" s="29">
        <f t="shared" si="77"/>
        <v>586.5999999999998</v>
      </c>
    </row>
    <row r="88" spans="1:24">
      <c r="A88" s="87"/>
      <c r="B88" s="48">
        <f t="shared" si="66"/>
        <v>0</v>
      </c>
      <c r="C88" s="93"/>
      <c r="D88" s="31">
        <f t="shared" si="71"/>
        <v>1195.5</v>
      </c>
      <c r="E88" s="31">
        <f t="shared" si="67"/>
        <v>3865</v>
      </c>
      <c r="F88" s="31">
        <f t="shared" si="68"/>
        <v>1195.5</v>
      </c>
      <c r="G88" s="32">
        <f t="shared" si="69"/>
        <v>3865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1185.4999999999998</v>
      </c>
      <c r="V88" s="50">
        <f t="shared" ref="V88:V89" si="79">$J$45*$J$34*($D$46*G26+$E$46*H26+$F$46*I26)</f>
        <v>1195.5</v>
      </c>
      <c r="W88" s="50">
        <f t="shared" ref="W88:W89" si="80">$J$45*$J$34*($D$47*G26+$E$47*H26+$F$47*I26)</f>
        <v>643.5</v>
      </c>
      <c r="X88" s="29">
        <f t="shared" si="77"/>
        <v>3024.5</v>
      </c>
    </row>
    <row r="89" spans="1:24">
      <c r="A89" s="87"/>
      <c r="B89" s="48" t="str">
        <f t="shared" si="66"/>
        <v>A</v>
      </c>
      <c r="C89" s="93"/>
      <c r="D89" s="31">
        <f t="shared" si="71"/>
        <v>575.95000000000005</v>
      </c>
      <c r="E89" s="31">
        <f t="shared" si="67"/>
        <v>6302</v>
      </c>
      <c r="F89" s="31">
        <f t="shared" si="68"/>
        <v>575.95000000000016</v>
      </c>
      <c r="G89" s="32">
        <f t="shared" si="69"/>
        <v>6302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509.74999999999989</v>
      </c>
      <c r="V89" s="50">
        <f t="shared" si="79"/>
        <v>575.95000000000016</v>
      </c>
      <c r="W89" s="50">
        <f t="shared" si="80"/>
        <v>528.24999999999989</v>
      </c>
      <c r="X89" s="29">
        <f t="shared" si="77"/>
        <v>1613.9499999999998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244.75</v>
      </c>
      <c r="E90" s="31">
        <f t="shared" si="67"/>
        <v>2793</v>
      </c>
      <c r="F90" s="31">
        <f t="shared" si="68"/>
        <v>244.75000000000043</v>
      </c>
      <c r="G90" s="32">
        <f t="shared" si="69"/>
        <v>2793</v>
      </c>
      <c r="H90" s="33">
        <f t="shared" si="72"/>
        <v>1.7763568394002505E-15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268.25000000000028</v>
      </c>
      <c r="V90" s="50">
        <f>$J$48*$J$37*($D$49*G28+$E$49*H28+$F$49*I28)</f>
        <v>244.75000000000043</v>
      </c>
      <c r="W90" s="50">
        <f>$J$48*$J$37*($D$50*G28+$E$50*H28+$F$50*I28)</f>
        <v>73.599999999999511</v>
      </c>
      <c r="X90" s="29">
        <f t="shared" si="77"/>
        <v>586.60000000000014</v>
      </c>
    </row>
    <row r="91" spans="1:24">
      <c r="A91" s="87"/>
      <c r="B91" s="48" t="str">
        <f t="shared" si="66"/>
        <v>D65</v>
      </c>
      <c r="C91" s="93"/>
      <c r="D91" s="31">
        <f t="shared" si="71"/>
        <v>1195.5</v>
      </c>
      <c r="E91" s="31">
        <f t="shared" si="67"/>
        <v>3865</v>
      </c>
      <c r="F91" s="31">
        <f t="shared" si="68"/>
        <v>1195.5000000000002</v>
      </c>
      <c r="G91" s="32">
        <f t="shared" si="69"/>
        <v>3865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1185.5000000000005</v>
      </c>
      <c r="V91" s="50">
        <f t="shared" ref="V91:V92" si="82">$J$48*$J$37*($D$49*G29+$E$49*H29+$F$49*I29)</f>
        <v>1195.5000000000002</v>
      </c>
      <c r="W91" s="50">
        <f t="shared" ref="W91:W92" si="83">$J$48*$J$37*($D$50*G29+$E$50*H29+$F$50*I29)</f>
        <v>643.49999999999977</v>
      </c>
      <c r="X91" s="29">
        <f t="shared" si="77"/>
        <v>3024.5000000000009</v>
      </c>
    </row>
    <row r="92" spans="1:24">
      <c r="A92" s="87"/>
      <c r="B92" s="48" t="str">
        <f t="shared" si="66"/>
        <v>A</v>
      </c>
      <c r="C92" s="93"/>
      <c r="D92" s="31">
        <f t="shared" si="71"/>
        <v>575.95000000000005</v>
      </c>
      <c r="E92" s="31">
        <f t="shared" si="67"/>
        <v>6302</v>
      </c>
      <c r="F92" s="31">
        <f t="shared" si="68"/>
        <v>575.95000000000005</v>
      </c>
      <c r="G92" s="32">
        <f t="shared" si="69"/>
        <v>6302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509.75000000000017</v>
      </c>
      <c r="V92" s="50">
        <f t="shared" si="82"/>
        <v>575.95000000000005</v>
      </c>
      <c r="W92" s="50">
        <f t="shared" si="83"/>
        <v>528.25</v>
      </c>
      <c r="X92" s="29">
        <f t="shared" si="77"/>
        <v>1613.9500000000003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1.7763568394002505E-15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4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0.9693916719557194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68.816874789349498</v>
      </c>
      <c r="N3" s="46">
        <v>0</v>
      </c>
      <c r="O3" s="50">
        <f>G$5-N3*G$7</f>
        <v>117.57096899224805</v>
      </c>
      <c r="P3" s="50">
        <f>H$5-N3*H$7</f>
        <v>48.75409420289855</v>
      </c>
      <c r="Q3" s="50">
        <f>I$5-N3*I$7</f>
        <v>57.21467674813902</v>
      </c>
    </row>
    <row r="4" spans="1:17">
      <c r="C4" s="46" t="s">
        <v>20</v>
      </c>
      <c r="D4" s="7">
        <v>516</v>
      </c>
      <c r="E4" s="7">
        <v>1196</v>
      </c>
      <c r="F4" s="7">
        <v>568.70000000000005</v>
      </c>
      <c r="G4" s="50">
        <f>AVERAGE(D4:F4)</f>
        <v>760.23333333333323</v>
      </c>
      <c r="H4" s="50">
        <f>G4</f>
        <v>760.23333333333323</v>
      </c>
      <c r="I4" s="50">
        <f>H4</f>
        <v>760.23333333333323</v>
      </c>
      <c r="K4" s="13" t="str">
        <f>linefmt("Compensation",B12)</f>
        <v>"Compensation",35,</v>
      </c>
      <c r="M4" s="46">
        <f t="shared" si="0"/>
        <v>66.87321943736498</v>
      </c>
      <c r="N4" s="46">
        <f>N3+1</f>
        <v>1</v>
      </c>
      <c r="O4" s="50">
        <f t="shared" ref="O4:O66" si="1">G$5-N4*G$7</f>
        <v>115.54601000540832</v>
      </c>
      <c r="P4" s="50">
        <f t="shared" ref="P4:P66" si="2">H$5-N4*H$7</f>
        <v>48.672790568043347</v>
      </c>
      <c r="Q4" s="50">
        <f t="shared" ref="Q4:Q66" si="3">I$5-N4*I$7</f>
        <v>56.919339088332826</v>
      </c>
    </row>
    <row r="5" spans="1:17">
      <c r="C5" s="46">
        <v>0</v>
      </c>
      <c r="D5" s="9">
        <v>79.8</v>
      </c>
      <c r="E5" s="9">
        <v>76.7</v>
      </c>
      <c r="F5" s="9">
        <v>42.8</v>
      </c>
      <c r="G5" s="50">
        <f>G$4/D$4*D5</f>
        <v>117.57096899224805</v>
      </c>
      <c r="H5" s="50">
        <f t="shared" ref="H5:I6" si="4">H$4/E$4*E5</f>
        <v>48.75409420289855</v>
      </c>
      <c r="I5" s="50">
        <f t="shared" si="4"/>
        <v>57.21467674813902</v>
      </c>
      <c r="K5" s="14" t="str">
        <f>linefmt("CardGain",J54)</f>
        <v>"CardGain",18.01598,</v>
      </c>
      <c r="M5" s="46">
        <f t="shared" si="0"/>
        <v>64.929564085380434</v>
      </c>
      <c r="N5" s="46">
        <f t="shared" ref="N5:N66" si="5">N4+1</f>
        <v>2</v>
      </c>
      <c r="O5" s="50">
        <f t="shared" si="1"/>
        <v>113.52105101856858</v>
      </c>
      <c r="P5" s="50">
        <f t="shared" si="2"/>
        <v>48.591486933188143</v>
      </c>
      <c r="Q5" s="50">
        <f t="shared" si="3"/>
        <v>56.624001428526633</v>
      </c>
    </row>
    <row r="6" spans="1:17">
      <c r="B6" s="50">
        <f>D5/4</f>
        <v>19.95</v>
      </c>
      <c r="C6" s="7">
        <v>43</v>
      </c>
      <c r="D6" s="9">
        <v>20.7</v>
      </c>
      <c r="E6" s="9">
        <v>71.2</v>
      </c>
      <c r="F6" s="9">
        <v>33.299999999999997</v>
      </c>
      <c r="G6" s="50">
        <f>G$4/D$4*D6</f>
        <v>30.497732558139532</v>
      </c>
      <c r="H6" s="50">
        <f t="shared" si="4"/>
        <v>45.258037904124862</v>
      </c>
      <c r="I6" s="50">
        <f t="shared" si="4"/>
        <v>44.515157376472644</v>
      </c>
      <c r="K6" s="14" t="str">
        <f>linefmt("Range",1,J34,J37)</f>
        <v>"Range",1,0.915258,0.9955872,</v>
      </c>
      <c r="M6" s="46">
        <f t="shared" si="0"/>
        <v>62.98590873339591</v>
      </c>
      <c r="N6" s="46">
        <f t="shared" si="5"/>
        <v>3</v>
      </c>
      <c r="O6" s="50">
        <f t="shared" si="1"/>
        <v>111.49609203172885</v>
      </c>
      <c r="P6" s="50">
        <f t="shared" si="2"/>
        <v>48.51018329833294</v>
      </c>
      <c r="Q6" s="50">
        <f t="shared" si="3"/>
        <v>56.328663768720432</v>
      </c>
    </row>
    <row r="7" spans="1:17">
      <c r="C7" s="46">
        <f>C5</f>
        <v>0</v>
      </c>
      <c r="D7" s="46">
        <f t="shared" ref="D7:F8" si="6">D$4/D5</f>
        <v>6.4661654135338349</v>
      </c>
      <c r="E7" s="46">
        <f t="shared" si="6"/>
        <v>15.59322033898305</v>
      </c>
      <c r="F7" s="46">
        <f t="shared" si="6"/>
        <v>13.287383177570096</v>
      </c>
      <c r="G7" s="49">
        <f>(G5-G6)/($C6-$C5)</f>
        <v>2.0249589868397333</v>
      </c>
      <c r="H7" s="49">
        <f t="shared" ref="H7:I7" si="7">(H5-H6)/($C6-$C5)</f>
        <v>8.1303634855202048E-2</v>
      </c>
      <c r="I7" s="49">
        <f t="shared" si="7"/>
        <v>0.29533765980619481</v>
      </c>
      <c r="K7" s="14" t="str">
        <f>linefmt("CCM" )</f>
        <v>"CCM",</v>
      </c>
      <c r="M7" s="46">
        <f t="shared" si="0"/>
        <v>61.042253381411371</v>
      </c>
      <c r="N7" s="46">
        <f t="shared" si="5"/>
        <v>4</v>
      </c>
      <c r="O7" s="50">
        <f t="shared" si="1"/>
        <v>109.47113304488911</v>
      </c>
      <c r="P7" s="50">
        <f t="shared" si="2"/>
        <v>48.428879663477744</v>
      </c>
      <c r="Q7" s="50">
        <f t="shared" si="3"/>
        <v>56.033326108914238</v>
      </c>
    </row>
    <row r="8" spans="1:17">
      <c r="C8" s="46">
        <f>C6</f>
        <v>43</v>
      </c>
      <c r="D8" s="46">
        <f t="shared" si="6"/>
        <v>24.927536231884059</v>
      </c>
      <c r="E8" s="46">
        <f t="shared" si="6"/>
        <v>16.797752808988765</v>
      </c>
      <c r="F8" s="46">
        <f t="shared" si="6"/>
        <v>17.078078078078082</v>
      </c>
      <c r="K8" s="15" t="str">
        <f>linefmt("",D54,E54,F54)</f>
        <v>0.2129113,1.038876,-0.4659524,</v>
      </c>
      <c r="M8" s="46">
        <f t="shared" si="0"/>
        <v>59.098598029426853</v>
      </c>
      <c r="N8" s="46">
        <f t="shared" si="5"/>
        <v>5</v>
      </c>
      <c r="O8" s="50">
        <f t="shared" si="1"/>
        <v>107.44617405804939</v>
      </c>
      <c r="P8" s="50">
        <f t="shared" si="2"/>
        <v>48.347576028622541</v>
      </c>
      <c r="Q8" s="50">
        <f t="shared" si="3"/>
        <v>55.737988449108045</v>
      </c>
    </row>
    <row r="9" spans="1:17">
      <c r="C9" s="46" t="s">
        <v>23</v>
      </c>
      <c r="D9" s="46">
        <f>(D8-D7)/($C8-$C7)</f>
        <v>0.4293342050779122</v>
      </c>
      <c r="E9" s="46">
        <f>(E8-E7)/($C8-$C7)</f>
        <v>2.8012383023388713E-2</v>
      </c>
      <c r="F9" s="46">
        <f>(F8-F7)/($C8-$C7)</f>
        <v>8.8155695360650849E-2</v>
      </c>
      <c r="K9" s="15" t="str">
        <f>linefmt("",D55,E55,F55)</f>
        <v>3.830371E-02,1,-0.1596554,</v>
      </c>
      <c r="M9" s="46">
        <f t="shared" si="0"/>
        <v>57.154942677442321</v>
      </c>
      <c r="N9" s="46">
        <f t="shared" si="5"/>
        <v>6</v>
      </c>
      <c r="O9" s="50">
        <f t="shared" si="1"/>
        <v>105.42121507120966</v>
      </c>
      <c r="P9" s="50">
        <f t="shared" si="2"/>
        <v>48.266272393767338</v>
      </c>
      <c r="Q9" s="50">
        <f t="shared" si="3"/>
        <v>55.442650789301851</v>
      </c>
    </row>
    <row r="10" spans="1:17">
      <c r="K10" s="16" t="str">
        <f>linefmt("",D56,E56,F56)</f>
        <v>-0.5393634,0.3061979,1.034513,</v>
      </c>
      <c r="M10" s="46">
        <f t="shared" si="0"/>
        <v>55.211287325457789</v>
      </c>
      <c r="N10" s="46">
        <f t="shared" si="5"/>
        <v>7</v>
      </c>
      <c r="O10" s="50">
        <f t="shared" si="1"/>
        <v>103.39625608436992</v>
      </c>
      <c r="P10" s="50">
        <f t="shared" si="2"/>
        <v>48.184968758912134</v>
      </c>
      <c r="Q10" s="50">
        <f t="shared" si="3"/>
        <v>55.147313129495657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53.267631973473257</v>
      </c>
      <c r="N11" s="46">
        <f t="shared" si="5"/>
        <v>8</v>
      </c>
      <c r="O11" s="50">
        <f t="shared" si="1"/>
        <v>101.37129709753019</v>
      </c>
      <c r="P11" s="50">
        <f t="shared" si="2"/>
        <v>48.103665124056931</v>
      </c>
      <c r="Q11" s="50">
        <f t="shared" si="3"/>
        <v>54.851975469689464</v>
      </c>
    </row>
    <row r="12" spans="1:17">
      <c r="A12" s="46" t="s">
        <v>16</v>
      </c>
      <c r="B12" s="10">
        <f>MATCH(M2,M3:M66,0)-1</f>
        <v>35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Compensation=35</v>
      </c>
      <c r="M12" s="46">
        <f t="shared" si="0"/>
        <v>51.323976621488725</v>
      </c>
      <c r="N12" s="46">
        <f t="shared" si="5"/>
        <v>9</v>
      </c>
      <c r="O12" s="50">
        <f t="shared" si="1"/>
        <v>99.346338110690454</v>
      </c>
      <c r="P12" s="50">
        <f t="shared" si="2"/>
        <v>48.022361489201728</v>
      </c>
      <c r="Q12" s="50">
        <f t="shared" si="3"/>
        <v>54.55663780988327</v>
      </c>
    </row>
    <row r="13" spans="1:17">
      <c r="A13" s="78" t="s">
        <v>12</v>
      </c>
      <c r="B13" s="79" t="s">
        <v>0</v>
      </c>
      <c r="C13" s="46">
        <v>0</v>
      </c>
      <c r="D13" s="7">
        <v>540.5</v>
      </c>
      <c r="E13" s="7">
        <v>493</v>
      </c>
      <c r="F13" s="7">
        <v>146.5</v>
      </c>
      <c r="G13" s="8">
        <v>74.8</v>
      </c>
      <c r="H13" s="8">
        <v>30.5</v>
      </c>
      <c r="I13" s="8">
        <v>36.4</v>
      </c>
      <c r="M13" s="46">
        <f t="shared" si="0"/>
        <v>49.380321269504186</v>
      </c>
      <c r="N13" s="46">
        <f t="shared" si="5"/>
        <v>10</v>
      </c>
      <c r="O13" s="50">
        <f t="shared" si="1"/>
        <v>97.321379123850718</v>
      </c>
      <c r="P13" s="50">
        <f t="shared" si="2"/>
        <v>47.941057854346532</v>
      </c>
      <c r="Q13" s="50">
        <f t="shared" si="3"/>
        <v>54.261300150077069</v>
      </c>
    </row>
    <row r="14" spans="1:17">
      <c r="A14" s="78"/>
      <c r="B14" s="79"/>
      <c r="C14" s="46">
        <f>C13+1</f>
        <v>1</v>
      </c>
      <c r="D14" s="7">
        <v>548.29999999999995</v>
      </c>
      <c r="E14" s="7">
        <v>499.9</v>
      </c>
      <c r="F14" s="7">
        <v>146.4</v>
      </c>
      <c r="G14" s="8">
        <v>80.900000000000006</v>
      </c>
      <c r="H14" s="8">
        <v>33.799999999999997</v>
      </c>
      <c r="I14" s="8">
        <v>40.200000000000003</v>
      </c>
      <c r="M14" s="46">
        <f t="shared" si="0"/>
        <v>47.436665917519655</v>
      </c>
      <c r="N14" s="46">
        <f t="shared" si="5"/>
        <v>11</v>
      </c>
      <c r="O14" s="50">
        <f t="shared" si="1"/>
        <v>95.296420137010983</v>
      </c>
      <c r="P14" s="50">
        <f t="shared" si="2"/>
        <v>47.859754219491329</v>
      </c>
      <c r="Q14" s="50">
        <f t="shared" si="3"/>
        <v>53.965962490270876</v>
      </c>
    </row>
    <row r="15" spans="1:17">
      <c r="A15" s="78"/>
      <c r="B15" s="79"/>
      <c r="C15" s="46">
        <f>C14+1</f>
        <v>2</v>
      </c>
      <c r="D15" s="6">
        <f>2*(D13-D14)/(D13+D14)</f>
        <v>-1.4327700220426074E-2</v>
      </c>
      <c r="E15" s="6">
        <f t="shared" ref="E15:F15" si="8">2*(E13-E14)/(E13+E14)</f>
        <v>-1.3898680632490638E-2</v>
      </c>
      <c r="F15" s="6">
        <f t="shared" si="8"/>
        <v>6.8282690337995438E-4</v>
      </c>
      <c r="G15" s="8">
        <v>71.900000000000006</v>
      </c>
      <c r="H15" s="8">
        <v>30.8</v>
      </c>
      <c r="I15" s="8">
        <v>38.200000000000003</v>
      </c>
      <c r="M15" s="46">
        <f t="shared" si="0"/>
        <v>45.493010565535137</v>
      </c>
      <c r="N15" s="46">
        <f t="shared" si="5"/>
        <v>12</v>
      </c>
      <c r="O15" s="50">
        <f t="shared" si="1"/>
        <v>93.271461150171262</v>
      </c>
      <c r="P15" s="50">
        <f t="shared" si="2"/>
        <v>47.778450584636126</v>
      </c>
      <c r="Q15" s="50">
        <f t="shared" si="3"/>
        <v>53.670624830464682</v>
      </c>
    </row>
    <row r="16" spans="1:17">
      <c r="A16" s="78"/>
      <c r="B16" s="79" t="s">
        <v>1</v>
      </c>
      <c r="C16" s="46">
        <f>C13</f>
        <v>0</v>
      </c>
      <c r="D16" s="7">
        <v>1185</v>
      </c>
      <c r="E16" s="7">
        <v>1194</v>
      </c>
      <c r="F16" s="7">
        <v>644</v>
      </c>
      <c r="G16" s="8">
        <v>58.3</v>
      </c>
      <c r="H16" s="8">
        <v>72.099999999999994</v>
      </c>
      <c r="I16" s="8">
        <v>42.7</v>
      </c>
      <c r="M16" s="46">
        <f t="shared" si="0"/>
        <v>43.549355213550591</v>
      </c>
      <c r="N16" s="46">
        <f t="shared" si="5"/>
        <v>13</v>
      </c>
      <c r="O16" s="50">
        <f t="shared" si="1"/>
        <v>91.246502163331513</v>
      </c>
      <c r="P16" s="50">
        <f t="shared" si="2"/>
        <v>47.697146949780922</v>
      </c>
      <c r="Q16" s="50">
        <f t="shared" si="3"/>
        <v>53.375287170658488</v>
      </c>
    </row>
    <row r="17" spans="1:21">
      <c r="A17" s="78"/>
      <c r="B17" s="79"/>
      <c r="C17" s="46">
        <f t="shared" ref="C17:C21" si="9">C14</f>
        <v>1</v>
      </c>
      <c r="D17" s="7">
        <v>1187</v>
      </c>
      <c r="E17" s="7">
        <v>1196</v>
      </c>
      <c r="F17" s="7">
        <v>643</v>
      </c>
      <c r="G17" s="8">
        <v>63.3</v>
      </c>
      <c r="H17" s="8">
        <v>77.599999999999994</v>
      </c>
      <c r="I17" s="8">
        <v>47.2</v>
      </c>
      <c r="M17" s="46">
        <f t="shared" si="0"/>
        <v>41.605699861566073</v>
      </c>
      <c r="N17" s="46">
        <f t="shared" si="5"/>
        <v>14</v>
      </c>
      <c r="O17" s="50">
        <f t="shared" si="1"/>
        <v>89.221543176491792</v>
      </c>
      <c r="P17" s="50">
        <f t="shared" si="2"/>
        <v>47.615843314925719</v>
      </c>
      <c r="Q17" s="50">
        <f t="shared" si="3"/>
        <v>53.079949510852295</v>
      </c>
    </row>
    <row r="18" spans="1:21">
      <c r="A18" s="78"/>
      <c r="B18" s="79"/>
      <c r="C18" s="46">
        <f t="shared" si="9"/>
        <v>2</v>
      </c>
      <c r="D18" s="6">
        <f>2*(D16-D17)/(D16+D17)</f>
        <v>-1.6863406408094434E-3</v>
      </c>
      <c r="E18" s="6">
        <f t="shared" ref="E18:F18" si="10">2*(E16-E17)/(E16+E17)</f>
        <v>-1.6736401673640166E-3</v>
      </c>
      <c r="F18" s="6">
        <f t="shared" si="10"/>
        <v>1.554001554001554E-3</v>
      </c>
      <c r="G18" s="8">
        <v>58.1</v>
      </c>
      <c r="H18" s="8">
        <v>70.099999999999994</v>
      </c>
      <c r="I18" s="8">
        <v>46.3</v>
      </c>
      <c r="M18" s="46">
        <f t="shared" si="0"/>
        <v>39.662044509581541</v>
      </c>
      <c r="N18" s="46">
        <f t="shared" si="5"/>
        <v>15</v>
      </c>
      <c r="O18" s="50">
        <f t="shared" si="1"/>
        <v>87.196584189652057</v>
      </c>
      <c r="P18" s="50">
        <f t="shared" si="2"/>
        <v>47.534539680070516</v>
      </c>
      <c r="Q18" s="50">
        <f t="shared" si="3"/>
        <v>52.784611851046094</v>
      </c>
    </row>
    <row r="19" spans="1:21">
      <c r="A19" s="78"/>
      <c r="B19" s="79" t="s">
        <v>2</v>
      </c>
      <c r="C19" s="46">
        <f t="shared" si="9"/>
        <v>0</v>
      </c>
      <c r="D19" s="7">
        <v>503.7</v>
      </c>
      <c r="E19" s="7">
        <v>570.20000000000005</v>
      </c>
      <c r="F19" s="7">
        <v>528</v>
      </c>
      <c r="G19" s="8">
        <v>25.5</v>
      </c>
      <c r="H19" s="8">
        <v>35.299999999999997</v>
      </c>
      <c r="I19" s="8">
        <v>30.5</v>
      </c>
      <c r="M19" s="46">
        <f t="shared" si="0"/>
        <v>37.718389157597002</v>
      </c>
      <c r="N19" s="46">
        <f t="shared" si="5"/>
        <v>16</v>
      </c>
      <c r="O19" s="50">
        <f t="shared" si="1"/>
        <v>85.171625202812322</v>
      </c>
      <c r="P19" s="50">
        <f t="shared" si="2"/>
        <v>47.45323604521532</v>
      </c>
      <c r="Q19" s="50">
        <f t="shared" si="3"/>
        <v>52.4892741912399</v>
      </c>
    </row>
    <row r="20" spans="1:21">
      <c r="A20" s="78"/>
      <c r="B20" s="79"/>
      <c r="C20" s="46">
        <f t="shared" si="9"/>
        <v>1</v>
      </c>
      <c r="D20" s="7">
        <v>505.7</v>
      </c>
      <c r="E20" s="7">
        <v>571.9</v>
      </c>
      <c r="F20" s="7">
        <v>528.29999999999995</v>
      </c>
      <c r="G20" s="8">
        <v>28.2</v>
      </c>
      <c r="H20" s="8">
        <v>38.9</v>
      </c>
      <c r="I20" s="8">
        <v>33.6</v>
      </c>
      <c r="M20" s="46">
        <f t="shared" si="0"/>
        <v>35.77473380561247</v>
      </c>
      <c r="N20" s="46">
        <f t="shared" si="5"/>
        <v>17</v>
      </c>
      <c r="O20" s="50">
        <f t="shared" si="1"/>
        <v>83.146666215972587</v>
      </c>
      <c r="P20" s="50">
        <f t="shared" si="2"/>
        <v>47.371932410360117</v>
      </c>
      <c r="Q20" s="50">
        <f t="shared" si="3"/>
        <v>52.193936531433707</v>
      </c>
    </row>
    <row r="21" spans="1:21">
      <c r="A21" s="78"/>
      <c r="B21" s="79"/>
      <c r="C21" s="46">
        <f t="shared" si="9"/>
        <v>2</v>
      </c>
      <c r="D21" s="6">
        <f>2*(D19-D20)/(D19+D20)</f>
        <v>-3.9627501486031308E-3</v>
      </c>
      <c r="E21" s="6">
        <f t="shared" ref="E21:F21" si="11">2*(E19-E20)/(E19+E20)</f>
        <v>-2.9769722441116047E-3</v>
      </c>
      <c r="F21" s="6">
        <f t="shared" si="11"/>
        <v>-5.680204487360684E-4</v>
      </c>
      <c r="G21" s="8">
        <v>25.1</v>
      </c>
      <c r="H21" s="8">
        <v>36.799999999999997</v>
      </c>
      <c r="I21" s="8">
        <v>30.6</v>
      </c>
      <c r="M21" s="46">
        <f t="shared" si="0"/>
        <v>33.831078453627939</v>
      </c>
      <c r="N21" s="46">
        <f t="shared" si="5"/>
        <v>18</v>
      </c>
      <c r="O21" s="50">
        <f t="shared" si="1"/>
        <v>81.121707229132852</v>
      </c>
      <c r="P21" s="50">
        <f t="shared" si="2"/>
        <v>47.290628775504914</v>
      </c>
      <c r="Q21" s="50">
        <f t="shared" si="3"/>
        <v>51.898598871627513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544.4</v>
      </c>
      <c r="E22" s="46">
        <f t="shared" ref="E22:F22" si="12">(E13+E14)/2</f>
        <v>496.45</v>
      </c>
      <c r="F22" s="46">
        <f t="shared" si="12"/>
        <v>146.44999999999999</v>
      </c>
      <c r="G22" s="5">
        <f>G13</f>
        <v>74.8</v>
      </c>
      <c r="H22" s="5">
        <f t="shared" ref="H22:I22" si="13">H13</f>
        <v>30.5</v>
      </c>
      <c r="I22" s="5">
        <f t="shared" si="13"/>
        <v>36.4</v>
      </c>
      <c r="J22" s="99">
        <f>AVERAGE(G22:I24)</f>
        <v>45.122222222222227</v>
      </c>
      <c r="M22" s="46">
        <f t="shared" si="0"/>
        <v>31.887423101643421</v>
      </c>
      <c r="N22" s="46">
        <f t="shared" si="5"/>
        <v>19</v>
      </c>
      <c r="O22" s="50">
        <f t="shared" si="1"/>
        <v>79.096748242293131</v>
      </c>
      <c r="P22" s="50">
        <f t="shared" si="2"/>
        <v>47.20932514064971</v>
      </c>
      <c r="Q22" s="50">
        <f t="shared" si="3"/>
        <v>51.603261211821319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1186</v>
      </c>
      <c r="E23" s="46">
        <f>(E16+E17)/2</f>
        <v>1195</v>
      </c>
      <c r="F23" s="46">
        <f>(F16+F17)/2</f>
        <v>643.5</v>
      </c>
      <c r="G23" s="5">
        <f>G16</f>
        <v>58.3</v>
      </c>
      <c r="H23" s="5">
        <f>H16</f>
        <v>72.099999999999994</v>
      </c>
      <c r="I23" s="5">
        <f>I16</f>
        <v>42.7</v>
      </c>
      <c r="J23" s="99"/>
      <c r="M23" s="46">
        <f t="shared" si="0"/>
        <v>29.943767749658875</v>
      </c>
      <c r="N23" s="46">
        <f t="shared" si="5"/>
        <v>20</v>
      </c>
      <c r="O23" s="50">
        <f t="shared" si="1"/>
        <v>77.071789255453382</v>
      </c>
      <c r="P23" s="50">
        <f t="shared" si="2"/>
        <v>47.128021505794507</v>
      </c>
      <c r="Q23" s="50">
        <f t="shared" si="3"/>
        <v>51.307923552015126</v>
      </c>
    </row>
    <row r="24" spans="1:21">
      <c r="A24" s="78"/>
      <c r="B24" s="46" t="str">
        <f>B19</f>
        <v>D65</v>
      </c>
      <c r="C24" s="79"/>
      <c r="D24" s="46">
        <f>(D19+D20)/2</f>
        <v>504.7</v>
      </c>
      <c r="E24" s="46">
        <f>(E19+E20)/2</f>
        <v>571.04999999999995</v>
      </c>
      <c r="F24" s="46">
        <f>(F19+F20)/2</f>
        <v>528.15</v>
      </c>
      <c r="G24" s="5">
        <f>G19</f>
        <v>25.5</v>
      </c>
      <c r="H24" s="5">
        <f>H19</f>
        <v>35.299999999999997</v>
      </c>
      <c r="I24" s="5">
        <f>I19</f>
        <v>30.5</v>
      </c>
      <c r="J24" s="99"/>
      <c r="M24" s="46">
        <f t="shared" si="0"/>
        <v>28.000112397674357</v>
      </c>
      <c r="N24" s="46">
        <f t="shared" si="5"/>
        <v>21</v>
      </c>
      <c r="O24" s="50">
        <f t="shared" si="1"/>
        <v>75.046830268613661</v>
      </c>
      <c r="P24" s="50">
        <f t="shared" si="2"/>
        <v>47.046717870939304</v>
      </c>
      <c r="Q24" s="50">
        <f t="shared" si="3"/>
        <v>51.012585892208932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544.4</v>
      </c>
      <c r="E25" s="46">
        <f t="shared" ref="E25:F25" si="15">(E13+E14)/2</f>
        <v>496.45</v>
      </c>
      <c r="F25" s="46">
        <f t="shared" si="15"/>
        <v>146.44999999999999</v>
      </c>
      <c r="G25" s="5">
        <f t="shared" ref="G25:I25" si="16">G14</f>
        <v>80.900000000000006</v>
      </c>
      <c r="H25" s="5">
        <f t="shared" si="16"/>
        <v>33.799999999999997</v>
      </c>
      <c r="I25" s="5">
        <f t="shared" si="16"/>
        <v>40.200000000000003</v>
      </c>
      <c r="J25" s="99">
        <f>AVERAGE(G25:I27)</f>
        <v>49.29999999999999</v>
      </c>
      <c r="M25" s="46">
        <f t="shared" si="0"/>
        <v>26.056457045689818</v>
      </c>
      <c r="N25" s="46">
        <f t="shared" si="5"/>
        <v>22</v>
      </c>
      <c r="O25" s="50">
        <f t="shared" si="1"/>
        <v>73.021871281773926</v>
      </c>
      <c r="P25" s="50">
        <f t="shared" si="2"/>
        <v>46.965414236084108</v>
      </c>
      <c r="Q25" s="50">
        <f t="shared" si="3"/>
        <v>50.717248232402731</v>
      </c>
    </row>
    <row r="26" spans="1:21">
      <c r="A26" s="78"/>
      <c r="B26" s="46" t="str">
        <f>B16</f>
        <v>CWF</v>
      </c>
      <c r="C26" s="79"/>
      <c r="D26" s="46">
        <f>(D16+D17)/2</f>
        <v>1186</v>
      </c>
      <c r="E26" s="46">
        <f>(E16+E17)/2</f>
        <v>1195</v>
      </c>
      <c r="F26" s="46">
        <f>(F16+F17)/2</f>
        <v>643.5</v>
      </c>
      <c r="G26" s="5">
        <f>G17</f>
        <v>63.3</v>
      </c>
      <c r="H26" s="5">
        <f>H17</f>
        <v>77.599999999999994</v>
      </c>
      <c r="I26" s="5">
        <f>I17</f>
        <v>47.2</v>
      </c>
      <c r="J26" s="99"/>
      <c r="M26" s="46">
        <f t="shared" si="0"/>
        <v>24.112801693705286</v>
      </c>
      <c r="N26" s="46">
        <f t="shared" si="5"/>
        <v>23</v>
      </c>
      <c r="O26" s="50">
        <f t="shared" si="1"/>
        <v>70.996912294934191</v>
      </c>
      <c r="P26" s="50">
        <f t="shared" si="2"/>
        <v>46.884110601228905</v>
      </c>
      <c r="Q26" s="50">
        <f t="shared" si="3"/>
        <v>50.421910572596538</v>
      </c>
    </row>
    <row r="27" spans="1:21">
      <c r="A27" s="78"/>
      <c r="B27" s="46" t="str">
        <f>B19</f>
        <v>D65</v>
      </c>
      <c r="C27" s="79"/>
      <c r="D27" s="46">
        <f>(D19+D20)/2</f>
        <v>504.7</v>
      </c>
      <c r="E27" s="46">
        <f>(E19+E20)/2</f>
        <v>571.04999999999995</v>
      </c>
      <c r="F27" s="46">
        <f>(F19+F20)/2</f>
        <v>528.15</v>
      </c>
      <c r="G27" s="5">
        <f>G20</f>
        <v>28.2</v>
      </c>
      <c r="H27" s="5">
        <f>H20</f>
        <v>38.9</v>
      </c>
      <c r="I27" s="5">
        <f>I20</f>
        <v>33.6</v>
      </c>
      <c r="J27" s="99"/>
      <c r="M27" s="46">
        <f t="shared" si="0"/>
        <v>22.169146341720754</v>
      </c>
      <c r="N27" s="46">
        <f t="shared" si="5"/>
        <v>24</v>
      </c>
      <c r="O27" s="50">
        <f t="shared" si="1"/>
        <v>68.971953308094456</v>
      </c>
      <c r="P27" s="50">
        <f t="shared" si="2"/>
        <v>46.802806966373701</v>
      </c>
      <c r="Q27" s="50">
        <f t="shared" si="3"/>
        <v>50.126572912790344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544.4</v>
      </c>
      <c r="E28" s="46">
        <f t="shared" ref="E28:F28" si="17">(E13+E14)/2</f>
        <v>496.45</v>
      </c>
      <c r="F28" s="46">
        <f t="shared" si="17"/>
        <v>146.44999999999999</v>
      </c>
      <c r="G28" s="5">
        <f t="shared" ref="G28:I28" si="18">G15</f>
        <v>71.900000000000006</v>
      </c>
      <c r="H28" s="5">
        <f t="shared" si="18"/>
        <v>30.8</v>
      </c>
      <c r="I28" s="5">
        <f t="shared" si="18"/>
        <v>38.200000000000003</v>
      </c>
      <c r="J28" s="99">
        <f>AVERAGE(G28:I30)</f>
        <v>45.32222222222223</v>
      </c>
      <c r="M28" s="46">
        <f t="shared" si="0"/>
        <v>20.225490989736223</v>
      </c>
      <c r="N28" s="46">
        <f t="shared" si="5"/>
        <v>25</v>
      </c>
      <c r="O28" s="50">
        <f t="shared" si="1"/>
        <v>66.946994321254721</v>
      </c>
      <c r="P28" s="50">
        <f t="shared" si="2"/>
        <v>46.721503331518498</v>
      </c>
      <c r="Q28" s="50">
        <f t="shared" si="3"/>
        <v>49.83123525298415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1186</v>
      </c>
      <c r="E29" s="46">
        <f t="shared" si="20"/>
        <v>1195</v>
      </c>
      <c r="F29" s="46">
        <f t="shared" si="20"/>
        <v>643.5</v>
      </c>
      <c r="G29" s="5">
        <f t="shared" ref="G29:I29" si="21">G18</f>
        <v>58.1</v>
      </c>
      <c r="H29" s="5">
        <f t="shared" si="21"/>
        <v>70.099999999999994</v>
      </c>
      <c r="I29" s="5">
        <f t="shared" si="21"/>
        <v>46.3</v>
      </c>
      <c r="J29" s="99"/>
      <c r="M29" s="46">
        <f t="shared" si="0"/>
        <v>18.281835637751691</v>
      </c>
      <c r="N29" s="46">
        <f t="shared" si="5"/>
        <v>26</v>
      </c>
      <c r="O29" s="50">
        <f t="shared" si="1"/>
        <v>64.922035334414986</v>
      </c>
      <c r="P29" s="50">
        <f t="shared" si="2"/>
        <v>46.640199696663295</v>
      </c>
      <c r="Q29" s="50">
        <f t="shared" si="3"/>
        <v>49.535897593177957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504.7</v>
      </c>
      <c r="E30" s="46">
        <f t="shared" si="23"/>
        <v>571.04999999999995</v>
      </c>
      <c r="F30" s="46">
        <f t="shared" si="23"/>
        <v>528.15</v>
      </c>
      <c r="G30" s="5">
        <f t="shared" ref="G30:I30" si="24">G21</f>
        <v>25.1</v>
      </c>
      <c r="H30" s="5">
        <f t="shared" si="24"/>
        <v>36.799999999999997</v>
      </c>
      <c r="I30" s="5">
        <f t="shared" si="24"/>
        <v>30.6</v>
      </c>
      <c r="J30" s="99"/>
      <c r="M30" s="46">
        <f t="shared" si="0"/>
        <v>16.338180285767166</v>
      </c>
      <c r="N30" s="46">
        <f t="shared" si="5"/>
        <v>27</v>
      </c>
      <c r="O30" s="50">
        <f t="shared" si="1"/>
        <v>62.897076347575258</v>
      </c>
      <c r="P30" s="50">
        <f t="shared" si="2"/>
        <v>46.558896061808092</v>
      </c>
      <c r="Q30" s="50">
        <f t="shared" si="3"/>
        <v>49.240559933371763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544.4</v>
      </c>
      <c r="E31" s="46">
        <f t="shared" si="25"/>
        <v>496.45</v>
      </c>
      <c r="F31" s="46">
        <f t="shared" si="25"/>
        <v>146.44999999999999</v>
      </c>
      <c r="G31" s="5">
        <f t="shared" ref="G31:I33" si="26">G22*$J$31</f>
        <v>74.8</v>
      </c>
      <c r="H31" s="5">
        <f t="shared" si="26"/>
        <v>30.5</v>
      </c>
      <c r="I31" s="5">
        <f t="shared" si="26"/>
        <v>36.4</v>
      </c>
      <c r="J31" s="96">
        <f>J$22/J22</f>
        <v>1</v>
      </c>
      <c r="M31" s="46">
        <f t="shared" si="0"/>
        <v>14.394524933782627</v>
      </c>
      <c r="N31" s="46">
        <f t="shared" si="5"/>
        <v>28</v>
      </c>
      <c r="O31" s="50">
        <f t="shared" si="1"/>
        <v>60.872117360735523</v>
      </c>
      <c r="P31" s="50">
        <f t="shared" si="2"/>
        <v>46.477592426952896</v>
      </c>
      <c r="Q31" s="50">
        <f t="shared" si="3"/>
        <v>48.945222273565562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1186</v>
      </c>
      <c r="E32" s="46">
        <f t="shared" si="27"/>
        <v>1195</v>
      </c>
      <c r="F32" s="46">
        <f t="shared" si="27"/>
        <v>643.5</v>
      </c>
      <c r="G32" s="5">
        <f t="shared" si="26"/>
        <v>58.3</v>
      </c>
      <c r="H32" s="5">
        <f t="shared" si="26"/>
        <v>72.099999999999994</v>
      </c>
      <c r="I32" s="5">
        <f t="shared" si="26"/>
        <v>42.7</v>
      </c>
      <c r="J32" s="96"/>
      <c r="M32" s="46">
        <f t="shared" si="0"/>
        <v>12.450869581798095</v>
      </c>
      <c r="N32" s="46">
        <f t="shared" si="5"/>
        <v>29</v>
      </c>
      <c r="O32" s="50">
        <f t="shared" si="1"/>
        <v>58.847158373895788</v>
      </c>
      <c r="P32" s="50">
        <f t="shared" si="2"/>
        <v>46.396288792097693</v>
      </c>
      <c r="Q32" s="50">
        <f t="shared" si="3"/>
        <v>48.649884613759369</v>
      </c>
    </row>
    <row r="33" spans="1:17">
      <c r="A33" s="78"/>
      <c r="B33" s="46" t="str">
        <f t="shared" si="27"/>
        <v>D65</v>
      </c>
      <c r="C33" s="79"/>
      <c r="D33" s="46">
        <f t="shared" si="27"/>
        <v>504.7</v>
      </c>
      <c r="E33" s="46">
        <f t="shared" si="27"/>
        <v>571.04999999999995</v>
      </c>
      <c r="F33" s="46">
        <f t="shared" si="27"/>
        <v>528.15</v>
      </c>
      <c r="G33" s="5">
        <f t="shared" si="26"/>
        <v>25.5</v>
      </c>
      <c r="H33" s="5">
        <f t="shared" si="26"/>
        <v>35.299999999999997</v>
      </c>
      <c r="I33" s="5">
        <f t="shared" si="26"/>
        <v>30.5</v>
      </c>
      <c r="J33" s="96"/>
      <c r="M33" s="46">
        <f t="shared" si="0"/>
        <v>10.50721422981357</v>
      </c>
      <c r="N33" s="46">
        <f t="shared" si="5"/>
        <v>30</v>
      </c>
      <c r="O33" s="50">
        <f t="shared" si="1"/>
        <v>56.82219938705606</v>
      </c>
      <c r="P33" s="50">
        <f t="shared" si="2"/>
        <v>46.314985157242489</v>
      </c>
      <c r="Q33" s="50">
        <f t="shared" si="3"/>
        <v>48.354546953953175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544.4</v>
      </c>
      <c r="E34" s="46">
        <f t="shared" si="27"/>
        <v>496.45</v>
      </c>
      <c r="F34" s="46">
        <f t="shared" si="27"/>
        <v>146.44999999999999</v>
      </c>
      <c r="G34" s="5">
        <f t="shared" ref="G34:I36" si="28">G25*$J$34</f>
        <v>74.044376831192281</v>
      </c>
      <c r="H34" s="5">
        <f t="shared" si="28"/>
        <v>30.935722334910984</v>
      </c>
      <c r="I34" s="5">
        <f t="shared" si="28"/>
        <v>36.793373901284667</v>
      </c>
      <c r="J34" s="96">
        <f>J$22/J25</f>
        <v>0.91525805724588716</v>
      </c>
      <c r="M34" s="46">
        <f t="shared" si="0"/>
        <v>8.5635588778290384</v>
      </c>
      <c r="N34" s="46">
        <f t="shared" si="5"/>
        <v>31</v>
      </c>
      <c r="O34" s="50">
        <f t="shared" si="1"/>
        <v>54.797240400216324</v>
      </c>
      <c r="P34" s="50">
        <f t="shared" si="2"/>
        <v>46.233681522387286</v>
      </c>
      <c r="Q34" s="50">
        <f t="shared" si="3"/>
        <v>48.059209294146982</v>
      </c>
    </row>
    <row r="35" spans="1:17">
      <c r="A35" s="78"/>
      <c r="B35" s="46" t="str">
        <f t="shared" si="27"/>
        <v>CWF</v>
      </c>
      <c r="C35" s="79"/>
      <c r="D35" s="46">
        <f t="shared" si="27"/>
        <v>1186</v>
      </c>
      <c r="E35" s="46">
        <f t="shared" si="27"/>
        <v>1195</v>
      </c>
      <c r="F35" s="46">
        <f t="shared" si="27"/>
        <v>643.5</v>
      </c>
      <c r="G35" s="5">
        <f t="shared" si="28"/>
        <v>57.935835023664652</v>
      </c>
      <c r="H35" s="5">
        <f t="shared" si="28"/>
        <v>71.024025242280842</v>
      </c>
      <c r="I35" s="5">
        <f t="shared" si="28"/>
        <v>43.200180302005876</v>
      </c>
      <c r="J35" s="96"/>
      <c r="M35" s="46">
        <f t="shared" si="0"/>
        <v>6.6199035258445065</v>
      </c>
      <c r="N35" s="46">
        <f t="shared" si="5"/>
        <v>32</v>
      </c>
      <c r="O35" s="50">
        <f t="shared" si="1"/>
        <v>52.772281413376589</v>
      </c>
      <c r="P35" s="50">
        <f t="shared" si="2"/>
        <v>46.152377887532083</v>
      </c>
      <c r="Q35" s="50">
        <f t="shared" si="3"/>
        <v>47.763871634340788</v>
      </c>
    </row>
    <row r="36" spans="1:17">
      <c r="A36" s="78"/>
      <c r="B36" s="46" t="str">
        <f t="shared" si="27"/>
        <v>D65</v>
      </c>
      <c r="C36" s="79"/>
      <c r="D36" s="46">
        <f t="shared" si="27"/>
        <v>504.7</v>
      </c>
      <c r="E36" s="46">
        <f t="shared" si="27"/>
        <v>571.04999999999995</v>
      </c>
      <c r="F36" s="46">
        <f t="shared" si="27"/>
        <v>528.15</v>
      </c>
      <c r="G36" s="5">
        <f t="shared" si="28"/>
        <v>25.810277214334018</v>
      </c>
      <c r="H36" s="5">
        <f t="shared" si="28"/>
        <v>35.603538426865008</v>
      </c>
      <c r="I36" s="5">
        <f t="shared" si="28"/>
        <v>30.752670723461812</v>
      </c>
      <c r="J36" s="96"/>
      <c r="M36" s="46">
        <f t="shared" si="0"/>
        <v>4.6762481738599746</v>
      </c>
      <c r="N36" s="46">
        <f t="shared" si="5"/>
        <v>33</v>
      </c>
      <c r="O36" s="50">
        <f t="shared" si="1"/>
        <v>50.747322426536854</v>
      </c>
      <c r="P36" s="50">
        <f t="shared" si="2"/>
        <v>46.07107425267688</v>
      </c>
      <c r="Q36" s="50">
        <f t="shared" si="3"/>
        <v>47.468533974534594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544.4</v>
      </c>
      <c r="E37" s="46">
        <f t="shared" si="27"/>
        <v>496.45</v>
      </c>
      <c r="F37" s="46">
        <f t="shared" si="27"/>
        <v>146.44999999999999</v>
      </c>
      <c r="G37" s="5">
        <f t="shared" ref="G37:I39" si="29">G28*$J$37</f>
        <v>71.582716352047072</v>
      </c>
      <c r="H37" s="5">
        <f t="shared" si="29"/>
        <v>30.664084334395682</v>
      </c>
      <c r="I37" s="5">
        <f t="shared" si="29"/>
        <v>38.031429271880363</v>
      </c>
      <c r="J37" s="96">
        <f>J$22/J28</f>
        <v>0.99558715371414552</v>
      </c>
      <c r="K37" s="51" t="str">
        <f>CHAR(34) &amp; "EEpromVersion" &amp;CHAR(34)  &amp; ",3,"</f>
        <v>"EEpromVersion",3,</v>
      </c>
      <c r="M37" s="46">
        <f t="shared" si="0"/>
        <v>2.7325928218754427</v>
      </c>
      <c r="N37" s="46">
        <f t="shared" si="5"/>
        <v>34</v>
      </c>
      <c r="O37" s="50">
        <f t="shared" si="1"/>
        <v>48.722363439697119</v>
      </c>
      <c r="P37" s="50">
        <f t="shared" si="2"/>
        <v>45.989770617821677</v>
      </c>
      <c r="Q37" s="50">
        <f t="shared" si="3"/>
        <v>47.173196314728401</v>
      </c>
    </row>
    <row r="38" spans="1:17">
      <c r="A38" s="78"/>
      <c r="B38" s="46" t="str">
        <f t="shared" si="27"/>
        <v>CWF</v>
      </c>
      <c r="C38" s="79"/>
      <c r="D38" s="46">
        <f t="shared" si="27"/>
        <v>1186</v>
      </c>
      <c r="E38" s="46">
        <f t="shared" si="27"/>
        <v>1195</v>
      </c>
      <c r="F38" s="46">
        <f t="shared" si="27"/>
        <v>643.5</v>
      </c>
      <c r="G38" s="5">
        <f t="shared" si="29"/>
        <v>57.843613630791857</v>
      </c>
      <c r="H38" s="5">
        <f t="shared" si="29"/>
        <v>69.790659475361593</v>
      </c>
      <c r="I38" s="5">
        <f t="shared" si="29"/>
        <v>46.095685216964938</v>
      </c>
      <c r="J38" s="96"/>
      <c r="K38" s="52" t="str">
        <f>K4</f>
        <v>"Compensation",35,</v>
      </c>
      <c r="M38" s="46">
        <f t="shared" si="0"/>
        <v>0.9693916719557194</v>
      </c>
      <c r="N38" s="46">
        <f t="shared" si="5"/>
        <v>35</v>
      </c>
      <c r="O38" s="50">
        <f t="shared" si="1"/>
        <v>46.697404452857384</v>
      </c>
      <c r="P38" s="50">
        <f t="shared" si="2"/>
        <v>45.90846698296648</v>
      </c>
      <c r="Q38" s="50">
        <f t="shared" si="3"/>
        <v>46.8778586549222</v>
      </c>
    </row>
    <row r="39" spans="1:17">
      <c r="A39" s="78"/>
      <c r="B39" s="46" t="str">
        <f t="shared" si="27"/>
        <v>D65</v>
      </c>
      <c r="C39" s="79"/>
      <c r="D39" s="46">
        <f t="shared" si="27"/>
        <v>504.7</v>
      </c>
      <c r="E39" s="46">
        <f t="shared" si="27"/>
        <v>571.04999999999995</v>
      </c>
      <c r="F39" s="46">
        <f t="shared" si="27"/>
        <v>528.15</v>
      </c>
      <c r="G39" s="5">
        <f t="shared" si="29"/>
        <v>24.989237558225053</v>
      </c>
      <c r="H39" s="5">
        <f t="shared" si="29"/>
        <v>36.637607256680553</v>
      </c>
      <c r="I39" s="5">
        <f t="shared" si="29"/>
        <v>30.464966903652854</v>
      </c>
      <c r="J39" s="96"/>
      <c r="K39" s="53" t="str">
        <f>linefmt("CardGain",J42,J45,J48)</f>
        <v>"CardGain",17.12383,18.11242,20.07675,</v>
      </c>
      <c r="M39" s="46">
        <f t="shared" si="0"/>
        <v>1.9100755290983571</v>
      </c>
      <c r="N39" s="46">
        <f t="shared" si="5"/>
        <v>36</v>
      </c>
      <c r="O39" s="50">
        <f t="shared" si="1"/>
        <v>44.672445466017649</v>
      </c>
      <c r="P39" s="50">
        <f t="shared" si="2"/>
        <v>45.827163348111277</v>
      </c>
      <c r="Q39" s="50">
        <f t="shared" si="3"/>
        <v>46.582520995116006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"Range",1,0.915258,0.9955872,</v>
      </c>
      <c r="M40" s="46">
        <f t="shared" si="0"/>
        <v>3.6396968561318843</v>
      </c>
      <c r="N40" s="46">
        <f t="shared" si="5"/>
        <v>37</v>
      </c>
      <c r="O40" s="50">
        <f t="shared" si="1"/>
        <v>42.647486479177928</v>
      </c>
      <c r="P40" s="50">
        <f t="shared" si="2"/>
        <v>45.745859713256074</v>
      </c>
      <c r="Q40" s="50">
        <f t="shared" si="3"/>
        <v>46.287183335309813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5.3693181831654258</v>
      </c>
      <c r="N41" s="46">
        <f t="shared" si="5"/>
        <v>38</v>
      </c>
      <c r="O41" s="50">
        <f t="shared" si="1"/>
        <v>40.622527492338193</v>
      </c>
      <c r="P41" s="50">
        <f t="shared" si="2"/>
        <v>45.664556078400871</v>
      </c>
      <c r="Q41" s="50">
        <f t="shared" si="3"/>
        <v>45.991845675503619</v>
      </c>
    </row>
    <row r="42" spans="1:17">
      <c r="A42" s="4"/>
      <c r="B42" s="46" t="s">
        <v>3</v>
      </c>
      <c r="C42" s="79">
        <f>C31</f>
        <v>0</v>
      </c>
      <c r="D42" s="46">
        <f>I42/$H$43</f>
        <v>0.19608280597221925</v>
      </c>
      <c r="E42" s="46">
        <f>H42/$H$43</f>
        <v>1.0390554837680916</v>
      </c>
      <c r="F42" s="46">
        <f>G42/$H$43</f>
        <v>-0.40017097216357483</v>
      </c>
      <c r="G42" s="46">
        <f t="array" ref="G42:I42">LINEST($D31:$D33,$G31:$I33,FALSE)</f>
        <v>-6.8524576140650435</v>
      </c>
      <c r="H42" s="46">
        <v>17.792604052930344</v>
      </c>
      <c r="I42" s="46">
        <v>3.3576876141389365</v>
      </c>
      <c r="J42" s="97">
        <f>H43</f>
        <v>17.123824791729312</v>
      </c>
      <c r="K42" s="53" t="str">
        <f t="shared" ref="K42:K50" si="30">linefmt("",D42,E42,F42)</f>
        <v>0.1960828,1.039055,-0.400171,</v>
      </c>
      <c r="M42" s="46">
        <f t="shared" si="0"/>
        <v>7.0989395101989601</v>
      </c>
      <c r="N42" s="46">
        <f t="shared" si="5"/>
        <v>39</v>
      </c>
      <c r="O42" s="50">
        <f t="shared" si="1"/>
        <v>38.597568505498458</v>
      </c>
      <c r="P42" s="50">
        <f t="shared" si="2"/>
        <v>45.583252443545668</v>
      </c>
      <c r="Q42" s="50">
        <f t="shared" si="3"/>
        <v>45.696508015697418</v>
      </c>
    </row>
    <row r="43" spans="1:17">
      <c r="A43" s="4"/>
      <c r="B43" s="46" t="s">
        <v>4</v>
      </c>
      <c r="C43" s="79"/>
      <c r="D43" s="46">
        <f>I43/$H$43</f>
        <v>1.8505639759570154E-2</v>
      </c>
      <c r="E43" s="46">
        <f>H43/$H$43</f>
        <v>1</v>
      </c>
      <c r="F43" s="46">
        <f>G43/$H$43</f>
        <v>-7.9462946789830874E-2</v>
      </c>
      <c r="G43" s="46">
        <f t="array" ref="G43:I43">LINEST($E31:$E33,$G31:$I33,FALSE)</f>
        <v>-1.3607095782635732</v>
      </c>
      <c r="H43" s="46">
        <v>17.123824791729312</v>
      </c>
      <c r="I43" s="46">
        <v>0.31688733290173909</v>
      </c>
      <c r="J43" s="97"/>
      <c r="K43" s="53" t="str">
        <f t="shared" si="30"/>
        <v>1.850564E-02,1,-7.946295E-02,</v>
      </c>
      <c r="M43" s="46">
        <f t="shared" si="0"/>
        <v>8.9293392900317485</v>
      </c>
      <c r="N43" s="46">
        <f t="shared" si="5"/>
        <v>40</v>
      </c>
      <c r="O43" s="50">
        <f t="shared" si="1"/>
        <v>36.572609518658723</v>
      </c>
      <c r="P43" s="50">
        <f t="shared" si="2"/>
        <v>45.501948808690472</v>
      </c>
      <c r="Q43" s="50">
        <f t="shared" si="3"/>
        <v>45.401170355891225</v>
      </c>
    </row>
    <row r="44" spans="1:17">
      <c r="A44" s="4"/>
      <c r="B44" s="46" t="s">
        <v>5</v>
      </c>
      <c r="C44" s="79"/>
      <c r="D44" s="46">
        <f>I44/$H$43</f>
        <v>-0.55631888228401327</v>
      </c>
      <c r="E44" s="46">
        <f>H44/$H$43</f>
        <v>0.30740028350439308</v>
      </c>
      <c r="F44" s="46">
        <f>G44/$H$43</f>
        <v>1.1205866889369014</v>
      </c>
      <c r="G44" s="46">
        <f t="array" ref="G44:I44">LINEST($F$31:$F$33,$G31:$I33,FALSE)</f>
        <v>19.188730125299575</v>
      </c>
      <c r="H44" s="46">
        <v>5.2638685956571454</v>
      </c>
      <c r="I44" s="46">
        <v>-9.5263070685621276</v>
      </c>
      <c r="J44" s="97"/>
      <c r="K44" s="53" t="str">
        <f t="shared" si="30"/>
        <v>-0.5563189,0.3074003,1.120587,</v>
      </c>
      <c r="M44" s="46">
        <f t="shared" si="0"/>
        <v>10.87299464201628</v>
      </c>
      <c r="N44" s="46">
        <f t="shared" si="5"/>
        <v>41</v>
      </c>
      <c r="O44" s="50">
        <f t="shared" si="1"/>
        <v>34.547650531818988</v>
      </c>
      <c r="P44" s="50">
        <f t="shared" si="2"/>
        <v>45.420645173835268</v>
      </c>
      <c r="Q44" s="50">
        <f t="shared" si="3"/>
        <v>45.105832696085031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0.20538254966326919</v>
      </c>
      <c r="E45" s="46">
        <f>H45/$H$46</f>
        <v>1.0416243765471023</v>
      </c>
      <c r="F45" s="46">
        <f>G45/$H$46</f>
        <v>-0.47220756986094997</v>
      </c>
      <c r="G45" s="46">
        <f t="array" ref="G45:I45">LINEST($D34:$D36,$G34:$I36,FALSE)</f>
        <v>-8.5528240500221866</v>
      </c>
      <c r="H45" s="46">
        <v>18.866343081803599</v>
      </c>
      <c r="I45" s="46">
        <v>3.71997596466348</v>
      </c>
      <c r="J45" s="97">
        <f>H46</f>
        <v>18.112424696073212</v>
      </c>
      <c r="K45" s="53" t="str">
        <f t="shared" si="30"/>
        <v>0.2053826,1.041624,-0.4722076,</v>
      </c>
      <c r="M45" s="46">
        <f t="shared" si="0"/>
        <v>12.816649994000812</v>
      </c>
      <c r="N45" s="46">
        <f t="shared" si="5"/>
        <v>42</v>
      </c>
      <c r="O45" s="50">
        <f t="shared" si="1"/>
        <v>32.522691544979253</v>
      </c>
      <c r="P45" s="50">
        <f t="shared" si="2"/>
        <v>45.339341538980065</v>
      </c>
      <c r="Q45" s="50">
        <f t="shared" si="3"/>
        <v>44.810495036278837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3.1267390013277205E-2</v>
      </c>
      <c r="E46" s="46">
        <f>H46/$H$46</f>
        <v>1</v>
      </c>
      <c r="F46" s="46">
        <f>G46/$H$46</f>
        <v>-0.15876595187849069</v>
      </c>
      <c r="G46" s="46">
        <f t="array" ref="G46:I46">LINEST($E34:$E36,$G34:$I36,FALSE)</f>
        <v>-2.8756363476995457</v>
      </c>
      <c r="H46" s="46">
        <v>18.112424696073212</v>
      </c>
      <c r="I46" s="46">
        <v>0.56632824705823492</v>
      </c>
      <c r="J46" s="97"/>
      <c r="K46" s="53" t="str">
        <f t="shared" si="30"/>
        <v>3.126739E-02,1,-0.158766,</v>
      </c>
      <c r="M46" s="46">
        <f t="shared" si="0"/>
        <v>14.760305345985344</v>
      </c>
      <c r="N46" s="46">
        <f t="shared" si="5"/>
        <v>43</v>
      </c>
      <c r="O46" s="50">
        <f t="shared" si="1"/>
        <v>30.497732558139518</v>
      </c>
      <c r="P46" s="50">
        <f t="shared" si="2"/>
        <v>45.258037904124862</v>
      </c>
      <c r="Q46" s="50">
        <f t="shared" si="3"/>
        <v>44.515157376472644</v>
      </c>
    </row>
    <row r="47" spans="1:17">
      <c r="A47" s="4"/>
      <c r="B47" s="46" t="str">
        <f t="shared" si="31"/>
        <v>Z</v>
      </c>
      <c r="C47" s="79"/>
      <c r="D47" s="46">
        <f>I47/$H$46</f>
        <v>-0.54020963210728246</v>
      </c>
      <c r="E47" s="46">
        <f>H47/$H$46</f>
        <v>0.29876162235586856</v>
      </c>
      <c r="F47" s="46">
        <f>G47/$H$46</f>
        <v>1.0556979350202533</v>
      </c>
      <c r="G47" s="46">
        <f t="array" ref="G47:I47">LINEST($F$31:$F$33,$G34:$I36,FALSE)</f>
        <v>19.121249349854331</v>
      </c>
      <c r="H47" s="46">
        <v>5.4112973869973322</v>
      </c>
      <c r="I47" s="46">
        <v>-9.7845062816365669</v>
      </c>
      <c r="J47" s="97"/>
      <c r="K47" s="53" t="str">
        <f t="shared" si="30"/>
        <v>-0.5402097,0.2987616,1.055698,</v>
      </c>
      <c r="M47" s="46">
        <f t="shared" si="0"/>
        <v>16.703960697969862</v>
      </c>
      <c r="N47" s="46">
        <f t="shared" si="5"/>
        <v>44</v>
      </c>
      <c r="O47" s="50">
        <f t="shared" si="1"/>
        <v>28.472773571299797</v>
      </c>
      <c r="P47" s="50">
        <f t="shared" si="2"/>
        <v>45.176734269269659</v>
      </c>
      <c r="Q47" s="50">
        <f t="shared" si="3"/>
        <v>44.21981971666645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0.29016700359823416</v>
      </c>
      <c r="E48" s="46">
        <f>H48/$H$49</f>
        <v>1.0605093390903551</v>
      </c>
      <c r="F48" s="46">
        <f>G48/$H$49</f>
        <v>-0.68823465205225409</v>
      </c>
      <c r="G48" s="46">
        <f t="array" ref="G48:I48">LINEST($D37:$D39,$G37:$I39,FALSE)</f>
        <v>-13.817515018890637</v>
      </c>
      <c r="H48" s="46">
        <v>21.291580824736201</v>
      </c>
      <c r="I48" s="46">
        <v>5.8256103761260221</v>
      </c>
      <c r="J48" s="97">
        <f>H49</f>
        <v>20.076749953940919</v>
      </c>
      <c r="K48" s="53" t="str">
        <f t="shared" si="30"/>
        <v>0.290167,1.060509,-0.6882346,</v>
      </c>
      <c r="M48" s="46">
        <f t="shared" si="0"/>
        <v>18.647616049954394</v>
      </c>
      <c r="N48" s="46">
        <f t="shared" si="5"/>
        <v>45</v>
      </c>
      <c r="O48" s="50">
        <f t="shared" si="1"/>
        <v>26.447814584460062</v>
      </c>
      <c r="P48" s="50">
        <f t="shared" si="2"/>
        <v>45.095430634414456</v>
      </c>
      <c r="Q48" s="50">
        <f t="shared" si="3"/>
        <v>43.924482056860256</v>
      </c>
    </row>
    <row r="49" spans="1:24">
      <c r="A49" s="4"/>
      <c r="B49" s="46" t="str">
        <f t="shared" si="31"/>
        <v>Y</v>
      </c>
      <c r="C49" s="79"/>
      <c r="D49" s="46">
        <f>I49/$H$49</f>
        <v>0.10629552169773256</v>
      </c>
      <c r="E49" s="46">
        <f>H49/$H$49</f>
        <v>1</v>
      </c>
      <c r="F49" s="46">
        <f>G49/$H$49</f>
        <v>-0.35616328155764421</v>
      </c>
      <c r="G49" s="46">
        <f t="array" ref="G49:I49">LINEST($E37:$E39,$G37:$I39,FALSE)</f>
        <v>-7.1506011466078796</v>
      </c>
      <c r="H49" s="46">
        <v>20.076749953940919</v>
      </c>
      <c r="I49" s="46">
        <v>2.134068610349078</v>
      </c>
      <c r="J49" s="97"/>
      <c r="K49" s="53" t="str">
        <f t="shared" si="30"/>
        <v>0.1062955,1,-0.3561633,</v>
      </c>
      <c r="M49" s="46">
        <f t="shared" si="0"/>
        <v>20.591271401938926</v>
      </c>
      <c r="N49" s="46">
        <f t="shared" si="5"/>
        <v>46</v>
      </c>
      <c r="O49" s="50">
        <f t="shared" si="1"/>
        <v>24.422855597620327</v>
      </c>
      <c r="P49" s="50">
        <f t="shared" si="2"/>
        <v>45.014126999559252</v>
      </c>
      <c r="Q49" s="50">
        <f t="shared" si="3"/>
        <v>43.629144397054063</v>
      </c>
    </row>
    <row r="50" spans="1:24">
      <c r="A50" s="4"/>
      <c r="B50" s="46" t="str">
        <f t="shared" si="31"/>
        <v>Z</v>
      </c>
      <c r="C50" s="79"/>
      <c r="D50" s="46">
        <f>I50/$H$49</f>
        <v>-0.54842106057531548</v>
      </c>
      <c r="E50" s="46">
        <f>H50/$H$49</f>
        <v>0.22534322161436815</v>
      </c>
      <c r="F50" s="46">
        <f>G50/$H$49</f>
        <v>1.0423492824935114</v>
      </c>
      <c r="G50" s="46">
        <f t="array" ref="G50:I50">LINEST($F$31:$F$33,$G37:$I39,FALSE)</f>
        <v>20.926985909291954</v>
      </c>
      <c r="H50" s="46">
        <v>4.524159514167164</v>
      </c>
      <c r="I50" s="46">
        <v>-11.010512502645694</v>
      </c>
      <c r="J50" s="97"/>
      <c r="K50" s="54" t="str">
        <f t="shared" si="30"/>
        <v>-0.5484211,0.2253432,1.042349,</v>
      </c>
      <c r="M50" s="46">
        <f t="shared" si="0"/>
        <v>22.534926753923465</v>
      </c>
      <c r="N50" s="46">
        <f t="shared" si="5"/>
        <v>47</v>
      </c>
      <c r="O50" s="50">
        <f t="shared" si="1"/>
        <v>22.397896610780592</v>
      </c>
      <c r="P50" s="50">
        <f t="shared" si="2"/>
        <v>44.932823364704056</v>
      </c>
      <c r="Q50" s="50">
        <f t="shared" si="3"/>
        <v>43.333806737247862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0.2305441197445742</v>
      </c>
      <c r="E51" s="46">
        <f t="shared" ref="E51:F51" si="32">(E42+E45+E48)/3</f>
        <v>1.0470630664685163</v>
      </c>
      <c r="F51" s="46">
        <f t="shared" si="32"/>
        <v>-0.52020439802559293</v>
      </c>
      <c r="J51" s="97">
        <f>(J42+J45+J48)/3</f>
        <v>18.437666480581147</v>
      </c>
      <c r="M51" s="46">
        <f t="shared" si="0"/>
        <v>24.478582105907996</v>
      </c>
      <c r="N51" s="46">
        <f t="shared" si="5"/>
        <v>48</v>
      </c>
      <c r="O51" s="50">
        <f t="shared" si="1"/>
        <v>20.372937623940857</v>
      </c>
      <c r="P51" s="50">
        <f t="shared" si="2"/>
        <v>44.851519729848853</v>
      </c>
      <c r="Q51" s="50">
        <f t="shared" si="3"/>
        <v>43.038469077441668</v>
      </c>
    </row>
    <row r="52" spans="1:24">
      <c r="B52" s="46" t="str">
        <f t="shared" si="31"/>
        <v>Y</v>
      </c>
      <c r="C52" s="79"/>
      <c r="D52" s="46">
        <f t="shared" ref="D52:F53" si="33">(D43+D46+D49)/3</f>
        <v>5.2022850490193305E-2</v>
      </c>
      <c r="E52" s="46">
        <f t="shared" si="33"/>
        <v>1</v>
      </c>
      <c r="F52" s="46">
        <f t="shared" si="33"/>
        <v>-0.19813072674198859</v>
      </c>
      <c r="J52" s="97"/>
      <c r="M52" s="46">
        <f t="shared" si="0"/>
        <v>26.422237457892528</v>
      </c>
      <c r="N52" s="46">
        <f t="shared" si="5"/>
        <v>49</v>
      </c>
      <c r="O52" s="50">
        <f t="shared" si="1"/>
        <v>18.347978637101122</v>
      </c>
      <c r="P52" s="50">
        <f t="shared" si="2"/>
        <v>44.77021609499365</v>
      </c>
      <c r="Q52" s="50">
        <f t="shared" si="3"/>
        <v>42.743131417635475</v>
      </c>
    </row>
    <row r="53" spans="1:24" ht="15.75" thickBot="1">
      <c r="B53" s="46" t="str">
        <f t="shared" si="31"/>
        <v>Z</v>
      </c>
      <c r="C53" s="79"/>
      <c r="D53" s="46">
        <f t="shared" si="33"/>
        <v>-0.5483165249888704</v>
      </c>
      <c r="E53" s="46">
        <f t="shared" si="33"/>
        <v>0.27716837582487658</v>
      </c>
      <c r="F53" s="46">
        <f t="shared" si="33"/>
        <v>1.0728779688168888</v>
      </c>
      <c r="J53" s="100"/>
      <c r="M53" s="46">
        <f t="shared" si="0"/>
        <v>28.36589280987706</v>
      </c>
      <c r="N53" s="46">
        <f t="shared" si="5"/>
        <v>50</v>
      </c>
      <c r="O53" s="50">
        <f t="shared" si="1"/>
        <v>16.323019650261386</v>
      </c>
      <c r="P53" s="50">
        <f t="shared" si="2"/>
        <v>44.688912460138447</v>
      </c>
      <c r="Q53" s="50">
        <f t="shared" si="3"/>
        <v>42.447793757829281</v>
      </c>
    </row>
    <row r="54" spans="1:24">
      <c r="B54" s="79" t="s">
        <v>14</v>
      </c>
      <c r="C54" s="79"/>
      <c r="D54" s="19">
        <f>I54/$H$55</f>
        <v>0.21291127240489047</v>
      </c>
      <c r="E54" s="20">
        <f>H54/$H$55</f>
        <v>1.0388764088506832</v>
      </c>
      <c r="F54" s="21">
        <f>G54/$H$55</f>
        <v>-0.46595236574066795</v>
      </c>
      <c r="G54" s="46">
        <f t="array" ref="G54:I54">LINEST(D$31:D$39,$G$31:$I$39,FALSE)</f>
        <v>-8.3945898655584656</v>
      </c>
      <c r="H54" s="46">
        <v>18.716379644179071</v>
      </c>
      <c r="I54" s="46">
        <v>3.8358058484201338</v>
      </c>
      <c r="J54" s="98">
        <f>H55</f>
        <v>18.015982926097188</v>
      </c>
      <c r="M54" s="46">
        <f t="shared" si="0"/>
        <v>30.309548161861592</v>
      </c>
      <c r="N54" s="46">
        <f t="shared" si="5"/>
        <v>51</v>
      </c>
      <c r="O54" s="50">
        <f t="shared" si="1"/>
        <v>14.298060663421651</v>
      </c>
      <c r="P54" s="50">
        <f t="shared" si="2"/>
        <v>44.607608825283243</v>
      </c>
      <c r="Q54" s="50">
        <f t="shared" si="3"/>
        <v>42.152456098023087</v>
      </c>
    </row>
    <row r="55" spans="1:24" ht="15" customHeight="1">
      <c r="B55" s="79"/>
      <c r="C55" s="79"/>
      <c r="D55" s="22">
        <f>I55/$H$55</f>
        <v>3.8303710543148586E-2</v>
      </c>
      <c r="E55" s="18">
        <f>H55/$H$55</f>
        <v>1</v>
      </c>
      <c r="F55" s="23">
        <f>G55/$H$55</f>
        <v>-0.15965536125727314</v>
      </c>
      <c r="G55" s="46">
        <f t="array" ref="G55:I55">LINEST(E$31:E$39,$G$31:$I$39,FALSE)</f>
        <v>-2.8763482624709114</v>
      </c>
      <c r="H55" s="46">
        <v>18.015982926097188</v>
      </c>
      <c r="I55" s="46">
        <v>0.69007899515153381</v>
      </c>
      <c r="J55" s="98"/>
      <c r="M55" s="46">
        <f t="shared" si="0"/>
        <v>32.253203513846124</v>
      </c>
      <c r="N55" s="46">
        <f t="shared" si="5"/>
        <v>52</v>
      </c>
      <c r="O55" s="50">
        <f t="shared" si="1"/>
        <v>12.273101676581916</v>
      </c>
      <c r="P55" s="50">
        <f t="shared" si="2"/>
        <v>44.52630519042804</v>
      </c>
      <c r="Q55" s="50">
        <f t="shared" si="3"/>
        <v>41.857118438216887</v>
      </c>
    </row>
    <row r="56" spans="1:24" ht="15" customHeight="1" thickBot="1">
      <c r="B56" s="79"/>
      <c r="C56" s="79"/>
      <c r="D56" s="24">
        <f>I56/$H$55</f>
        <v>-0.53936342789530067</v>
      </c>
      <c r="E56" s="25">
        <f>H56/$H$55</f>
        <v>0.30619786773956043</v>
      </c>
      <c r="F56" s="26">
        <f>G56/$H$55</f>
        <v>1.0345135119810638</v>
      </c>
      <c r="G56" s="46">
        <f t="array" ref="G56:I56">LINEST(F$31:F$39,$G$31:$I$39,FALSE)</f>
        <v>18.637777768667682</v>
      </c>
      <c r="H56" s="46">
        <v>5.5164555572032858</v>
      </c>
      <c r="I56" s="46">
        <v>-9.7171623079229885</v>
      </c>
      <c r="J56" s="98"/>
      <c r="M56" s="46">
        <f t="shared" si="0"/>
        <v>34.196858865830649</v>
      </c>
      <c r="N56" s="46">
        <f t="shared" si="5"/>
        <v>53</v>
      </c>
      <c r="O56" s="50">
        <f t="shared" si="1"/>
        <v>10.248142689742195</v>
      </c>
      <c r="P56" s="50">
        <f t="shared" si="2"/>
        <v>44.445001555572844</v>
      </c>
      <c r="Q56" s="50">
        <f t="shared" si="3"/>
        <v>41.561780778410693</v>
      </c>
    </row>
    <row r="57" spans="1:24">
      <c r="M57" s="46">
        <f t="shared" si="0"/>
        <v>36.140514217815181</v>
      </c>
      <c r="N57" s="46">
        <f t="shared" si="5"/>
        <v>54</v>
      </c>
      <c r="O57" s="50">
        <f t="shared" si="1"/>
        <v>8.2231837029024604</v>
      </c>
      <c r="P57" s="50">
        <f t="shared" si="2"/>
        <v>44.363697920717641</v>
      </c>
      <c r="Q57" s="50">
        <f t="shared" si="3"/>
        <v>41.266443118604499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38.084169569799712</v>
      </c>
      <c r="N58" s="46">
        <f t="shared" si="5"/>
        <v>55</v>
      </c>
      <c r="O58" s="50">
        <f t="shared" si="1"/>
        <v>6.1982247160627253</v>
      </c>
      <c r="P58" s="50">
        <f t="shared" si="2"/>
        <v>44.282394285862438</v>
      </c>
      <c r="Q58" s="50">
        <f t="shared" si="3"/>
        <v>40.971105458798306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40.027824921784244</v>
      </c>
      <c r="N59" s="46">
        <f t="shared" si="5"/>
        <v>56</v>
      </c>
      <c r="O59" s="50">
        <f t="shared" si="1"/>
        <v>4.1732657292229902</v>
      </c>
      <c r="P59" s="50">
        <f t="shared" si="2"/>
        <v>44.201090651007235</v>
      </c>
      <c r="Q59" s="50">
        <f t="shared" si="3"/>
        <v>40.675767798992112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496.45</v>
      </c>
      <c r="E60" s="32">
        <f t="shared" ref="E60:E68" si="37">getCCTfromXY(D22/SUM(D22:F22),E22/SUM(D22:F22))</f>
        <v>2782</v>
      </c>
      <c r="F60" s="31">
        <f t="shared" ref="F60:F68" si="38">V60</f>
        <v>496.40631132935778</v>
      </c>
      <c r="G60" s="32">
        <f t="shared" ref="G60:G68" si="39">getCCTfromXY(U60/X60,V60/X60)</f>
        <v>2641</v>
      </c>
      <c r="H60" s="33">
        <f>F60/D60-1</f>
        <v>-8.8002156596211911E-5</v>
      </c>
      <c r="I60" s="34">
        <f t="shared" ref="I60:I68" si="40">G60/E60-1</f>
        <v>-5.0682961897915213E-2</v>
      </c>
      <c r="M60" s="46">
        <f t="shared" si="0"/>
        <v>41.971480273768776</v>
      </c>
      <c r="N60" s="46">
        <f t="shared" si="5"/>
        <v>57</v>
      </c>
      <c r="O60" s="50">
        <f t="shared" si="1"/>
        <v>2.1483067423832551</v>
      </c>
      <c r="P60" s="50">
        <f t="shared" si="2"/>
        <v>44.119787016152031</v>
      </c>
      <c r="Q60" s="50">
        <f t="shared" si="3"/>
        <v>40.380430139185918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552.20478550295945</v>
      </c>
      <c r="V60" s="50">
        <f>$J$54*$J$31*($D$55*G22+$E$55*H22+$F$55*I22)</f>
        <v>496.40631132935778</v>
      </c>
      <c r="W60" s="50">
        <f>$J$54*$J$31*($D$56*G22+$E$56*H22+$F$56*I22)</f>
        <v>119.82326464156436</v>
      </c>
      <c r="X60" s="29">
        <f>SUM(U60:W60)</f>
        <v>1168.4343614738816</v>
      </c>
    </row>
    <row r="61" spans="1:24">
      <c r="A61" s="87"/>
      <c r="B61" s="48" t="str">
        <f t="shared" si="35"/>
        <v>CWF</v>
      </c>
      <c r="C61" s="93"/>
      <c r="D61" s="31">
        <f t="shared" si="36"/>
        <v>1195</v>
      </c>
      <c r="E61" s="32">
        <f t="shared" si="37"/>
        <v>3860</v>
      </c>
      <c r="F61" s="31">
        <f t="shared" si="38"/>
        <v>1216.3639035814335</v>
      </c>
      <c r="G61" s="32">
        <f t="shared" si="39"/>
        <v>3759</v>
      </c>
      <c r="H61" s="33">
        <f t="shared" ref="H61:H68" si="41">F61/D61-1</f>
        <v>1.7877743582789485E-2</v>
      </c>
      <c r="I61" s="34">
        <f t="shared" si="40"/>
        <v>-2.6165803108808339E-2</v>
      </c>
      <c r="M61" s="46">
        <f t="shared" si="0"/>
        <v>43.915135625753308</v>
      </c>
      <c r="N61" s="46">
        <f t="shared" si="5"/>
        <v>58</v>
      </c>
      <c r="O61" s="50">
        <f t="shared" si="1"/>
        <v>0.12334775554352007</v>
      </c>
      <c r="P61" s="50">
        <f t="shared" si="2"/>
        <v>44.038483381296828</v>
      </c>
      <c r="Q61" s="50">
        <f t="shared" si="3"/>
        <v>40.085092479379725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1214.6294660488581</v>
      </c>
      <c r="V61" s="50">
        <f>$J$54*$J$31*($D$55*G23+$E$55*H23+$F$55*I23)</f>
        <v>1216.3639035814335</v>
      </c>
      <c r="W61" s="50">
        <f>$J$54*$J$31*($D$56*G23+$E$56*H23+$F$56*I23)</f>
        <v>627.05899384455677</v>
      </c>
      <c r="X61" s="29">
        <f t="shared" ref="X61:X68" si="43">SUM(U61:W61)</f>
        <v>3058.0523634748483</v>
      </c>
    </row>
    <row r="62" spans="1:24">
      <c r="A62" s="87"/>
      <c r="B62" s="48" t="str">
        <f t="shared" si="35"/>
        <v>D65</v>
      </c>
      <c r="C62" s="93"/>
      <c r="D62" s="31">
        <f t="shared" si="36"/>
        <v>571.04999999999995</v>
      </c>
      <c r="E62" s="32">
        <f t="shared" si="37"/>
        <v>6360</v>
      </c>
      <c r="F62" s="31">
        <f t="shared" si="38"/>
        <v>565.83258966223195</v>
      </c>
      <c r="G62" s="32">
        <f t="shared" si="39"/>
        <v>6235</v>
      </c>
      <c r="H62" s="33">
        <f t="shared" si="41"/>
        <v>-9.1365210362804872E-3</v>
      </c>
      <c r="I62" s="34">
        <f t="shared" si="40"/>
        <v>-1.9654088050314433E-2</v>
      </c>
      <c r="M62" s="46">
        <f t="shared" si="0"/>
        <v>45.858790977737847</v>
      </c>
      <c r="N62" s="46">
        <f t="shared" si="5"/>
        <v>59</v>
      </c>
      <c r="O62" s="50">
        <f t="shared" si="1"/>
        <v>-1.901611231296215</v>
      </c>
      <c r="P62" s="50">
        <f t="shared" si="2"/>
        <v>43.957179746441632</v>
      </c>
      <c r="Q62" s="50">
        <f t="shared" si="3"/>
        <v>39.789754819573531</v>
      </c>
      <c r="R62" s="78"/>
      <c r="S62" s="46" t="str">
        <f t="shared" si="42"/>
        <v>D65</v>
      </c>
      <c r="T62" s="79"/>
      <c r="U62" s="50">
        <f>$J$54*$J$31*($D$54*G24+$E$54*H24+$F$54*I24)</f>
        <v>502.46625967470129</v>
      </c>
      <c r="V62" s="50">
        <f>$J$54*$J$31*($D$55*G24+$E$55*H24+$F$55*I24)</f>
        <v>565.83258966223195</v>
      </c>
      <c r="W62" s="50">
        <f>$J$54*$J$31*($D$56*G24+$E$56*H24+$F$56*I24)</f>
        <v>515.39546426160405</v>
      </c>
      <c r="X62" s="29">
        <f t="shared" si="43"/>
        <v>1583.6943135985373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496.45</v>
      </c>
      <c r="E63" s="32">
        <f t="shared" si="37"/>
        <v>2782</v>
      </c>
      <c r="F63" s="31">
        <f t="shared" si="38"/>
        <v>502.60335746112764</v>
      </c>
      <c r="G63" s="32">
        <f t="shared" si="39"/>
        <v>2724</v>
      </c>
      <c r="H63" s="33">
        <f t="shared" si="41"/>
        <v>1.2394717415908252E-2</v>
      </c>
      <c r="I63" s="34">
        <f t="shared" si="40"/>
        <v>-2.084831056793679E-2</v>
      </c>
      <c r="M63" s="46">
        <f t="shared" si="0"/>
        <v>47.802446329722365</v>
      </c>
      <c r="N63" s="46">
        <f t="shared" si="5"/>
        <v>60</v>
      </c>
      <c r="O63" s="50">
        <f t="shared" si="1"/>
        <v>-3.9265702181359359</v>
      </c>
      <c r="P63" s="50">
        <f t="shared" si="2"/>
        <v>43.875876111586429</v>
      </c>
      <c r="Q63" s="50">
        <f t="shared" si="3"/>
        <v>39.49441715976733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554.15929380738783</v>
      </c>
      <c r="V63" s="50">
        <f>$J$54*$J$34*($D$55*G25+$E$55*H25+$F$55*I25)</f>
        <v>502.60335746112764</v>
      </c>
      <c r="W63" s="50">
        <f>$J$54*$J$34*($D$56*G25+$E$56*H25+$F$56*I25)</f>
        <v>136.90103586445096</v>
      </c>
      <c r="X63" s="29">
        <f t="shared" si="43"/>
        <v>1193.6636871329665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1195</v>
      </c>
      <c r="E64" s="32">
        <f t="shared" si="37"/>
        <v>3860</v>
      </c>
      <c r="F64" s="31">
        <f t="shared" si="38"/>
        <v>1195.2891653739184</v>
      </c>
      <c r="G64" s="32">
        <f t="shared" si="39"/>
        <v>3823</v>
      </c>
      <c r="H64" s="33">
        <f t="shared" si="41"/>
        <v>2.4197939240044875E-4</v>
      </c>
      <c r="I64" s="34">
        <f t="shared" si="40"/>
        <v>-9.5854922279792198E-3</v>
      </c>
      <c r="M64" s="46">
        <f t="shared" si="0"/>
        <v>49.746101681706897</v>
      </c>
      <c r="N64" s="46">
        <f t="shared" si="5"/>
        <v>61</v>
      </c>
      <c r="O64" s="50">
        <f t="shared" si="1"/>
        <v>-5.951529204975671</v>
      </c>
      <c r="P64" s="50">
        <f t="shared" si="2"/>
        <v>43.794572476731226</v>
      </c>
      <c r="Q64" s="50">
        <f t="shared" si="3"/>
        <v>39.199079499961137</v>
      </c>
      <c r="R64" s="78"/>
      <c r="S64" s="46" t="str">
        <f t="shared" si="42"/>
        <v>CWF</v>
      </c>
      <c r="T64" s="79"/>
      <c r="U64" s="50">
        <f>$J$54*$J$34*($D$54*G26+$E$54*H26+$F$54*I26)</f>
        <v>1188.8954393556455</v>
      </c>
      <c r="V64" s="50">
        <f>$J$54*$J$34*($D$55*G26+$E$55*H26+$F$55*I26)</f>
        <v>1195.2891653739184</v>
      </c>
      <c r="W64" s="50">
        <f>$J$54*$J$34*($D$56*G26+$E$56*H26+$F$56*I26)</f>
        <v>633.9843264078886</v>
      </c>
      <c r="X64" s="29">
        <f t="shared" si="43"/>
        <v>3018.1689311374525</v>
      </c>
    </row>
    <row r="65" spans="1:24">
      <c r="A65" s="87"/>
      <c r="B65" s="48" t="str">
        <f t="shared" si="35"/>
        <v>D65</v>
      </c>
      <c r="C65" s="93"/>
      <c r="D65" s="31">
        <f t="shared" si="36"/>
        <v>571.04999999999995</v>
      </c>
      <c r="E65" s="32">
        <f t="shared" si="37"/>
        <v>6360</v>
      </c>
      <c r="F65" s="31">
        <f t="shared" si="38"/>
        <v>570.78847956992593</v>
      </c>
      <c r="G65" s="32">
        <f t="shared" si="39"/>
        <v>6218</v>
      </c>
      <c r="H65" s="33">
        <f t="shared" si="41"/>
        <v>-4.5796415388155154E-4</v>
      </c>
      <c r="I65" s="34">
        <f t="shared" si="40"/>
        <v>-2.2327044025157283E-2</v>
      </c>
      <c r="M65" s="46">
        <f t="shared" si="0"/>
        <v>51.689757033691428</v>
      </c>
      <c r="N65" s="46">
        <f t="shared" si="5"/>
        <v>62</v>
      </c>
      <c r="O65" s="50">
        <f t="shared" si="1"/>
        <v>-7.976488191815406</v>
      </c>
      <c r="P65" s="50">
        <f t="shared" si="2"/>
        <v>43.713268841876022</v>
      </c>
      <c r="Q65" s="50">
        <f t="shared" si="3"/>
        <v>38.903741840154943</v>
      </c>
      <c r="R65" s="78"/>
      <c r="S65" s="46" t="str">
        <f t="shared" si="42"/>
        <v>D65</v>
      </c>
      <c r="T65" s="79"/>
      <c r="U65" s="50">
        <f>$J$54*$J$34*($D$54*G27+$E$54*H27+$F$54*I27)</f>
        <v>507.21649616738193</v>
      </c>
      <c r="V65" s="50">
        <f>$J$54*$J$34*($D$55*G27+$E$55*H27+$F$55*I27)</f>
        <v>570.78847956992593</v>
      </c>
      <c r="W65" s="50">
        <f>$J$54*$J$34*($D$56*G27+$E$56*H27+$F$56*I27)</f>
        <v>518.76412724370414</v>
      </c>
      <c r="X65" s="29">
        <f t="shared" si="43"/>
        <v>1596.7691029810121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496.45</v>
      </c>
      <c r="E66" s="32">
        <f t="shared" si="37"/>
        <v>2782</v>
      </c>
      <c r="F66" s="31">
        <f t="shared" si="38"/>
        <v>492.4497132778564</v>
      </c>
      <c r="G66" s="32">
        <f t="shared" si="39"/>
        <v>3004</v>
      </c>
      <c r="H66" s="33">
        <f t="shared" si="41"/>
        <v>-8.0577837086183157E-3</v>
      </c>
      <c r="I66" s="34">
        <f t="shared" si="40"/>
        <v>7.9798705966930283E-2</v>
      </c>
      <c r="M66" s="46">
        <f t="shared" si="0"/>
        <v>53.63341238567596</v>
      </c>
      <c r="N66" s="46">
        <f t="shared" si="5"/>
        <v>63</v>
      </c>
      <c r="O66" s="50">
        <f t="shared" si="1"/>
        <v>-10.001447178655141</v>
      </c>
      <c r="P66" s="50">
        <f t="shared" si="2"/>
        <v>43.631965207020819</v>
      </c>
      <c r="Q66" s="50">
        <f t="shared" si="3"/>
        <v>38.608404180348742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529.23979513422501</v>
      </c>
      <c r="V66" s="50">
        <f>$J$54*$J$37*($D$55*G28+$E$55*H28+$F$55*I28)</f>
        <v>492.4497132778564</v>
      </c>
      <c r="W66" s="50">
        <f>$J$54*$J$37*($D$56*G28+$E$56*H28+$F$56*I28)</f>
        <v>182.39751219228219</v>
      </c>
      <c r="X66" s="29">
        <f t="shared" si="43"/>
        <v>1204.0870206043637</v>
      </c>
    </row>
    <row r="67" spans="1:24">
      <c r="A67" s="87"/>
      <c r="B67" s="48" t="str">
        <f t="shared" si="35"/>
        <v>CWF</v>
      </c>
      <c r="C67" s="93"/>
      <c r="D67" s="31">
        <f t="shared" si="36"/>
        <v>1195</v>
      </c>
      <c r="E67" s="32">
        <f t="shared" si="37"/>
        <v>3860</v>
      </c>
      <c r="F67" s="31">
        <f t="shared" si="38"/>
        <v>1164.6767481982249</v>
      </c>
      <c r="G67" s="32">
        <f t="shared" si="39"/>
        <v>4081</v>
      </c>
      <c r="H67" s="33">
        <f t="shared" si="41"/>
        <v>-2.537510611027205E-2</v>
      </c>
      <c r="I67" s="34">
        <f t="shared" si="40"/>
        <v>5.7253886010362631E-2</v>
      </c>
      <c r="R67" s="78"/>
      <c r="S67" s="46" t="str">
        <f t="shared" si="42"/>
        <v>CWF</v>
      </c>
      <c r="T67" s="79"/>
      <c r="U67" s="50">
        <f>$J$54*$J$37*($D$54*G29+$E$54*H29+$F$54*I29)</f>
        <v>1141.1509778489299</v>
      </c>
      <c r="V67" s="50">
        <f>$J$54*$J$37*($D$55*G29+$E$55*H29+$F$55*I29)</f>
        <v>1164.6767481982249</v>
      </c>
      <c r="W67" s="50">
        <f>$J$54*$J$37*($D$56*G29+$E$56*H29+$F$56*I29)</f>
        <v>682.04242634480227</v>
      </c>
      <c r="X67" s="29">
        <f t="shared" si="43"/>
        <v>2987.8701523919572</v>
      </c>
    </row>
    <row r="68" spans="1:24">
      <c r="A68" s="87"/>
      <c r="B68" s="48" t="str">
        <f t="shared" si="35"/>
        <v>D65</v>
      </c>
      <c r="C68" s="93"/>
      <c r="D68" s="31">
        <f t="shared" si="36"/>
        <v>571.04999999999995</v>
      </c>
      <c r="E68" s="32">
        <f t="shared" si="37"/>
        <v>6360</v>
      </c>
      <c r="F68" s="31">
        <f t="shared" si="38"/>
        <v>589.67920011363844</v>
      </c>
      <c r="G68" s="32">
        <f t="shared" si="39"/>
        <v>6102</v>
      </c>
      <c r="H68" s="33">
        <f t="shared" si="41"/>
        <v>3.2622712746061655E-2</v>
      </c>
      <c r="I68" s="34">
        <f t="shared" si="40"/>
        <v>-4.0566037735849103E-2</v>
      </c>
      <c r="R68" s="78"/>
      <c r="S68" s="46" t="str">
        <f t="shared" si="42"/>
        <v>D65</v>
      </c>
      <c r="T68" s="79"/>
      <c r="U68" s="50">
        <f>$J$54*$J$37*($D$54*G30+$E$54*H30+$F$54*I30)</f>
        <v>525.83632781978474</v>
      </c>
      <c r="V68" s="50">
        <f>$J$54*$J$37*($D$55*G30+$E$55*H30+$F$55*I30)</f>
        <v>589.67920011363844</v>
      </c>
      <c r="W68" s="50">
        <f>$J$54*$J$37*($D$56*G30+$E$56*H30+$F$56*I30)</f>
        <v>527.08453772932683</v>
      </c>
      <c r="X68" s="29">
        <f t="shared" si="43"/>
        <v>1642.6000656627498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3.2622712746061655E-2</v>
      </c>
      <c r="G69" s="47"/>
      <c r="H69" s="36" t="str">
        <f>I59</f>
        <v>CCT</v>
      </c>
      <c r="I69" s="38">
        <f>MAX(MAX(I60:I68,-MIN(I60:I68)))</f>
        <v>7.9798705966930283E-2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496.45</v>
      </c>
      <c r="E72" s="31">
        <f t="shared" ref="E72:E80" si="47">E60</f>
        <v>2782</v>
      </c>
      <c r="F72" s="31">
        <f t="shared" ref="F72:F80" si="48">V72</f>
        <v>501.12380453168095</v>
      </c>
      <c r="G72" s="32">
        <f t="shared" ref="G72:G80" si="49">getCCTfromXY(U72/X72,V72/X72)</f>
        <v>2636</v>
      </c>
      <c r="H72" s="33">
        <f>F72/D72-1</f>
        <v>9.4144516702205916E-3</v>
      </c>
      <c r="I72" s="34">
        <f t="shared" ref="I72:I80" si="50">G72/E72-1</f>
        <v>-5.248023005032354E-2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557.64138895471626</v>
      </c>
      <c r="V72" s="50">
        <f>$J$51*$J$31*($D$52*G22+$E$52*H22+$F$52*I22)</f>
        <v>501.12380453168095</v>
      </c>
      <c r="W72" s="50">
        <f>$J$51*$J$31*($D$53*G22+$E$53*H22+$F$53*I22)</f>
        <v>119.70318398451261</v>
      </c>
      <c r="X72" s="29">
        <f>SUM(U72:W72)</f>
        <v>1178.4683774709099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1195</v>
      </c>
      <c r="E73" s="31">
        <f t="shared" si="47"/>
        <v>3860</v>
      </c>
      <c r="F73" s="31">
        <f t="shared" si="48"/>
        <v>1229.289930640075</v>
      </c>
      <c r="G73" s="32">
        <f t="shared" si="49"/>
        <v>3724</v>
      </c>
      <c r="H73" s="33">
        <f t="shared" ref="H73:H80" si="52">F73/D73-1</f>
        <v>2.869450262767792E-2</v>
      </c>
      <c r="I73" s="34">
        <f t="shared" si="50"/>
        <v>-3.5233160621761628E-2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1230.1839975379173</v>
      </c>
      <c r="V73" s="50">
        <f t="shared" ref="V73:V74" si="55">$J$51*$J$31*($D$52*G23+$E$52*H23+$F$52*I23)</f>
        <v>1229.289930640075</v>
      </c>
      <c r="W73" s="50">
        <f t="shared" ref="W73:W74" si="56">$J$51*$J$31*($D$53*G23+$E$53*H23+$F$53*I23)</f>
        <v>623.72552865014984</v>
      </c>
      <c r="X73" s="29">
        <f t="shared" ref="X73:X80" si="57">SUM(U73:W73)</f>
        <v>3083.199456828142</v>
      </c>
    </row>
    <row r="74" spans="1:24">
      <c r="A74" s="87"/>
      <c r="B74" s="48" t="str">
        <f t="shared" si="46"/>
        <v>X</v>
      </c>
      <c r="C74" s="93"/>
      <c r="D74" s="31">
        <f t="shared" si="51"/>
        <v>571.04999999999995</v>
      </c>
      <c r="E74" s="31">
        <f t="shared" si="47"/>
        <v>6360</v>
      </c>
      <c r="F74" s="31">
        <f t="shared" si="48"/>
        <v>563.89013400922079</v>
      </c>
      <c r="G74" s="32">
        <f t="shared" si="49"/>
        <v>6425</v>
      </c>
      <c r="H74" s="33">
        <f t="shared" si="52"/>
        <v>-1.253807195653478E-2</v>
      </c>
      <c r="I74" s="34">
        <f t="shared" si="50"/>
        <v>1.0220125786163603E-2</v>
      </c>
      <c r="R74" s="78"/>
      <c r="S74" s="46" t="str">
        <f t="shared" si="53"/>
        <v>D65</v>
      </c>
      <c r="T74" s="79"/>
      <c r="U74" s="50">
        <f t="shared" si="54"/>
        <v>497.3370101550525</v>
      </c>
      <c r="V74" s="50">
        <f t="shared" si="55"/>
        <v>563.89013400922079</v>
      </c>
      <c r="W74" s="50">
        <f t="shared" si="56"/>
        <v>525.92983299535751</v>
      </c>
      <c r="X74" s="29">
        <f t="shared" si="57"/>
        <v>1587.156977159631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496.45</v>
      </c>
      <c r="E75" s="31">
        <f t="shared" si="47"/>
        <v>2782</v>
      </c>
      <c r="F75" s="31">
        <f t="shared" si="48"/>
        <v>506.99570730221939</v>
      </c>
      <c r="G75" s="32">
        <f t="shared" si="49"/>
        <v>2721</v>
      </c>
      <c r="H75" s="33">
        <f t="shared" si="52"/>
        <v>2.1242234469169841E-2</v>
      </c>
      <c r="I75" s="34">
        <f t="shared" si="50"/>
        <v>-2.1926671459381764E-2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559.0682698652015</v>
      </c>
      <c r="V75" s="50">
        <f>$J$51*$J$34*($D$52*G25+$E$52*H25+$F$52*I25)</f>
        <v>506.99570730221939</v>
      </c>
      <c r="W75" s="50">
        <f>$J$51*$J$34*($D$53*G25+$E$53*H25+$F$53*I25)</f>
        <v>137.35045193376934</v>
      </c>
      <c r="X75" s="29">
        <f t="shared" si="57"/>
        <v>1203.4144291011903</v>
      </c>
    </row>
    <row r="76" spans="1:24">
      <c r="A76" s="87"/>
      <c r="B76" s="48" t="str">
        <f t="shared" si="46"/>
        <v>Z</v>
      </c>
      <c r="C76" s="93"/>
      <c r="D76" s="31">
        <f t="shared" si="51"/>
        <v>1195</v>
      </c>
      <c r="E76" s="31">
        <f t="shared" si="47"/>
        <v>3860</v>
      </c>
      <c r="F76" s="31">
        <f t="shared" si="48"/>
        <v>1207.274974380701</v>
      </c>
      <c r="G76" s="32">
        <f t="shared" si="49"/>
        <v>3792</v>
      </c>
      <c r="H76" s="33">
        <f t="shared" si="52"/>
        <v>1.027194508845275E-2</v>
      </c>
      <c r="I76" s="34">
        <f t="shared" si="50"/>
        <v>-1.7616580310880869E-2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1203.0665134812873</v>
      </c>
      <c r="V76" s="50">
        <f t="shared" ref="V76:V77" si="59">$J$51*$J$34*($D$52*G26+$E$52*H26+$F$52*I26)</f>
        <v>1207.274974380701</v>
      </c>
      <c r="W76" s="50">
        <f t="shared" ref="W76:W77" si="60">$J$51*$J$34*($D$53*G26+$E$53*H26+$F$53*I26)</f>
        <v>631.80277394573909</v>
      </c>
      <c r="X76" s="29">
        <f t="shared" si="57"/>
        <v>3042.1442618077272</v>
      </c>
    </row>
    <row r="77" spans="1:24">
      <c r="A77" s="87"/>
      <c r="B77" s="48" t="str">
        <f t="shared" si="46"/>
        <v>X</v>
      </c>
      <c r="C77" s="93"/>
      <c r="D77" s="31">
        <f t="shared" si="51"/>
        <v>571.04999999999995</v>
      </c>
      <c r="E77" s="31">
        <f t="shared" si="47"/>
        <v>6360</v>
      </c>
      <c r="F77" s="31">
        <f t="shared" si="48"/>
        <v>568.86126257599949</v>
      </c>
      <c r="G77" s="32">
        <f t="shared" si="49"/>
        <v>6405</v>
      </c>
      <c r="H77" s="33">
        <f t="shared" si="52"/>
        <v>-3.8328297417047352E-3</v>
      </c>
      <c r="I77" s="34">
        <f t="shared" si="50"/>
        <v>7.0754716981131782E-3</v>
      </c>
      <c r="R77" s="78"/>
      <c r="S77" s="46" t="str">
        <f t="shared" si="53"/>
        <v>D65</v>
      </c>
      <c r="T77" s="79"/>
      <c r="U77" s="50">
        <f t="shared" si="58"/>
        <v>502.09238011158783</v>
      </c>
      <c r="V77" s="50">
        <f t="shared" si="59"/>
        <v>568.86126257599949</v>
      </c>
      <c r="W77" s="50">
        <f t="shared" si="60"/>
        <v>529.3423865905487</v>
      </c>
      <c r="X77" s="29">
        <f t="shared" si="57"/>
        <v>1600.2960292781358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496.45</v>
      </c>
      <c r="E78" s="31">
        <f t="shared" si="47"/>
        <v>2782</v>
      </c>
      <c r="F78" s="31">
        <f t="shared" si="48"/>
        <v>495.10346025135033</v>
      </c>
      <c r="G78" s="32">
        <f t="shared" si="49"/>
        <v>3017</v>
      </c>
      <c r="H78" s="33">
        <f t="shared" si="52"/>
        <v>-2.7123370906428912E-3</v>
      </c>
      <c r="I78" s="34">
        <f t="shared" si="50"/>
        <v>8.4471603163192022E-2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531.48579157021345</v>
      </c>
      <c r="V78" s="50">
        <f>$J$51*$J$37*($D$52*G28+$E$52*H28+$F$52*I28)</f>
        <v>495.10346025135033</v>
      </c>
      <c r="W78" s="50">
        <f>$J$51*$J$37*($D$53*G28+$E$53*H28+$F$53*I28)</f>
        <v>185.33930938762421</v>
      </c>
      <c r="X78" s="29">
        <f t="shared" si="57"/>
        <v>1211.928561209188</v>
      </c>
    </row>
    <row r="79" spans="1:24">
      <c r="A79" s="87"/>
      <c r="B79" s="48" t="str">
        <f t="shared" si="46"/>
        <v>Z</v>
      </c>
      <c r="C79" s="93"/>
      <c r="D79" s="31">
        <f t="shared" si="51"/>
        <v>1195</v>
      </c>
      <c r="E79" s="31">
        <f t="shared" si="47"/>
        <v>3860</v>
      </c>
      <c r="F79" s="31">
        <f t="shared" si="48"/>
        <v>1173.8686537098688</v>
      </c>
      <c r="G79" s="32">
        <f t="shared" si="49"/>
        <v>4066</v>
      </c>
      <c r="H79" s="33">
        <f t="shared" si="52"/>
        <v>-1.7683134970821079E-2</v>
      </c>
      <c r="I79" s="34">
        <f t="shared" si="50"/>
        <v>5.3367875647668317E-2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1151.092073324442</v>
      </c>
      <c r="V79" s="50">
        <f t="shared" ref="V79:V80" si="62">$J$51*$J$37*($D$52*G29+$E$52*H29+$F$52*I29)</f>
        <v>1173.8686537098688</v>
      </c>
      <c r="W79" s="50">
        <f t="shared" ref="W79:W80" si="63">$J$51*$J$37*($D$53*G29+$E$53*H29+$F$53*I29)</f>
        <v>683.70922937471084</v>
      </c>
      <c r="X79" s="29">
        <f t="shared" si="57"/>
        <v>3008.6699564090218</v>
      </c>
    </row>
    <row r="80" spans="1:24">
      <c r="A80" s="87"/>
      <c r="B80" s="48" t="str">
        <f t="shared" si="46"/>
        <v>X</v>
      </c>
      <c r="C80" s="93"/>
      <c r="D80" s="31">
        <f t="shared" si="51"/>
        <v>571.04999999999995</v>
      </c>
      <c r="E80" s="31">
        <f t="shared" si="47"/>
        <v>6360</v>
      </c>
      <c r="F80" s="31">
        <f t="shared" si="48"/>
        <v>588.19055568029296</v>
      </c>
      <c r="G80" s="32">
        <f t="shared" si="49"/>
        <v>6267</v>
      </c>
      <c r="H80" s="33">
        <f t="shared" si="52"/>
        <v>3.0015857946402269E-2</v>
      </c>
      <c r="I80" s="34">
        <f t="shared" si="50"/>
        <v>-1.4622641509433931E-2</v>
      </c>
      <c r="R80" s="78"/>
      <c r="S80" s="46" t="str">
        <f t="shared" si="53"/>
        <v>D65</v>
      </c>
      <c r="T80" s="79"/>
      <c r="U80" s="50">
        <f t="shared" si="61"/>
        <v>521.32497197038015</v>
      </c>
      <c r="V80" s="50">
        <f t="shared" si="62"/>
        <v>588.19055568029296</v>
      </c>
      <c r="W80" s="50">
        <f t="shared" si="63"/>
        <v>537.23609919758314</v>
      </c>
      <c r="X80" s="29">
        <f t="shared" si="57"/>
        <v>1646.7516268482561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3.0015857946402269E-2</v>
      </c>
      <c r="G81" s="47"/>
      <c r="H81" s="36" t="str">
        <f>I71</f>
        <v>CCT</v>
      </c>
      <c r="I81" s="38">
        <f>MAX(MAX(I72:I80,-MIN(I72:I80)))</f>
        <v>8.4471603163192022E-2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496.45</v>
      </c>
      <c r="E84" s="31">
        <f t="shared" ref="E84:E92" si="67">E72</f>
        <v>2782</v>
      </c>
      <c r="F84" s="31">
        <f t="shared" ref="F84:F92" si="68">V84</f>
        <v>496.45000000000005</v>
      </c>
      <c r="G84" s="32">
        <f t="shared" ref="G84:G92" si="69">getCCTfromXY(U84/X84,V84/X84)</f>
        <v>2782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544.40000000000032</v>
      </c>
      <c r="V84" s="50">
        <f>$J$42*$J$31*($D$43*G22+$E$43*H22+$F$43*I22)</f>
        <v>496.45000000000005</v>
      </c>
      <c r="W84" s="50">
        <f>$J$42*$J$31*($D$44*G22+$E$44*H22+$F$44*I22)</f>
        <v>146.45000000000047</v>
      </c>
      <c r="X84" s="29">
        <f>SUM(U84:W84)</f>
        <v>1187.3000000000009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1195</v>
      </c>
      <c r="E85" s="31">
        <f t="shared" si="67"/>
        <v>3860</v>
      </c>
      <c r="F85" s="31">
        <f t="shared" si="68"/>
        <v>1195.0000000000002</v>
      </c>
      <c r="G85" s="32">
        <f t="shared" si="69"/>
        <v>3860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1186</v>
      </c>
      <c r="V85" s="50">
        <f t="shared" ref="V85:V86" si="75">$J$42*$J$31*($D$43*G23+$E$43*H23+$F$43*I23)</f>
        <v>1195.0000000000002</v>
      </c>
      <c r="W85" s="50">
        <f t="shared" ref="W85:W86" si="76">$J$42*$J$31*($D$44*G23+$E$44*H23+$F$44*I23)</f>
        <v>643.50000000000011</v>
      </c>
      <c r="X85" s="29">
        <f t="shared" ref="X85:X92" si="77">SUM(U85:W85)</f>
        <v>3024.5</v>
      </c>
    </row>
    <row r="86" spans="1:24">
      <c r="A86" s="87"/>
      <c r="B86" s="48">
        <f t="shared" si="66"/>
        <v>0</v>
      </c>
      <c r="C86" s="93"/>
      <c r="D86" s="31">
        <f t="shared" si="71"/>
        <v>571.04999999999995</v>
      </c>
      <c r="E86" s="31">
        <f t="shared" si="67"/>
        <v>6360</v>
      </c>
      <c r="F86" s="31">
        <f t="shared" si="68"/>
        <v>571.05000000000007</v>
      </c>
      <c r="G86" s="32">
        <f t="shared" si="69"/>
        <v>6360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504.7000000000001</v>
      </c>
      <c r="V86" s="50">
        <f t="shared" si="75"/>
        <v>571.05000000000007</v>
      </c>
      <c r="W86" s="50">
        <f t="shared" si="76"/>
        <v>528.15</v>
      </c>
      <c r="X86" s="29">
        <f t="shared" si="77"/>
        <v>1603.9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496.45</v>
      </c>
      <c r="E87" s="31">
        <f t="shared" si="67"/>
        <v>2782</v>
      </c>
      <c r="F87" s="31">
        <f t="shared" si="68"/>
        <v>496.44999999999987</v>
      </c>
      <c r="G87" s="32">
        <f t="shared" si="69"/>
        <v>2782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544.39999999999941</v>
      </c>
      <c r="V87" s="50">
        <f>$J$45*$J$34*($D$46*G25+$E$46*H25+$F$46*I25)</f>
        <v>496.44999999999987</v>
      </c>
      <c r="W87" s="50">
        <f>$J$45*$J$34*($D$47*G25+$E$47*H25+$F$47*I25)</f>
        <v>146.44999999999965</v>
      </c>
      <c r="X87" s="29">
        <f t="shared" si="77"/>
        <v>1187.2999999999988</v>
      </c>
    </row>
    <row r="88" spans="1:24">
      <c r="A88" s="87"/>
      <c r="B88" s="48">
        <f t="shared" si="66"/>
        <v>0</v>
      </c>
      <c r="C88" s="93"/>
      <c r="D88" s="31">
        <f t="shared" si="71"/>
        <v>1195</v>
      </c>
      <c r="E88" s="31">
        <f t="shared" si="67"/>
        <v>3860</v>
      </c>
      <c r="F88" s="31">
        <f t="shared" si="68"/>
        <v>1194.9999999999998</v>
      </c>
      <c r="G88" s="32">
        <f t="shared" si="69"/>
        <v>3860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1185.9999999999998</v>
      </c>
      <c r="V88" s="50">
        <f t="shared" ref="V88:V89" si="79">$J$45*$J$34*($D$46*G26+$E$46*H26+$F$46*I26)</f>
        <v>1194.9999999999998</v>
      </c>
      <c r="W88" s="50">
        <f t="shared" ref="W88:W89" si="80">$J$45*$J$34*($D$47*G26+$E$47*H26+$F$47*I26)</f>
        <v>643.49999999999989</v>
      </c>
      <c r="X88" s="29">
        <f t="shared" si="77"/>
        <v>3024.4999999999995</v>
      </c>
    </row>
    <row r="89" spans="1:24">
      <c r="A89" s="87"/>
      <c r="B89" s="48" t="str">
        <f t="shared" si="66"/>
        <v>A</v>
      </c>
      <c r="C89" s="93"/>
      <c r="D89" s="31">
        <f t="shared" si="71"/>
        <v>571.04999999999995</v>
      </c>
      <c r="E89" s="31">
        <f t="shared" si="67"/>
        <v>6360</v>
      </c>
      <c r="F89" s="31">
        <f t="shared" si="68"/>
        <v>571.04999999999995</v>
      </c>
      <c r="G89" s="32">
        <f t="shared" si="69"/>
        <v>6360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504.69999999999987</v>
      </c>
      <c r="V89" s="50">
        <f t="shared" si="79"/>
        <v>571.04999999999995</v>
      </c>
      <c r="W89" s="50">
        <f t="shared" si="80"/>
        <v>528.14999999999975</v>
      </c>
      <c r="X89" s="29">
        <f t="shared" si="77"/>
        <v>1603.8999999999996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496.45</v>
      </c>
      <c r="E90" s="31">
        <f t="shared" si="67"/>
        <v>2782</v>
      </c>
      <c r="F90" s="31">
        <f t="shared" si="68"/>
        <v>496.45000000000005</v>
      </c>
      <c r="G90" s="32">
        <f t="shared" si="69"/>
        <v>2782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544.4000000000002</v>
      </c>
      <c r="V90" s="50">
        <f>$J$48*$J$37*($D$49*G28+$E$49*H28+$F$49*I28)</f>
        <v>496.45000000000005</v>
      </c>
      <c r="W90" s="50">
        <f>$J$48*$J$37*($D$50*G28+$E$50*H28+$F$50*I28)</f>
        <v>146.4499999999997</v>
      </c>
      <c r="X90" s="29">
        <f t="shared" si="77"/>
        <v>1187.3000000000002</v>
      </c>
    </row>
    <row r="91" spans="1:24">
      <c r="A91" s="87"/>
      <c r="B91" s="48" t="str">
        <f t="shared" si="66"/>
        <v>D65</v>
      </c>
      <c r="C91" s="93"/>
      <c r="D91" s="31">
        <f t="shared" si="71"/>
        <v>1195</v>
      </c>
      <c r="E91" s="31">
        <f t="shared" si="67"/>
        <v>3860</v>
      </c>
      <c r="F91" s="31">
        <f t="shared" si="68"/>
        <v>1194.9999999999998</v>
      </c>
      <c r="G91" s="32">
        <f t="shared" si="69"/>
        <v>3860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1186.0000000000005</v>
      </c>
      <c r="V91" s="50">
        <f t="shared" ref="V91:V92" si="82">$J$48*$J$37*($D$49*G29+$E$49*H29+$F$49*I29)</f>
        <v>1194.9999999999998</v>
      </c>
      <c r="W91" s="50">
        <f t="shared" ref="W91:W92" si="83">$J$48*$J$37*($D$50*G29+$E$50*H29+$F$50*I29)</f>
        <v>643.5</v>
      </c>
      <c r="X91" s="29">
        <f t="shared" si="77"/>
        <v>3024.5</v>
      </c>
    </row>
    <row r="92" spans="1:24">
      <c r="A92" s="87"/>
      <c r="B92" s="48" t="str">
        <f t="shared" si="66"/>
        <v>A</v>
      </c>
      <c r="C92" s="93"/>
      <c r="D92" s="31">
        <f t="shared" si="71"/>
        <v>571.04999999999995</v>
      </c>
      <c r="E92" s="31">
        <f t="shared" si="67"/>
        <v>6360</v>
      </c>
      <c r="F92" s="31">
        <f t="shared" si="68"/>
        <v>571.04999999999984</v>
      </c>
      <c r="G92" s="32">
        <f t="shared" si="69"/>
        <v>6360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504.69999999999993</v>
      </c>
      <c r="V92" s="50">
        <f t="shared" si="82"/>
        <v>571.04999999999984</v>
      </c>
      <c r="W92" s="50">
        <f t="shared" si="83"/>
        <v>528.15</v>
      </c>
      <c r="X92" s="29">
        <f t="shared" si="77"/>
        <v>1603.8999999999996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3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2.8943949979236336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83.396141280157352</v>
      </c>
      <c r="N3" s="46">
        <v>0</v>
      </c>
      <c r="O3" s="50">
        <f>G$5-N3*G$7</f>
        <v>133.18713347636694</v>
      </c>
      <c r="P3" s="50">
        <f>H$5-N3*H$7</f>
        <v>49.790992196209586</v>
      </c>
      <c r="Q3" s="50">
        <f>I$5-N3*I$7</f>
        <v>61.298362573099411</v>
      </c>
    </row>
    <row r="4" spans="1:17">
      <c r="C4" s="46" t="s">
        <v>20</v>
      </c>
      <c r="D4" s="7">
        <v>512.70000000000005</v>
      </c>
      <c r="E4" s="7">
        <v>1196</v>
      </c>
      <c r="F4" s="7">
        <v>570</v>
      </c>
      <c r="G4" s="50">
        <f>AVERAGE(D4:F4)</f>
        <v>759.56666666666661</v>
      </c>
      <c r="H4" s="50">
        <f>G4</f>
        <v>759.56666666666661</v>
      </c>
      <c r="I4" s="50">
        <f>H4</f>
        <v>759.56666666666661</v>
      </c>
      <c r="K4" s="13" t="str">
        <f>linefmt("Compensation",B12)</f>
        <v>"Compensation",37,</v>
      </c>
      <c r="M4" s="46">
        <f t="shared" si="0"/>
        <v>81.186216949974636</v>
      </c>
      <c r="N4" s="46">
        <f>N3+1</f>
        <v>1</v>
      </c>
      <c r="O4" s="50">
        <f t="shared" ref="O4:O66" si="1">G$5-N4*G$7</f>
        <v>130.8752994860769</v>
      </c>
      <c r="P4" s="50">
        <f t="shared" ref="P4:P66" si="2">H$5-N4*H$7</f>
        <v>49.689082536102255</v>
      </c>
      <c r="Q4" s="50">
        <f t="shared" ref="Q4:Q66" si="3">I$5-N4*I$7</f>
        <v>60.963669794641639</v>
      </c>
    </row>
    <row r="5" spans="1:17">
      <c r="C5" s="46">
        <v>0</v>
      </c>
      <c r="D5" s="9">
        <v>89.9</v>
      </c>
      <c r="E5" s="9">
        <v>78.400000000000006</v>
      </c>
      <c r="F5" s="9">
        <v>46</v>
      </c>
      <c r="G5" s="50">
        <f>G$4/D$4*D5</f>
        <v>133.18713347636694</v>
      </c>
      <c r="H5" s="50">
        <f t="shared" ref="H5:I6" si="4">H$4/E$4*E5</f>
        <v>49.790992196209586</v>
      </c>
      <c r="I5" s="50">
        <f t="shared" si="4"/>
        <v>61.298362573099411</v>
      </c>
      <c r="K5" s="14" t="str">
        <f>linefmt("CardGain",J54)</f>
        <v>"CardGain",17.27571,</v>
      </c>
      <c r="M5" s="46">
        <f t="shared" si="0"/>
        <v>78.976292619791934</v>
      </c>
      <c r="N5" s="46">
        <f t="shared" ref="N5:N66" si="5">N4+1</f>
        <v>2</v>
      </c>
      <c r="O5" s="50">
        <f t="shared" si="1"/>
        <v>128.56346549578686</v>
      </c>
      <c r="P5" s="50">
        <f t="shared" si="2"/>
        <v>49.587172875994916</v>
      </c>
      <c r="Q5" s="50">
        <f t="shared" si="3"/>
        <v>60.628977016183867</v>
      </c>
    </row>
    <row r="6" spans="1:17">
      <c r="B6" s="50">
        <f>D5/4</f>
        <v>22.475000000000001</v>
      </c>
      <c r="C6" s="7">
        <v>43</v>
      </c>
      <c r="D6" s="9">
        <v>22.8</v>
      </c>
      <c r="E6" s="9">
        <v>71.5</v>
      </c>
      <c r="F6" s="9">
        <v>35.200000000000003</v>
      </c>
      <c r="G6" s="50">
        <f>G$4/D$4*D6</f>
        <v>33.778271893895059</v>
      </c>
      <c r="H6" s="50">
        <f t="shared" si="4"/>
        <v>45.408876811594197</v>
      </c>
      <c r="I6" s="50">
        <f t="shared" si="4"/>
        <v>46.906573099415205</v>
      </c>
      <c r="K6" s="14" t="str">
        <f>linefmt("Range",1,J34,J37)</f>
        <v>"Range",1,0.9094918,1.063866,</v>
      </c>
      <c r="M6" s="46">
        <f t="shared" si="0"/>
        <v>76.766368289609218</v>
      </c>
      <c r="N6" s="46">
        <f t="shared" si="5"/>
        <v>3</v>
      </c>
      <c r="O6" s="50">
        <f t="shared" si="1"/>
        <v>126.2516315054968</v>
      </c>
      <c r="P6" s="50">
        <f t="shared" si="2"/>
        <v>49.485263215887585</v>
      </c>
      <c r="Q6" s="50">
        <f t="shared" si="3"/>
        <v>60.294284237726096</v>
      </c>
    </row>
    <row r="7" spans="1:17">
      <c r="C7" s="46">
        <f>C5</f>
        <v>0</v>
      </c>
      <c r="D7" s="46">
        <f t="shared" ref="D7:F8" si="6">D$4/D5</f>
        <v>5.7030033370411566</v>
      </c>
      <c r="E7" s="46">
        <f t="shared" si="6"/>
        <v>15.255102040816325</v>
      </c>
      <c r="F7" s="46">
        <f t="shared" si="6"/>
        <v>12.391304347826088</v>
      </c>
      <c r="G7" s="49">
        <f>(G5-G6)/($C6-$C5)</f>
        <v>2.3118339902900433</v>
      </c>
      <c r="H7" s="49">
        <f t="shared" ref="H7:I7" si="7">(H5-H6)/($C6-$C5)</f>
        <v>0.10190966010733463</v>
      </c>
      <c r="I7" s="49">
        <f t="shared" si="7"/>
        <v>0.33469277845777223</v>
      </c>
      <c r="K7" s="14" t="str">
        <f>linefmt("CCM" )</f>
        <v>"CCM",</v>
      </c>
      <c r="M7" s="46">
        <f t="shared" si="0"/>
        <v>74.556443959426517</v>
      </c>
      <c r="N7" s="46">
        <f t="shared" si="5"/>
        <v>4</v>
      </c>
      <c r="O7" s="50">
        <f t="shared" si="1"/>
        <v>123.93979751520676</v>
      </c>
      <c r="P7" s="50">
        <f t="shared" si="2"/>
        <v>49.383353555780246</v>
      </c>
      <c r="Q7" s="50">
        <f t="shared" si="3"/>
        <v>59.959591459268324</v>
      </c>
    </row>
    <row r="8" spans="1:17">
      <c r="C8" s="46">
        <f>C6</f>
        <v>43</v>
      </c>
      <c r="D8" s="46">
        <f t="shared" si="6"/>
        <v>22.486842105263158</v>
      </c>
      <c r="E8" s="46">
        <f t="shared" si="6"/>
        <v>16.727272727272727</v>
      </c>
      <c r="F8" s="46">
        <f t="shared" si="6"/>
        <v>16.193181818181817</v>
      </c>
      <c r="K8" s="15" t="str">
        <f>linefmt("",D54,E54,F54)</f>
        <v>0.2268705,1.011111,-0.4419171,</v>
      </c>
      <c r="M8" s="46">
        <f t="shared" si="0"/>
        <v>72.346519629243801</v>
      </c>
      <c r="N8" s="46">
        <f t="shared" si="5"/>
        <v>5</v>
      </c>
      <c r="O8" s="50">
        <f t="shared" si="1"/>
        <v>121.62796352491672</v>
      </c>
      <c r="P8" s="50">
        <f t="shared" si="2"/>
        <v>49.281443895672915</v>
      </c>
      <c r="Q8" s="50">
        <f t="shared" si="3"/>
        <v>59.624898680810553</v>
      </c>
    </row>
    <row r="9" spans="1:17">
      <c r="C9" s="46" t="s">
        <v>23</v>
      </c>
      <c r="D9" s="46">
        <f>(D8-D7)/($C8-$C7)</f>
        <v>0.39032183181911628</v>
      </c>
      <c r="E9" s="46">
        <f>(E8-E7)/($C8-$C7)</f>
        <v>3.4236527592009333E-2</v>
      </c>
      <c r="F9" s="46">
        <f>(F8-F7)/($C8-$C7)</f>
        <v>8.8415755124551826E-2</v>
      </c>
      <c r="K9" s="15" t="str">
        <f>linefmt("",D55,E55,F55)</f>
        <v>6.880392E-02,1,-0.1734027,</v>
      </c>
      <c r="M9" s="46">
        <f t="shared" si="0"/>
        <v>70.136595299061099</v>
      </c>
      <c r="N9" s="46">
        <f t="shared" si="5"/>
        <v>6</v>
      </c>
      <c r="O9" s="50">
        <f t="shared" si="1"/>
        <v>119.31612953462668</v>
      </c>
      <c r="P9" s="50">
        <f t="shared" si="2"/>
        <v>49.179534235565576</v>
      </c>
      <c r="Q9" s="50">
        <f t="shared" si="3"/>
        <v>59.290205902352774</v>
      </c>
    </row>
    <row r="10" spans="1:17">
      <c r="K10" s="16" t="str">
        <f>linefmt("",D56,E56,F56)</f>
        <v>-0.4796566,0.4035571,0.9058226,</v>
      </c>
      <c r="M10" s="46">
        <f t="shared" si="0"/>
        <v>67.926670968878383</v>
      </c>
      <c r="N10" s="46">
        <f t="shared" si="5"/>
        <v>7</v>
      </c>
      <c r="O10" s="50">
        <f t="shared" si="1"/>
        <v>117.00429554433663</v>
      </c>
      <c r="P10" s="50">
        <f t="shared" si="2"/>
        <v>49.077624575458245</v>
      </c>
      <c r="Q10" s="50">
        <f t="shared" si="3"/>
        <v>58.955513123895003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65.716746638695682</v>
      </c>
      <c r="N11" s="46">
        <f t="shared" si="5"/>
        <v>8</v>
      </c>
      <c r="O11" s="50">
        <f t="shared" si="1"/>
        <v>114.69246155404659</v>
      </c>
      <c r="P11" s="50">
        <f t="shared" si="2"/>
        <v>48.975714915350906</v>
      </c>
      <c r="Q11" s="50">
        <f t="shared" si="3"/>
        <v>58.620820345437231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63.506822308512973</v>
      </c>
      <c r="N12" s="46">
        <f t="shared" si="5"/>
        <v>9</v>
      </c>
      <c r="O12" s="50">
        <f t="shared" si="1"/>
        <v>112.38062756375655</v>
      </c>
      <c r="P12" s="50">
        <f t="shared" si="2"/>
        <v>48.873805255243575</v>
      </c>
      <c r="Q12" s="50">
        <f t="shared" si="3"/>
        <v>58.286127566979459</v>
      </c>
    </row>
    <row r="13" spans="1:17">
      <c r="A13" s="78" t="s">
        <v>12</v>
      </c>
      <c r="B13" s="79" t="s">
        <v>0</v>
      </c>
      <c r="C13" s="46">
        <v>0</v>
      </c>
      <c r="D13" s="7">
        <v>544.20000000000005</v>
      </c>
      <c r="E13" s="7">
        <v>496.3</v>
      </c>
      <c r="F13" s="7">
        <v>146.69999999999999</v>
      </c>
      <c r="G13" s="8">
        <v>88.1</v>
      </c>
      <c r="H13" s="8">
        <v>30.2</v>
      </c>
      <c r="I13" s="8">
        <v>41</v>
      </c>
      <c r="M13" s="46">
        <f t="shared" si="0"/>
        <v>61.296897978330264</v>
      </c>
      <c r="N13" s="46">
        <f t="shared" si="5"/>
        <v>10</v>
      </c>
      <c r="O13" s="50">
        <f t="shared" si="1"/>
        <v>110.06879357346651</v>
      </c>
      <c r="P13" s="50">
        <f t="shared" si="2"/>
        <v>48.771895595136243</v>
      </c>
      <c r="Q13" s="50">
        <f t="shared" si="3"/>
        <v>57.951434788521688</v>
      </c>
    </row>
    <row r="14" spans="1:17">
      <c r="A14" s="78"/>
      <c r="B14" s="79"/>
      <c r="C14" s="46">
        <f>C13+1</f>
        <v>1</v>
      </c>
      <c r="D14" s="7">
        <v>550</v>
      </c>
      <c r="E14" s="7">
        <v>501.5</v>
      </c>
      <c r="F14" s="7">
        <v>146.5</v>
      </c>
      <c r="G14" s="8">
        <v>94.6</v>
      </c>
      <c r="H14" s="8">
        <v>33.799999999999997</v>
      </c>
      <c r="I14" s="8">
        <v>45.5</v>
      </c>
      <c r="M14" s="46">
        <f t="shared" si="0"/>
        <v>59.086973648147563</v>
      </c>
      <c r="N14" s="46">
        <f t="shared" si="5"/>
        <v>11</v>
      </c>
      <c r="O14" s="50">
        <f t="shared" si="1"/>
        <v>107.75695958317647</v>
      </c>
      <c r="P14" s="50">
        <f t="shared" si="2"/>
        <v>48.669985935028905</v>
      </c>
      <c r="Q14" s="50">
        <f t="shared" si="3"/>
        <v>57.616742010063916</v>
      </c>
    </row>
    <row r="15" spans="1:17">
      <c r="A15" s="78"/>
      <c r="B15" s="79"/>
      <c r="C15" s="46">
        <f>C14+1</f>
        <v>2</v>
      </c>
      <c r="D15" s="6">
        <f>2*(D13-D14)/(D13+D14)</f>
        <v>-1.0601352586364384E-2</v>
      </c>
      <c r="E15" s="6">
        <f t="shared" ref="E15:F15" si="8">2*(E13-E14)/(E13+E14)</f>
        <v>-1.0422930446983341E-2</v>
      </c>
      <c r="F15" s="6">
        <f t="shared" si="8"/>
        <v>1.3642564802182036E-3</v>
      </c>
      <c r="G15" s="8">
        <v>78.2</v>
      </c>
      <c r="H15" s="8">
        <v>27.7</v>
      </c>
      <c r="I15" s="8">
        <v>39.299999999999997</v>
      </c>
      <c r="M15" s="46">
        <f t="shared" si="0"/>
        <v>56.877049317964854</v>
      </c>
      <c r="N15" s="46">
        <f t="shared" si="5"/>
        <v>12</v>
      </c>
      <c r="O15" s="50">
        <f t="shared" si="1"/>
        <v>105.44512559288643</v>
      </c>
      <c r="P15" s="50">
        <f t="shared" si="2"/>
        <v>48.568076274921573</v>
      </c>
      <c r="Q15" s="50">
        <f t="shared" si="3"/>
        <v>57.282049231606145</v>
      </c>
    </row>
    <row r="16" spans="1:17">
      <c r="A16" s="78"/>
      <c r="B16" s="79" t="s">
        <v>1</v>
      </c>
      <c r="C16" s="46">
        <f>C13</f>
        <v>0</v>
      </c>
      <c r="D16" s="7">
        <v>1188</v>
      </c>
      <c r="E16" s="7">
        <v>1198</v>
      </c>
      <c r="F16" s="7">
        <v>643</v>
      </c>
      <c r="G16" s="8">
        <v>63</v>
      </c>
      <c r="H16" s="8">
        <v>72.3</v>
      </c>
      <c r="I16" s="8">
        <v>42.6</v>
      </c>
      <c r="M16" s="46">
        <f t="shared" si="0"/>
        <v>54.667124987782138</v>
      </c>
      <c r="N16" s="46">
        <f t="shared" si="5"/>
        <v>13</v>
      </c>
      <c r="O16" s="50">
        <f t="shared" si="1"/>
        <v>103.13329160259637</v>
      </c>
      <c r="P16" s="50">
        <f t="shared" si="2"/>
        <v>48.466166614814234</v>
      </c>
      <c r="Q16" s="50">
        <f t="shared" si="3"/>
        <v>56.947356453148373</v>
      </c>
    </row>
    <row r="17" spans="1:21">
      <c r="A17" s="78"/>
      <c r="B17" s="79"/>
      <c r="C17" s="46">
        <f t="shared" ref="C17:C21" si="9">C14</f>
        <v>1</v>
      </c>
      <c r="D17" s="7">
        <v>1190</v>
      </c>
      <c r="E17" s="7">
        <v>1199</v>
      </c>
      <c r="F17" s="7">
        <v>644</v>
      </c>
      <c r="G17" s="8">
        <v>69.3</v>
      </c>
      <c r="H17" s="8">
        <v>78.7</v>
      </c>
      <c r="I17" s="8">
        <v>47.4</v>
      </c>
      <c r="M17" s="46">
        <f t="shared" si="0"/>
        <v>52.457200657599429</v>
      </c>
      <c r="N17" s="46">
        <f t="shared" si="5"/>
        <v>14</v>
      </c>
      <c r="O17" s="50">
        <f t="shared" si="1"/>
        <v>100.82145761230633</v>
      </c>
      <c r="P17" s="50">
        <f t="shared" si="2"/>
        <v>48.364256954706903</v>
      </c>
      <c r="Q17" s="50">
        <f t="shared" si="3"/>
        <v>56.612663674690602</v>
      </c>
    </row>
    <row r="18" spans="1:21">
      <c r="A18" s="78"/>
      <c r="B18" s="79"/>
      <c r="C18" s="46">
        <f t="shared" si="9"/>
        <v>2</v>
      </c>
      <c r="D18" s="6">
        <f>2*(D16-D17)/(D16+D17)</f>
        <v>-1.6820857863751051E-3</v>
      </c>
      <c r="E18" s="6">
        <f t="shared" ref="E18:F18" si="10">2*(E16-E17)/(E16+E17)</f>
        <v>-8.3437630371297454E-4</v>
      </c>
      <c r="F18" s="6">
        <f t="shared" si="10"/>
        <v>-1.554001554001554E-3</v>
      </c>
      <c r="G18" s="8">
        <v>63.4</v>
      </c>
      <c r="H18" s="8">
        <v>68.8</v>
      </c>
      <c r="I18" s="8">
        <v>41</v>
      </c>
      <c r="M18" s="46">
        <f t="shared" si="0"/>
        <v>50.247276327416714</v>
      </c>
      <c r="N18" s="46">
        <f t="shared" si="5"/>
        <v>15</v>
      </c>
      <c r="O18" s="50">
        <f t="shared" si="1"/>
        <v>98.509623622016278</v>
      </c>
      <c r="P18" s="50">
        <f t="shared" si="2"/>
        <v>48.262347294599564</v>
      </c>
      <c r="Q18" s="50">
        <f t="shared" si="3"/>
        <v>56.27797089623283</v>
      </c>
    </row>
    <row r="19" spans="1:21">
      <c r="A19" s="78"/>
      <c r="B19" s="79" t="s">
        <v>2</v>
      </c>
      <c r="C19" s="46">
        <f t="shared" si="9"/>
        <v>0</v>
      </c>
      <c r="D19" s="7">
        <v>505.1</v>
      </c>
      <c r="E19" s="7">
        <v>571.1</v>
      </c>
      <c r="F19" s="7">
        <v>527.5</v>
      </c>
      <c r="G19" s="8">
        <v>27.6</v>
      </c>
      <c r="H19" s="8">
        <v>36.5</v>
      </c>
      <c r="I19" s="8">
        <v>31.8</v>
      </c>
      <c r="M19" s="46">
        <f t="shared" si="0"/>
        <v>48.037351997234005</v>
      </c>
      <c r="N19" s="46">
        <f t="shared" si="5"/>
        <v>16</v>
      </c>
      <c r="O19" s="50">
        <f t="shared" si="1"/>
        <v>96.197789631726238</v>
      </c>
      <c r="P19" s="50">
        <f t="shared" si="2"/>
        <v>48.160437634492233</v>
      </c>
      <c r="Q19" s="50">
        <f t="shared" si="3"/>
        <v>55.943278117775051</v>
      </c>
    </row>
    <row r="20" spans="1:21">
      <c r="A20" s="78"/>
      <c r="B20" s="79"/>
      <c r="C20" s="46">
        <f t="shared" si="9"/>
        <v>1</v>
      </c>
      <c r="D20" s="7">
        <v>506.7</v>
      </c>
      <c r="E20" s="7">
        <v>572.70000000000005</v>
      </c>
      <c r="F20" s="7">
        <v>527.70000000000005</v>
      </c>
      <c r="G20" s="8">
        <v>30.8</v>
      </c>
      <c r="H20" s="8">
        <v>40.700000000000003</v>
      </c>
      <c r="I20" s="8">
        <v>35.4</v>
      </c>
      <c r="M20" s="46">
        <f t="shared" si="0"/>
        <v>45.827427667051296</v>
      </c>
      <c r="N20" s="46">
        <f t="shared" si="5"/>
        <v>17</v>
      </c>
      <c r="O20" s="50">
        <f t="shared" si="1"/>
        <v>93.885955641436198</v>
      </c>
      <c r="P20" s="50">
        <f t="shared" si="2"/>
        <v>48.058527974384901</v>
      </c>
      <c r="Q20" s="50">
        <f t="shared" si="3"/>
        <v>55.60858533931728</v>
      </c>
    </row>
    <row r="21" spans="1:21">
      <c r="A21" s="78"/>
      <c r="B21" s="79"/>
      <c r="C21" s="46">
        <f t="shared" si="9"/>
        <v>2</v>
      </c>
      <c r="D21" s="6">
        <f>2*(D19-D20)/(D19+D20)</f>
        <v>-3.1626803716148762E-3</v>
      </c>
      <c r="E21" s="6">
        <f t="shared" ref="E21:F21" si="11">2*(E19-E20)/(E19+E20)</f>
        <v>-2.7976919041790916E-3</v>
      </c>
      <c r="F21" s="6">
        <f t="shared" si="11"/>
        <v>-3.7907505686134472E-4</v>
      </c>
      <c r="G21" s="8">
        <v>24.9</v>
      </c>
      <c r="H21" s="8">
        <v>34.700000000000003</v>
      </c>
      <c r="I21" s="8">
        <v>29.1</v>
      </c>
      <c r="M21" s="46">
        <f t="shared" si="0"/>
        <v>43.617503336868594</v>
      </c>
      <c r="N21" s="46">
        <f t="shared" si="5"/>
        <v>18</v>
      </c>
      <c r="O21" s="50">
        <f t="shared" si="1"/>
        <v>91.574121651146157</v>
      </c>
      <c r="P21" s="50">
        <f t="shared" si="2"/>
        <v>47.956618314277563</v>
      </c>
      <c r="Q21" s="50">
        <f t="shared" si="3"/>
        <v>55.273892560859508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547.1</v>
      </c>
      <c r="E22" s="46">
        <f t="shared" ref="E22:F22" si="12">(E13+E14)/2</f>
        <v>498.9</v>
      </c>
      <c r="F22" s="46">
        <f t="shared" si="12"/>
        <v>146.6</v>
      </c>
      <c r="G22" s="5">
        <f>G13</f>
        <v>88.1</v>
      </c>
      <c r="H22" s="5">
        <f t="shared" ref="H22:I22" si="13">H13</f>
        <v>30.2</v>
      </c>
      <c r="I22" s="5">
        <f t="shared" si="13"/>
        <v>41</v>
      </c>
      <c r="J22" s="99">
        <f>AVERAGE(G22:I24)</f>
        <v>48.122222222222234</v>
      </c>
      <c r="M22" s="46">
        <f t="shared" si="0"/>
        <v>41.407579006685886</v>
      </c>
      <c r="N22" s="46">
        <f t="shared" si="5"/>
        <v>19</v>
      </c>
      <c r="O22" s="50">
        <f t="shared" si="1"/>
        <v>89.262287660856117</v>
      </c>
      <c r="P22" s="50">
        <f t="shared" si="2"/>
        <v>47.854708654170231</v>
      </c>
      <c r="Q22" s="50">
        <f t="shared" si="3"/>
        <v>54.939199782401737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1189</v>
      </c>
      <c r="E23" s="46">
        <f>(E16+E17)/2</f>
        <v>1198.5</v>
      </c>
      <c r="F23" s="46">
        <f>(F16+F17)/2</f>
        <v>643.5</v>
      </c>
      <c r="G23" s="5">
        <f>G16</f>
        <v>63</v>
      </c>
      <c r="H23" s="5">
        <f>H16</f>
        <v>72.3</v>
      </c>
      <c r="I23" s="5">
        <f>I16</f>
        <v>42.6</v>
      </c>
      <c r="J23" s="99"/>
      <c r="M23" s="46">
        <f t="shared" si="0"/>
        <v>39.197654676503184</v>
      </c>
      <c r="N23" s="46">
        <f t="shared" si="5"/>
        <v>20</v>
      </c>
      <c r="O23" s="50">
        <f t="shared" si="1"/>
        <v>86.950453670566077</v>
      </c>
      <c r="P23" s="50">
        <f t="shared" si="2"/>
        <v>47.752798994062893</v>
      </c>
      <c r="Q23" s="50">
        <f t="shared" si="3"/>
        <v>54.604507003943965</v>
      </c>
    </row>
    <row r="24" spans="1:21">
      <c r="A24" s="78"/>
      <c r="B24" s="46" t="str">
        <f>B19</f>
        <v>D65</v>
      </c>
      <c r="C24" s="79"/>
      <c r="D24" s="46">
        <f>(D19+D20)/2</f>
        <v>505.9</v>
      </c>
      <c r="E24" s="46">
        <f>(E19+E20)/2</f>
        <v>571.90000000000009</v>
      </c>
      <c r="F24" s="46">
        <f>(F19+F20)/2</f>
        <v>527.6</v>
      </c>
      <c r="G24" s="5">
        <f>G19</f>
        <v>27.6</v>
      </c>
      <c r="H24" s="5">
        <f>H19</f>
        <v>36.5</v>
      </c>
      <c r="I24" s="5">
        <f>I19</f>
        <v>31.8</v>
      </c>
      <c r="J24" s="99"/>
      <c r="M24" s="46">
        <f t="shared" si="0"/>
        <v>36.987730346320475</v>
      </c>
      <c r="N24" s="46">
        <f t="shared" si="5"/>
        <v>21</v>
      </c>
      <c r="O24" s="50">
        <f t="shared" si="1"/>
        <v>84.638619680276037</v>
      </c>
      <c r="P24" s="50">
        <f t="shared" si="2"/>
        <v>47.650889333955561</v>
      </c>
      <c r="Q24" s="50">
        <f t="shared" si="3"/>
        <v>54.269814225486193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547.1</v>
      </c>
      <c r="E25" s="46">
        <f t="shared" ref="E25:F25" si="15">(E13+E14)/2</f>
        <v>498.9</v>
      </c>
      <c r="F25" s="46">
        <f t="shared" si="15"/>
        <v>146.6</v>
      </c>
      <c r="G25" s="5">
        <f t="shared" ref="G25:I25" si="16">G14</f>
        <v>94.6</v>
      </c>
      <c r="H25" s="5">
        <f t="shared" si="16"/>
        <v>33.799999999999997</v>
      </c>
      <c r="I25" s="5">
        <f t="shared" si="16"/>
        <v>45.5</v>
      </c>
      <c r="J25" s="99">
        <f>AVERAGE(G25:I27)</f>
        <v>52.911111111111104</v>
      </c>
      <c r="M25" s="46">
        <f t="shared" si="0"/>
        <v>34.77780601613776</v>
      </c>
      <c r="N25" s="46">
        <f t="shared" si="5"/>
        <v>22</v>
      </c>
      <c r="O25" s="50">
        <f t="shared" si="1"/>
        <v>82.326785689985982</v>
      </c>
      <c r="P25" s="50">
        <f t="shared" si="2"/>
        <v>47.548979673848223</v>
      </c>
      <c r="Q25" s="50">
        <f t="shared" si="3"/>
        <v>53.935121447028422</v>
      </c>
    </row>
    <row r="26" spans="1:21">
      <c r="A26" s="78"/>
      <c r="B26" s="46" t="str">
        <f>B16</f>
        <v>CWF</v>
      </c>
      <c r="C26" s="79"/>
      <c r="D26" s="46">
        <f>(D16+D17)/2</f>
        <v>1189</v>
      </c>
      <c r="E26" s="46">
        <f>(E16+E17)/2</f>
        <v>1198.5</v>
      </c>
      <c r="F26" s="46">
        <f>(F16+F17)/2</f>
        <v>643.5</v>
      </c>
      <c r="G26" s="5">
        <f>G17</f>
        <v>69.3</v>
      </c>
      <c r="H26" s="5">
        <f>H17</f>
        <v>78.7</v>
      </c>
      <c r="I26" s="5">
        <f>I17</f>
        <v>47.4</v>
      </c>
      <c r="J26" s="99"/>
      <c r="M26" s="46">
        <f t="shared" si="0"/>
        <v>32.567881685955051</v>
      </c>
      <c r="N26" s="46">
        <f t="shared" si="5"/>
        <v>23</v>
      </c>
      <c r="O26" s="50">
        <f t="shared" si="1"/>
        <v>80.014951699695942</v>
      </c>
      <c r="P26" s="50">
        <f t="shared" si="2"/>
        <v>47.447070013740891</v>
      </c>
      <c r="Q26" s="50">
        <f t="shared" si="3"/>
        <v>53.60042866857065</v>
      </c>
    </row>
    <row r="27" spans="1:21">
      <c r="A27" s="78"/>
      <c r="B27" s="46" t="str">
        <f>B19</f>
        <v>D65</v>
      </c>
      <c r="C27" s="79"/>
      <c r="D27" s="46">
        <f>(D19+D20)/2</f>
        <v>505.9</v>
      </c>
      <c r="E27" s="46">
        <f>(E19+E20)/2</f>
        <v>571.90000000000009</v>
      </c>
      <c r="F27" s="46">
        <f>(F19+F20)/2</f>
        <v>527.6</v>
      </c>
      <c r="G27" s="5">
        <f>G20</f>
        <v>30.8</v>
      </c>
      <c r="H27" s="5">
        <f>H20</f>
        <v>40.700000000000003</v>
      </c>
      <c r="I27" s="5">
        <f>I20</f>
        <v>35.4</v>
      </c>
      <c r="J27" s="99"/>
      <c r="M27" s="46">
        <f t="shared" si="0"/>
        <v>30.357957355772349</v>
      </c>
      <c r="N27" s="46">
        <f t="shared" si="5"/>
        <v>24</v>
      </c>
      <c r="O27" s="50">
        <f t="shared" si="1"/>
        <v>77.703117709405902</v>
      </c>
      <c r="P27" s="50">
        <f t="shared" si="2"/>
        <v>47.345160353633553</v>
      </c>
      <c r="Q27" s="50">
        <f t="shared" si="3"/>
        <v>53.265735890112879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547.1</v>
      </c>
      <c r="E28" s="46">
        <f t="shared" ref="E28:F28" si="17">(E13+E14)/2</f>
        <v>498.9</v>
      </c>
      <c r="F28" s="46">
        <f t="shared" si="17"/>
        <v>146.6</v>
      </c>
      <c r="G28" s="5">
        <f t="shared" ref="G28:I28" si="18">G15</f>
        <v>78.2</v>
      </c>
      <c r="H28" s="5">
        <f t="shared" si="18"/>
        <v>27.7</v>
      </c>
      <c r="I28" s="5">
        <f t="shared" si="18"/>
        <v>39.299999999999997</v>
      </c>
      <c r="J28" s="99">
        <f>AVERAGE(G28:I30)</f>
        <v>45.233333333333327</v>
      </c>
      <c r="M28" s="46">
        <f t="shared" si="0"/>
        <v>28.148033025589626</v>
      </c>
      <c r="N28" s="46">
        <f t="shared" si="5"/>
        <v>25</v>
      </c>
      <c r="O28" s="50">
        <f t="shared" si="1"/>
        <v>75.391283719115847</v>
      </c>
      <c r="P28" s="50">
        <f t="shared" si="2"/>
        <v>47.243250693526221</v>
      </c>
      <c r="Q28" s="50">
        <f t="shared" si="3"/>
        <v>52.931043111655107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1189</v>
      </c>
      <c r="E29" s="46">
        <f t="shared" si="20"/>
        <v>1198.5</v>
      </c>
      <c r="F29" s="46">
        <f t="shared" si="20"/>
        <v>643.5</v>
      </c>
      <c r="G29" s="5">
        <f t="shared" ref="G29:I29" si="21">G18</f>
        <v>63.4</v>
      </c>
      <c r="H29" s="5">
        <f t="shared" si="21"/>
        <v>68.8</v>
      </c>
      <c r="I29" s="5">
        <f t="shared" si="21"/>
        <v>41</v>
      </c>
      <c r="J29" s="99"/>
      <c r="M29" s="46">
        <f t="shared" si="0"/>
        <v>25.938108695406925</v>
      </c>
      <c r="N29" s="46">
        <f t="shared" si="5"/>
        <v>26</v>
      </c>
      <c r="O29" s="50">
        <f t="shared" si="1"/>
        <v>73.079449728825807</v>
      </c>
      <c r="P29" s="50">
        <f t="shared" si="2"/>
        <v>47.141341033418882</v>
      </c>
      <c r="Q29" s="50">
        <f t="shared" si="3"/>
        <v>52.596350333197336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505.9</v>
      </c>
      <c r="E30" s="46">
        <f t="shared" si="23"/>
        <v>571.90000000000009</v>
      </c>
      <c r="F30" s="46">
        <f t="shared" si="23"/>
        <v>527.6</v>
      </c>
      <c r="G30" s="5">
        <f t="shared" ref="G30:I30" si="24">G21</f>
        <v>24.9</v>
      </c>
      <c r="H30" s="5">
        <f t="shared" si="24"/>
        <v>34.700000000000003</v>
      </c>
      <c r="I30" s="5">
        <f t="shared" si="24"/>
        <v>29.1</v>
      </c>
      <c r="J30" s="99"/>
      <c r="M30" s="46">
        <f t="shared" si="0"/>
        <v>23.728184365224216</v>
      </c>
      <c r="N30" s="46">
        <f t="shared" si="5"/>
        <v>27</v>
      </c>
      <c r="O30" s="50">
        <f t="shared" si="1"/>
        <v>70.767615738535767</v>
      </c>
      <c r="P30" s="50">
        <f t="shared" si="2"/>
        <v>47.039431373311551</v>
      </c>
      <c r="Q30" s="50">
        <f t="shared" si="3"/>
        <v>52.261657554739557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547.1</v>
      </c>
      <c r="E31" s="46">
        <f t="shared" si="25"/>
        <v>498.9</v>
      </c>
      <c r="F31" s="46">
        <f t="shared" si="25"/>
        <v>146.6</v>
      </c>
      <c r="G31" s="5">
        <f t="shared" ref="G31:I33" si="26">G22*$J$31</f>
        <v>88.1</v>
      </c>
      <c r="H31" s="5">
        <f t="shared" si="26"/>
        <v>30.2</v>
      </c>
      <c r="I31" s="5">
        <f t="shared" si="26"/>
        <v>41</v>
      </c>
      <c r="J31" s="96">
        <f>J$22/J22</f>
        <v>1</v>
      </c>
      <c r="M31" s="46">
        <f t="shared" si="0"/>
        <v>21.518260035041507</v>
      </c>
      <c r="N31" s="46">
        <f t="shared" si="5"/>
        <v>28</v>
      </c>
      <c r="O31" s="50">
        <f t="shared" si="1"/>
        <v>68.455781748245727</v>
      </c>
      <c r="P31" s="50">
        <f t="shared" si="2"/>
        <v>46.93752171320422</v>
      </c>
      <c r="Q31" s="50">
        <f t="shared" si="3"/>
        <v>51.926964776281793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1189</v>
      </c>
      <c r="E32" s="46">
        <f t="shared" si="27"/>
        <v>1198.5</v>
      </c>
      <c r="F32" s="46">
        <f t="shared" si="27"/>
        <v>643.5</v>
      </c>
      <c r="G32" s="5">
        <f t="shared" si="26"/>
        <v>63</v>
      </c>
      <c r="H32" s="5">
        <f t="shared" si="26"/>
        <v>72.3</v>
      </c>
      <c r="I32" s="5">
        <f t="shared" si="26"/>
        <v>42.6</v>
      </c>
      <c r="J32" s="96"/>
      <c r="M32" s="46">
        <f t="shared" si="0"/>
        <v>19.308335704858806</v>
      </c>
      <c r="N32" s="46">
        <f t="shared" si="5"/>
        <v>29</v>
      </c>
      <c r="O32" s="50">
        <f t="shared" si="1"/>
        <v>66.143947757955686</v>
      </c>
      <c r="P32" s="50">
        <f t="shared" si="2"/>
        <v>46.835612053096881</v>
      </c>
      <c r="Q32" s="50">
        <f t="shared" si="3"/>
        <v>51.592271997824014</v>
      </c>
    </row>
    <row r="33" spans="1:17">
      <c r="A33" s="78"/>
      <c r="B33" s="46" t="str">
        <f t="shared" si="27"/>
        <v>D65</v>
      </c>
      <c r="C33" s="79"/>
      <c r="D33" s="46">
        <f t="shared" si="27"/>
        <v>505.9</v>
      </c>
      <c r="E33" s="46">
        <f t="shared" si="27"/>
        <v>571.90000000000009</v>
      </c>
      <c r="F33" s="46">
        <f t="shared" si="27"/>
        <v>527.6</v>
      </c>
      <c r="G33" s="5">
        <f t="shared" si="26"/>
        <v>27.6</v>
      </c>
      <c r="H33" s="5">
        <f t="shared" si="26"/>
        <v>36.5</v>
      </c>
      <c r="I33" s="5">
        <f t="shared" si="26"/>
        <v>31.8</v>
      </c>
      <c r="J33" s="96"/>
      <c r="M33" s="46">
        <f t="shared" si="0"/>
        <v>17.098411374676083</v>
      </c>
      <c r="N33" s="46">
        <f t="shared" si="5"/>
        <v>30</v>
      </c>
      <c r="O33" s="50">
        <f t="shared" si="1"/>
        <v>63.832113767665632</v>
      </c>
      <c r="P33" s="50">
        <f t="shared" si="2"/>
        <v>46.733702392989549</v>
      </c>
      <c r="Q33" s="50">
        <f t="shared" si="3"/>
        <v>51.257579219366242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547.1</v>
      </c>
      <c r="E34" s="46">
        <f t="shared" si="27"/>
        <v>498.9</v>
      </c>
      <c r="F34" s="46">
        <f t="shared" si="27"/>
        <v>146.6</v>
      </c>
      <c r="G34" s="5">
        <f t="shared" ref="G34:I36" si="28">G25*$J$34</f>
        <v>86.037925241495202</v>
      </c>
      <c r="H34" s="5">
        <f t="shared" si="28"/>
        <v>30.740823183536339</v>
      </c>
      <c r="I34" s="5">
        <f t="shared" si="28"/>
        <v>41.381877362452769</v>
      </c>
      <c r="J34" s="96">
        <f>J$22/J25</f>
        <v>0.9094918101637971</v>
      </c>
      <c r="M34" s="46">
        <f t="shared" si="0"/>
        <v>14.888487044493381</v>
      </c>
      <c r="N34" s="46">
        <f t="shared" si="5"/>
        <v>31</v>
      </c>
      <c r="O34" s="50">
        <f t="shared" si="1"/>
        <v>61.520279777375592</v>
      </c>
      <c r="P34" s="50">
        <f t="shared" si="2"/>
        <v>46.631792732882211</v>
      </c>
      <c r="Q34" s="50">
        <f t="shared" si="3"/>
        <v>50.922886440908471</v>
      </c>
    </row>
    <row r="35" spans="1:17">
      <c r="A35" s="78"/>
      <c r="B35" s="46" t="str">
        <f t="shared" si="27"/>
        <v>CWF</v>
      </c>
      <c r="C35" s="79"/>
      <c r="D35" s="46">
        <f t="shared" si="27"/>
        <v>1189</v>
      </c>
      <c r="E35" s="46">
        <f t="shared" si="27"/>
        <v>1198.5</v>
      </c>
      <c r="F35" s="46">
        <f t="shared" si="27"/>
        <v>643.5</v>
      </c>
      <c r="G35" s="5">
        <f t="shared" si="28"/>
        <v>63.027782444351139</v>
      </c>
      <c r="H35" s="5">
        <f t="shared" si="28"/>
        <v>71.577005459890827</v>
      </c>
      <c r="I35" s="5">
        <f t="shared" si="28"/>
        <v>43.109911801763978</v>
      </c>
      <c r="J35" s="96"/>
      <c r="M35" s="46">
        <f t="shared" si="0"/>
        <v>12.678562714310672</v>
      </c>
      <c r="N35" s="46">
        <f t="shared" si="5"/>
        <v>32</v>
      </c>
      <c r="O35" s="50">
        <f t="shared" si="1"/>
        <v>59.208445787085552</v>
      </c>
      <c r="P35" s="50">
        <f t="shared" si="2"/>
        <v>46.529883072774879</v>
      </c>
      <c r="Q35" s="50">
        <f t="shared" si="3"/>
        <v>50.588193662450699</v>
      </c>
    </row>
    <row r="36" spans="1:17">
      <c r="A36" s="78"/>
      <c r="B36" s="46" t="str">
        <f t="shared" si="27"/>
        <v>D65</v>
      </c>
      <c r="C36" s="79"/>
      <c r="D36" s="46">
        <f t="shared" si="27"/>
        <v>505.9</v>
      </c>
      <c r="E36" s="46">
        <f t="shared" si="27"/>
        <v>571.90000000000009</v>
      </c>
      <c r="F36" s="46">
        <f t="shared" si="27"/>
        <v>527.6</v>
      </c>
      <c r="G36" s="5">
        <f t="shared" si="28"/>
        <v>28.012347753044953</v>
      </c>
      <c r="H36" s="5">
        <f t="shared" si="28"/>
        <v>37.016316673666545</v>
      </c>
      <c r="I36" s="5">
        <f t="shared" si="28"/>
        <v>32.196010079798413</v>
      </c>
      <c r="J36" s="96"/>
      <c r="M36" s="46">
        <f t="shared" si="0"/>
        <v>10.468638384127971</v>
      </c>
      <c r="N36" s="46">
        <f t="shared" si="5"/>
        <v>33</v>
      </c>
      <c r="O36" s="50">
        <f t="shared" si="1"/>
        <v>56.896611796795511</v>
      </c>
      <c r="P36" s="50">
        <f t="shared" si="2"/>
        <v>46.427973412667541</v>
      </c>
      <c r="Q36" s="50">
        <f t="shared" si="3"/>
        <v>50.253500883992928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547.1</v>
      </c>
      <c r="E37" s="46">
        <f t="shared" si="27"/>
        <v>498.9</v>
      </c>
      <c r="F37" s="46">
        <f t="shared" si="27"/>
        <v>146.6</v>
      </c>
      <c r="G37" s="5">
        <f t="shared" ref="G37:I39" si="29">G28*$J$37</f>
        <v>83.194350282485914</v>
      </c>
      <c r="H37" s="5">
        <f t="shared" si="29"/>
        <v>29.469098501596672</v>
      </c>
      <c r="I37" s="5">
        <f t="shared" si="29"/>
        <v>41.809948415622713</v>
      </c>
      <c r="J37" s="96">
        <f>J$22/J28</f>
        <v>1.0638663718987968</v>
      </c>
      <c r="K37" s="51" t="str">
        <f>CHAR(34) &amp; "EEpromVersion" &amp;CHAR(34)  &amp; ",3,"</f>
        <v>"EEpromVersion",3,</v>
      </c>
      <c r="M37" s="46">
        <f t="shared" si="0"/>
        <v>8.2587140539452619</v>
      </c>
      <c r="N37" s="46">
        <f t="shared" si="5"/>
        <v>34</v>
      </c>
      <c r="O37" s="50">
        <f t="shared" si="1"/>
        <v>54.584777806505471</v>
      </c>
      <c r="P37" s="50">
        <f t="shared" si="2"/>
        <v>46.326063752560209</v>
      </c>
      <c r="Q37" s="50">
        <f t="shared" si="3"/>
        <v>49.918808105535156</v>
      </c>
    </row>
    <row r="38" spans="1:17">
      <c r="A38" s="78"/>
      <c r="B38" s="46" t="str">
        <f t="shared" si="27"/>
        <v>CWF</v>
      </c>
      <c r="C38" s="79"/>
      <c r="D38" s="46">
        <f t="shared" si="27"/>
        <v>1189</v>
      </c>
      <c r="E38" s="46">
        <f t="shared" si="27"/>
        <v>1198.5</v>
      </c>
      <c r="F38" s="46">
        <f t="shared" si="27"/>
        <v>643.5</v>
      </c>
      <c r="G38" s="5">
        <f t="shared" si="29"/>
        <v>67.449127978383714</v>
      </c>
      <c r="H38" s="5">
        <f t="shared" si="29"/>
        <v>73.194006386637227</v>
      </c>
      <c r="I38" s="5">
        <f t="shared" si="29"/>
        <v>43.618521247850673</v>
      </c>
      <c r="J38" s="96"/>
      <c r="K38" s="52" t="str">
        <f>K4</f>
        <v>"Compensation",37,</v>
      </c>
      <c r="M38" s="46">
        <f t="shared" si="0"/>
        <v>6.048789723762539</v>
      </c>
      <c r="N38" s="46">
        <f t="shared" si="5"/>
        <v>35</v>
      </c>
      <c r="O38" s="50">
        <f t="shared" si="1"/>
        <v>52.272943816215417</v>
      </c>
      <c r="P38" s="50">
        <f t="shared" si="2"/>
        <v>46.224154092452878</v>
      </c>
      <c r="Q38" s="50">
        <f t="shared" si="3"/>
        <v>49.584115327077384</v>
      </c>
    </row>
    <row r="39" spans="1:17">
      <c r="A39" s="78"/>
      <c r="B39" s="46" t="str">
        <f t="shared" si="27"/>
        <v>D65</v>
      </c>
      <c r="C39" s="79"/>
      <c r="D39" s="46">
        <f t="shared" si="27"/>
        <v>505.9</v>
      </c>
      <c r="E39" s="46">
        <f t="shared" si="27"/>
        <v>571.90000000000009</v>
      </c>
      <c r="F39" s="46">
        <f t="shared" si="27"/>
        <v>527.6</v>
      </c>
      <c r="G39" s="5">
        <f t="shared" si="29"/>
        <v>26.490272660280041</v>
      </c>
      <c r="H39" s="5">
        <f t="shared" si="29"/>
        <v>36.916163104888255</v>
      </c>
      <c r="I39" s="5">
        <f t="shared" si="29"/>
        <v>30.95851142225499</v>
      </c>
      <c r="J39" s="96"/>
      <c r="K39" s="53" t="str">
        <f>linefmt("CardGain",J42,J45,J48)</f>
        <v>"CardGain",17.33494,18.07803,16.59549,</v>
      </c>
      <c r="M39" s="46">
        <f t="shared" si="0"/>
        <v>3.8388653935798374</v>
      </c>
      <c r="N39" s="46">
        <f t="shared" si="5"/>
        <v>36</v>
      </c>
      <c r="O39" s="50">
        <f t="shared" si="1"/>
        <v>49.961109825925377</v>
      </c>
      <c r="P39" s="50">
        <f t="shared" si="2"/>
        <v>46.122244432345539</v>
      </c>
      <c r="Q39" s="50">
        <f t="shared" si="3"/>
        <v>49.249422548619606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"Range",1,0.9094918,1.063866,</v>
      </c>
      <c r="M40" s="46">
        <f t="shared" si="0"/>
        <v>2.8943949979236336</v>
      </c>
      <c r="N40" s="46">
        <f t="shared" si="5"/>
        <v>37</v>
      </c>
      <c r="O40" s="50">
        <f t="shared" si="1"/>
        <v>47.649275835635336</v>
      </c>
      <c r="P40" s="50">
        <f t="shared" si="2"/>
        <v>46.020334772238208</v>
      </c>
      <c r="Q40" s="50">
        <f t="shared" si="3"/>
        <v>48.914729770161841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3.2425951463587666</v>
      </c>
      <c r="N41" s="46">
        <f t="shared" si="5"/>
        <v>38</v>
      </c>
      <c r="O41" s="50">
        <f t="shared" si="1"/>
        <v>45.337441845345296</v>
      </c>
      <c r="P41" s="50">
        <f t="shared" si="2"/>
        <v>45.918425112130869</v>
      </c>
      <c r="Q41" s="50">
        <f t="shared" si="3"/>
        <v>48.580036991704063</v>
      </c>
    </row>
    <row r="42" spans="1:17">
      <c r="A42" s="4"/>
      <c r="B42" s="46" t="s">
        <v>3</v>
      </c>
      <c r="C42" s="79">
        <f>C31</f>
        <v>0</v>
      </c>
      <c r="D42" s="46">
        <f>I42/$H$43</f>
        <v>0.21302412915008503</v>
      </c>
      <c r="E42" s="46">
        <f>H42/$H$43</f>
        <v>1.0233487119896747</v>
      </c>
      <c r="F42" s="46">
        <f>G42/$H$43</f>
        <v>-0.44175650528953492</v>
      </c>
      <c r="G42" s="46">
        <f t="array" ref="G42:I42">LINEST($D31:$D33,$G31:$I33,FALSE)</f>
        <v>-7.6578215326188372</v>
      </c>
      <c r="H42" s="46">
        <v>17.739686248459488</v>
      </c>
      <c r="I42" s="46">
        <v>3.6927600242212941</v>
      </c>
      <c r="J42" s="97">
        <f>H43</f>
        <v>17.334937778900997</v>
      </c>
      <c r="K42" s="53" t="str">
        <f t="shared" ref="K42:K50" si="30">linefmt("",D42,E42,F42)</f>
        <v>0.2130241,1.023349,-0.4417565,</v>
      </c>
      <c r="M42" s="46">
        <f t="shared" si="0"/>
        <v>5.2197363581910494</v>
      </c>
      <c r="N42" s="46">
        <f t="shared" si="5"/>
        <v>39</v>
      </c>
      <c r="O42" s="50">
        <f t="shared" si="1"/>
        <v>43.025607855055242</v>
      </c>
      <c r="P42" s="50">
        <f t="shared" si="2"/>
        <v>45.816515452023538</v>
      </c>
      <c r="Q42" s="50">
        <f t="shared" si="3"/>
        <v>48.245344213246291</v>
      </c>
    </row>
    <row r="43" spans="1:17">
      <c r="A43" s="4"/>
      <c r="B43" s="46" t="s">
        <v>4</v>
      </c>
      <c r="C43" s="79"/>
      <c r="D43" s="46">
        <f>I43/$H$43</f>
        <v>5.9106483012062346E-2</v>
      </c>
      <c r="E43" s="46">
        <f>H43/$H$43</f>
        <v>1</v>
      </c>
      <c r="F43" s="46">
        <f>G43/$H$43</f>
        <v>-0.16164031329335288</v>
      </c>
      <c r="G43" s="46">
        <f t="array" ref="G43:I43">LINEST($E31:$E33,$G31:$I33,FALSE)</f>
        <v>-2.8020247735023358</v>
      </c>
      <c r="H43" s="46">
        <v>17.334937778900997</v>
      </c>
      <c r="I43" s="46">
        <v>1.0246072053437696</v>
      </c>
      <c r="J43" s="97"/>
      <c r="K43" s="53" t="str">
        <f t="shared" si="30"/>
        <v>5.910648E-02,1,-0.1616403,</v>
      </c>
      <c r="M43" s="46">
        <f t="shared" si="0"/>
        <v>7.1968775700233181</v>
      </c>
      <c r="N43" s="46">
        <f t="shared" si="5"/>
        <v>40</v>
      </c>
      <c r="O43" s="50">
        <f t="shared" si="1"/>
        <v>40.713773864765201</v>
      </c>
      <c r="P43" s="50">
        <f t="shared" si="2"/>
        <v>45.714605791916199</v>
      </c>
      <c r="Q43" s="50">
        <f t="shared" si="3"/>
        <v>47.91065143478852</v>
      </c>
    </row>
    <row r="44" spans="1:17">
      <c r="A44" s="4"/>
      <c r="B44" s="46" t="s">
        <v>5</v>
      </c>
      <c r="C44" s="79"/>
      <c r="D44" s="46">
        <f>I44/$H$43</f>
        <v>-0.46887439877907072</v>
      </c>
      <c r="E44" s="46">
        <f>H44/$H$43</f>
        <v>0.36542847991588318</v>
      </c>
      <c r="F44" s="46">
        <f>G44/$H$43</f>
        <v>0.94460497414347089</v>
      </c>
      <c r="G44" s="46">
        <f t="array" ref="G44:I44">LINEST($F$31:$F$33,$G31:$I33,FALSE)</f>
        <v>16.374668452417453</v>
      </c>
      <c r="H44" s="46">
        <v>6.3346799619802079</v>
      </c>
      <c r="I44" s="46">
        <v>-8.127908528954805</v>
      </c>
      <c r="J44" s="97"/>
      <c r="K44" s="53" t="str">
        <f t="shared" si="30"/>
        <v>-0.4688744,0.3654285,0.944605,</v>
      </c>
      <c r="M44" s="46">
        <f t="shared" si="0"/>
        <v>9.1740187818555867</v>
      </c>
      <c r="N44" s="46">
        <f t="shared" si="5"/>
        <v>41</v>
      </c>
      <c r="O44" s="50">
        <f t="shared" si="1"/>
        <v>38.401939874475161</v>
      </c>
      <c r="P44" s="50">
        <f t="shared" si="2"/>
        <v>45.612696131808868</v>
      </c>
      <c r="Q44" s="50">
        <f t="shared" si="3"/>
        <v>47.575958656330748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0.22918412125427476</v>
      </c>
      <c r="E45" s="46">
        <f>H45/$H$46</f>
        <v>1.0199208497975172</v>
      </c>
      <c r="F45" s="46">
        <f>G45/$H$46</f>
        <v>-0.50284036500020468</v>
      </c>
      <c r="G45" s="46">
        <f t="array" ref="G45:I45">LINEST($D34:$D36,$G34:$I36,FALSE)</f>
        <v>-9.0903628321584868</v>
      </c>
      <c r="H45" s="46">
        <v>18.438158966691297</v>
      </c>
      <c r="I45" s="46">
        <v>4.1431972502245618</v>
      </c>
      <c r="J45" s="97">
        <f>H46</f>
        <v>18.078029261144909</v>
      </c>
      <c r="K45" s="53" t="str">
        <f t="shared" si="30"/>
        <v>0.2291841,1.019921,-0.5028403,</v>
      </c>
      <c r="M45" s="46">
        <f t="shared" si="0"/>
        <v>11.151159993687855</v>
      </c>
      <c r="N45" s="46">
        <f t="shared" si="5"/>
        <v>42</v>
      </c>
      <c r="O45" s="50">
        <f t="shared" si="1"/>
        <v>36.090105884185121</v>
      </c>
      <c r="P45" s="50">
        <f t="shared" si="2"/>
        <v>45.510786471701536</v>
      </c>
      <c r="Q45" s="50">
        <f t="shared" si="3"/>
        <v>47.241265877872976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7.5405014031203837E-2</v>
      </c>
      <c r="E46" s="46">
        <f>H46/$H$46</f>
        <v>1</v>
      </c>
      <c r="F46" s="46">
        <f>G46/$H$46</f>
        <v>-0.23274631561534551</v>
      </c>
      <c r="G46" s="46">
        <f t="array" ref="G46:I46">LINEST($E34:$E36,$G34:$I36,FALSE)</f>
        <v>-4.2075947041178843</v>
      </c>
      <c r="H46" s="46">
        <v>18.078029261144909</v>
      </c>
      <c r="I46" s="46">
        <v>1.3631740500931453</v>
      </c>
      <c r="J46" s="97"/>
      <c r="K46" s="53" t="str">
        <f t="shared" si="30"/>
        <v>7.540502E-02,1,-0.2327463,</v>
      </c>
      <c r="M46" s="46">
        <f t="shared" si="0"/>
        <v>13.128301205520124</v>
      </c>
      <c r="N46" s="46">
        <f t="shared" si="5"/>
        <v>43</v>
      </c>
      <c r="O46" s="50">
        <f t="shared" si="1"/>
        <v>33.778271893895081</v>
      </c>
      <c r="P46" s="50">
        <f t="shared" si="2"/>
        <v>45.408876811594197</v>
      </c>
      <c r="Q46" s="50">
        <f t="shared" si="3"/>
        <v>46.906573099415205</v>
      </c>
    </row>
    <row r="47" spans="1:17">
      <c r="A47" s="4"/>
      <c r="B47" s="46" t="str">
        <f t="shared" si="31"/>
        <v>Z</v>
      </c>
      <c r="C47" s="79"/>
      <c r="D47" s="46">
        <f>I47/$H$46</f>
        <v>-0.46102292664250605</v>
      </c>
      <c r="E47" s="46">
        <f>H47/$H$46</f>
        <v>0.37629000648566069</v>
      </c>
      <c r="F47" s="46">
        <f>G47/$H$46</f>
        <v>0.87495504917933031</v>
      </c>
      <c r="G47" s="46">
        <f t="array" ref="G47:I47">LINEST($F$31:$F$33,$G34:$I36,FALSE)</f>
        <v>15.817462981250417</v>
      </c>
      <c r="H47" s="46">
        <v>6.8025817479241812</v>
      </c>
      <c r="I47" s="46">
        <v>-8.3343859579018869</v>
      </c>
      <c r="J47" s="97"/>
      <c r="K47" s="53" t="str">
        <f t="shared" si="30"/>
        <v>-0.4610229,0.37629,0.8749551,</v>
      </c>
      <c r="M47" s="46">
        <f t="shared" si="0"/>
        <v>15.105442417352407</v>
      </c>
      <c r="N47" s="46">
        <f t="shared" si="5"/>
        <v>44</v>
      </c>
      <c r="O47" s="50">
        <f t="shared" si="1"/>
        <v>31.466437903605026</v>
      </c>
      <c r="P47" s="50">
        <f t="shared" si="2"/>
        <v>45.306967151486866</v>
      </c>
      <c r="Q47" s="50">
        <f t="shared" si="3"/>
        <v>46.571880320957433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0.25409344894330815</v>
      </c>
      <c r="E48" s="46">
        <f>H48/$H$49</f>
        <v>0.99336027390221826</v>
      </c>
      <c r="F48" s="46">
        <f>G48/$H$49</f>
        <v>-0.41726407099632556</v>
      </c>
      <c r="G48" s="46">
        <f t="array" ref="G48:I48">LINEST($D37:$D39,$G37:$I39,FALSE)</f>
        <v>-6.9247029975572838</v>
      </c>
      <c r="H48" s="46">
        <v>16.485303539124004</v>
      </c>
      <c r="I48" s="46">
        <v>4.2168060704485839</v>
      </c>
      <c r="J48" s="97">
        <f>H49</f>
        <v>16.595493067550173</v>
      </c>
      <c r="K48" s="53" t="str">
        <f t="shared" si="30"/>
        <v>0.2540934,0.9933603,-0.4172641,</v>
      </c>
      <c r="M48" s="46">
        <f t="shared" si="0"/>
        <v>17.082583629184676</v>
      </c>
      <c r="N48" s="46">
        <f t="shared" si="5"/>
        <v>45</v>
      </c>
      <c r="O48" s="50">
        <f t="shared" si="1"/>
        <v>29.154603913314986</v>
      </c>
      <c r="P48" s="50">
        <f t="shared" si="2"/>
        <v>45.205057491379527</v>
      </c>
      <c r="Q48" s="50">
        <f t="shared" si="3"/>
        <v>46.237187542499662</v>
      </c>
    </row>
    <row r="49" spans="1:24">
      <c r="A49" s="4"/>
      <c r="B49" s="46" t="str">
        <f t="shared" si="31"/>
        <v>Y</v>
      </c>
      <c r="C49" s="79"/>
      <c r="D49" s="46">
        <f>I49/$H$49</f>
        <v>8.2431293670966188E-2</v>
      </c>
      <c r="E49" s="46">
        <f>H49/$H$49</f>
        <v>1</v>
      </c>
      <c r="F49" s="46">
        <f>G49/$H$49</f>
        <v>-0.14983365913600485</v>
      </c>
      <c r="G49" s="46">
        <f t="array" ref="G49:I49">LINEST($E37:$E39,$G37:$I39,FALSE)</f>
        <v>-2.4865634514772443</v>
      </c>
      <c r="H49" s="46">
        <v>16.595493067550173</v>
      </c>
      <c r="I49" s="46">
        <v>1.3679879626657119</v>
      </c>
      <c r="J49" s="97"/>
      <c r="K49" s="53" t="str">
        <f t="shared" si="30"/>
        <v>8.243129E-02,1,-0.1498337,</v>
      </c>
      <c r="M49" s="46">
        <f t="shared" si="0"/>
        <v>19.059724841016944</v>
      </c>
      <c r="N49" s="46">
        <f t="shared" si="5"/>
        <v>46</v>
      </c>
      <c r="O49" s="50">
        <f t="shared" si="1"/>
        <v>26.842769923024946</v>
      </c>
      <c r="P49" s="50">
        <f t="shared" si="2"/>
        <v>45.103147831272196</v>
      </c>
      <c r="Q49" s="50">
        <f t="shared" si="3"/>
        <v>45.90249476404189</v>
      </c>
    </row>
    <row r="50" spans="1:24">
      <c r="A50" s="4"/>
      <c r="B50" s="46" t="str">
        <f t="shared" si="31"/>
        <v>Z</v>
      </c>
      <c r="C50" s="79"/>
      <c r="D50" s="46">
        <f>I50/$H$49</f>
        <v>-0.52205691326052217</v>
      </c>
      <c r="E50" s="46">
        <f>H50/$H$49</f>
        <v>0.458445723149767</v>
      </c>
      <c r="F50" s="46">
        <f>G50/$H$49</f>
        <v>0.92695467655784514</v>
      </c>
      <c r="G50" s="46">
        <f t="array" ref="G50:I50">LINEST($F$31:$F$33,$G37:$I39,FALSE)</f>
        <v>15.383269908748932</v>
      </c>
      <c r="H50" s="46">
        <v>7.6081328203799838</v>
      </c>
      <c r="I50" s="46">
        <v>-8.663791884881638</v>
      </c>
      <c r="J50" s="97"/>
      <c r="K50" s="54" t="str">
        <f t="shared" si="30"/>
        <v>-0.5220569,0.4584457,0.9269547,</v>
      </c>
      <c r="M50" s="46">
        <f t="shared" si="0"/>
        <v>21.036866052849206</v>
      </c>
      <c r="N50" s="46">
        <f t="shared" si="5"/>
        <v>47</v>
      </c>
      <c r="O50" s="50">
        <f t="shared" si="1"/>
        <v>24.530935932734906</v>
      </c>
      <c r="P50" s="50">
        <f t="shared" si="2"/>
        <v>45.001238171164857</v>
      </c>
      <c r="Q50" s="50">
        <f t="shared" si="3"/>
        <v>45.567801985584111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0.23210056644922264</v>
      </c>
      <c r="E51" s="46">
        <f t="shared" ref="E51:F51" si="32">(E42+E45+E48)/3</f>
        <v>1.0122099452298035</v>
      </c>
      <c r="F51" s="46">
        <f t="shared" si="32"/>
        <v>-0.45395364709535507</v>
      </c>
      <c r="J51" s="97">
        <f>(J42+J45+J48)/3</f>
        <v>17.336153369198694</v>
      </c>
      <c r="M51" s="46">
        <f t="shared" si="0"/>
        <v>23.014007264681482</v>
      </c>
      <c r="N51" s="46">
        <f t="shared" si="5"/>
        <v>48</v>
      </c>
      <c r="O51" s="50">
        <f t="shared" si="1"/>
        <v>22.219101942444865</v>
      </c>
      <c r="P51" s="50">
        <f t="shared" si="2"/>
        <v>44.899328511057526</v>
      </c>
      <c r="Q51" s="50">
        <f t="shared" si="3"/>
        <v>45.233109207126347</v>
      </c>
    </row>
    <row r="52" spans="1:24">
      <c r="B52" s="46" t="str">
        <f t="shared" si="31"/>
        <v>Y</v>
      </c>
      <c r="C52" s="79"/>
      <c r="D52" s="46">
        <f t="shared" ref="D52:F53" si="33">(D43+D46+D49)/3</f>
        <v>7.2314263571410783E-2</v>
      </c>
      <c r="E52" s="46">
        <f t="shared" si="33"/>
        <v>1</v>
      </c>
      <c r="F52" s="46">
        <f t="shared" si="33"/>
        <v>-0.18140676268156775</v>
      </c>
      <c r="J52" s="97"/>
      <c r="M52" s="46">
        <f t="shared" si="0"/>
        <v>24.991148476513757</v>
      </c>
      <c r="N52" s="46">
        <f t="shared" si="5"/>
        <v>49</v>
      </c>
      <c r="O52" s="50">
        <f t="shared" si="1"/>
        <v>19.907267952154811</v>
      </c>
      <c r="P52" s="50">
        <f t="shared" si="2"/>
        <v>44.797418850950187</v>
      </c>
      <c r="Q52" s="50">
        <f t="shared" si="3"/>
        <v>44.898416428668568</v>
      </c>
    </row>
    <row r="53" spans="1:24" ht="15.75" thickBot="1">
      <c r="B53" s="46" t="str">
        <f t="shared" si="31"/>
        <v>Z</v>
      </c>
      <c r="C53" s="79"/>
      <c r="D53" s="46">
        <f t="shared" si="33"/>
        <v>-0.48398474622736631</v>
      </c>
      <c r="E53" s="46">
        <f t="shared" si="33"/>
        <v>0.4000547365171036</v>
      </c>
      <c r="F53" s="46">
        <f t="shared" si="33"/>
        <v>0.91550489996021545</v>
      </c>
      <c r="J53" s="100"/>
      <c r="M53" s="46">
        <f t="shared" si="0"/>
        <v>27.100075228978085</v>
      </c>
      <c r="N53" s="46">
        <f t="shared" si="5"/>
        <v>50</v>
      </c>
      <c r="O53" s="50">
        <f t="shared" si="1"/>
        <v>17.595433961864771</v>
      </c>
      <c r="P53" s="50">
        <f t="shared" si="2"/>
        <v>44.695509190842856</v>
      </c>
      <c r="Q53" s="50">
        <f t="shared" si="3"/>
        <v>44.563723650210804</v>
      </c>
    </row>
    <row r="54" spans="1:24">
      <c r="B54" s="79" t="s">
        <v>14</v>
      </c>
      <c r="C54" s="79"/>
      <c r="D54" s="19">
        <f>I54/$H$55</f>
        <v>0.22687047210786129</v>
      </c>
      <c r="E54" s="20">
        <f>H54/$H$55</f>
        <v>1.0111105529708175</v>
      </c>
      <c r="F54" s="21">
        <f>G54/$H$55</f>
        <v>-0.44191710256466943</v>
      </c>
      <c r="G54" s="46">
        <f t="array" ref="G54:I54">LINEST(D$31:D$39,$G$31:$I$39,FALSE)</f>
        <v>-7.6344308826635627</v>
      </c>
      <c r="H54" s="46">
        <v>17.467650802805984</v>
      </c>
      <c r="I54" s="46">
        <v>3.9193480600159769</v>
      </c>
      <c r="J54" s="98">
        <f>H55</f>
        <v>17.275708132491552</v>
      </c>
      <c r="M54" s="46">
        <f t="shared" si="0"/>
        <v>29.309999559160786</v>
      </c>
      <c r="N54" s="46">
        <f t="shared" si="5"/>
        <v>51</v>
      </c>
      <c r="O54" s="50">
        <f t="shared" si="1"/>
        <v>15.283599971574731</v>
      </c>
      <c r="P54" s="50">
        <f t="shared" si="2"/>
        <v>44.593599530735517</v>
      </c>
      <c r="Q54" s="50">
        <f t="shared" si="3"/>
        <v>44.229030871753025</v>
      </c>
    </row>
    <row r="55" spans="1:24" ht="15" customHeight="1">
      <c r="B55" s="79"/>
      <c r="C55" s="79"/>
      <c r="D55" s="22">
        <f>I55/$H$55</f>
        <v>6.8803918118337817E-2</v>
      </c>
      <c r="E55" s="18">
        <f>H55/$H$55</f>
        <v>1</v>
      </c>
      <c r="F55" s="23">
        <f>G55/$H$55</f>
        <v>-0.17340273468761069</v>
      </c>
      <c r="G55" s="46">
        <f t="array" ref="G55:I55">LINEST(E$31:E$39,$G$31:$I$39,FALSE)</f>
        <v>-2.9956550338390309</v>
      </c>
      <c r="H55" s="46">
        <v>17.275708132491552</v>
      </c>
      <c r="I55" s="46">
        <v>1.1886364077842515</v>
      </c>
      <c r="J55" s="98"/>
      <c r="M55" s="46">
        <f t="shared" si="0"/>
        <v>31.519923889343495</v>
      </c>
      <c r="N55" s="46">
        <f t="shared" si="5"/>
        <v>52</v>
      </c>
      <c r="O55" s="50">
        <f t="shared" si="1"/>
        <v>12.97176598128469</v>
      </c>
      <c r="P55" s="50">
        <f t="shared" si="2"/>
        <v>44.491689870628186</v>
      </c>
      <c r="Q55" s="50">
        <f t="shared" si="3"/>
        <v>43.894338093295254</v>
      </c>
    </row>
    <row r="56" spans="1:24" ht="15" customHeight="1" thickBot="1">
      <c r="B56" s="79"/>
      <c r="C56" s="79"/>
      <c r="D56" s="24">
        <f>I56/$H$55</f>
        <v>-0.47965661803698512</v>
      </c>
      <c r="E56" s="25">
        <f>H56/$H$55</f>
        <v>0.40355706911823702</v>
      </c>
      <c r="F56" s="26">
        <f>G56/$H$55</f>
        <v>0.90582262419843484</v>
      </c>
      <c r="G56" s="46">
        <f t="array" ref="G56:I56">LINEST(F$31:F$39,$G$31:$I$39,FALSE)</f>
        <v>15.64872727545974</v>
      </c>
      <c r="H56" s="46">
        <v>6.9717341408903826</v>
      </c>
      <c r="I56" s="46">
        <v>-8.2864077370249376</v>
      </c>
      <c r="J56" s="98"/>
      <c r="M56" s="46">
        <f t="shared" si="0"/>
        <v>33.729848219526218</v>
      </c>
      <c r="N56" s="46">
        <f t="shared" si="5"/>
        <v>53</v>
      </c>
      <c r="O56" s="50">
        <f t="shared" si="1"/>
        <v>10.659931990994636</v>
      </c>
      <c r="P56" s="50">
        <f t="shared" si="2"/>
        <v>44.389780210520854</v>
      </c>
      <c r="Q56" s="50">
        <f t="shared" si="3"/>
        <v>43.559645314837482</v>
      </c>
    </row>
    <row r="57" spans="1:24">
      <c r="M57" s="46">
        <f t="shared" si="0"/>
        <v>35.93977254970892</v>
      </c>
      <c r="N57" s="46">
        <f t="shared" si="5"/>
        <v>54</v>
      </c>
      <c r="O57" s="50">
        <f t="shared" si="1"/>
        <v>8.3480980007045957</v>
      </c>
      <c r="P57" s="50">
        <f t="shared" si="2"/>
        <v>44.287870550413516</v>
      </c>
      <c r="Q57" s="50">
        <f t="shared" si="3"/>
        <v>43.22495253637971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38.149696879891628</v>
      </c>
      <c r="N58" s="46">
        <f t="shared" si="5"/>
        <v>55</v>
      </c>
      <c r="O58" s="50">
        <f t="shared" si="1"/>
        <v>6.0362640104145555</v>
      </c>
      <c r="P58" s="50">
        <f t="shared" si="2"/>
        <v>44.185960890306184</v>
      </c>
      <c r="Q58" s="50">
        <f t="shared" si="3"/>
        <v>42.890259757921939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40.35962121007433</v>
      </c>
      <c r="N59" s="46">
        <f t="shared" si="5"/>
        <v>56</v>
      </c>
      <c r="O59" s="50">
        <f t="shared" si="1"/>
        <v>3.7244300201245153</v>
      </c>
      <c r="P59" s="50">
        <f t="shared" si="2"/>
        <v>44.084051230198845</v>
      </c>
      <c r="Q59" s="50">
        <f t="shared" si="3"/>
        <v>42.555566979464167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498.9</v>
      </c>
      <c r="E60" s="32">
        <f t="shared" ref="E60:E68" si="37">getCCTfromXY(D22/SUM(D22:F22),E22/SUM(D22:F22))</f>
        <v>2780</v>
      </c>
      <c r="F60" s="31">
        <f t="shared" ref="F60:F68" si="38">V60</f>
        <v>503.62339673963714</v>
      </c>
      <c r="G60" s="32">
        <f t="shared" ref="G60:G68" si="39">getCCTfromXY(U60/X60,V60/X60)</f>
        <v>2646</v>
      </c>
      <c r="H60" s="33">
        <f>F60/D60-1</f>
        <v>9.4676222482203976E-3</v>
      </c>
      <c r="I60" s="34">
        <f t="shared" ref="I60:I68" si="40">G60/E60-1</f>
        <v>-4.8201438848920808E-2</v>
      </c>
      <c r="M60" s="46">
        <f t="shared" si="0"/>
        <v>42.569545540257039</v>
      </c>
      <c r="N60" s="46">
        <f t="shared" si="5"/>
        <v>57</v>
      </c>
      <c r="O60" s="50">
        <f t="shared" si="1"/>
        <v>1.4125960298344751</v>
      </c>
      <c r="P60" s="50">
        <f t="shared" si="2"/>
        <v>43.982141570091514</v>
      </c>
      <c r="Q60" s="50">
        <f t="shared" si="3"/>
        <v>42.220874201006396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559.80595214294215</v>
      </c>
      <c r="V60" s="50">
        <f>$J$54*$J$31*($D$55*G22+$E$55*H22+$F$55*I22)</f>
        <v>503.62339673963714</v>
      </c>
      <c r="W60" s="50">
        <f>$J$54*$J$31*($D$56*G22+$E$56*H22+$F$56*I22)</f>
        <v>122.11166771684194</v>
      </c>
      <c r="X60" s="29">
        <f>SUM(U60:W60)</f>
        <v>1185.5410165994213</v>
      </c>
    </row>
    <row r="61" spans="1:24">
      <c r="A61" s="87"/>
      <c r="B61" s="48" t="str">
        <f t="shared" si="35"/>
        <v>CWF</v>
      </c>
      <c r="C61" s="93"/>
      <c r="D61" s="31">
        <f t="shared" si="36"/>
        <v>1198.5</v>
      </c>
      <c r="E61" s="32">
        <f t="shared" si="37"/>
        <v>3858</v>
      </c>
      <c r="F61" s="31">
        <f t="shared" si="38"/>
        <v>1196.3028872280042</v>
      </c>
      <c r="G61" s="32">
        <f t="shared" si="39"/>
        <v>3885</v>
      </c>
      <c r="H61" s="33">
        <f t="shared" ref="H61:H68" si="41">F61/D61-1</f>
        <v>-1.8332188335383748E-3</v>
      </c>
      <c r="I61" s="34">
        <f t="shared" si="40"/>
        <v>6.9984447900466318E-3</v>
      </c>
      <c r="M61" s="46">
        <f t="shared" si="0"/>
        <v>44.77946987043974</v>
      </c>
      <c r="N61" s="46">
        <f t="shared" si="5"/>
        <v>58</v>
      </c>
      <c r="O61" s="50">
        <f t="shared" si="1"/>
        <v>-0.89923796045556514</v>
      </c>
      <c r="P61" s="50">
        <f t="shared" si="2"/>
        <v>43.880231909984175</v>
      </c>
      <c r="Q61" s="50">
        <f t="shared" si="3"/>
        <v>41.886181422548617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1184.6033252224115</v>
      </c>
      <c r="V61" s="50">
        <f>$J$54*$J$31*($D$55*G23+$E$55*H23+$F$55*I23)</f>
        <v>1196.3028872280042</v>
      </c>
      <c r="W61" s="50">
        <f>$J$54*$J$31*($D$56*G23+$E$56*H23+$F$56*I23)</f>
        <v>648.64847288838848</v>
      </c>
      <c r="X61" s="29">
        <f t="shared" ref="X61:X68" si="43">SUM(U61:W61)</f>
        <v>3029.5546853388041</v>
      </c>
    </row>
    <row r="62" spans="1:24">
      <c r="A62" s="87"/>
      <c r="B62" s="48" t="str">
        <f t="shared" si="35"/>
        <v>D65</v>
      </c>
      <c r="C62" s="93"/>
      <c r="D62" s="31">
        <f t="shared" si="36"/>
        <v>571.90000000000009</v>
      </c>
      <c r="E62" s="32">
        <f t="shared" si="37"/>
        <v>6338</v>
      </c>
      <c r="F62" s="31">
        <f t="shared" si="38"/>
        <v>568.10788161470578</v>
      </c>
      <c r="G62" s="32">
        <f t="shared" si="39"/>
        <v>6323</v>
      </c>
      <c r="H62" s="33">
        <f t="shared" si="41"/>
        <v>-6.6307368163914804E-3</v>
      </c>
      <c r="I62" s="34">
        <f t="shared" si="40"/>
        <v>-2.3666771852319801E-3</v>
      </c>
      <c r="M62" s="46">
        <f t="shared" si="0"/>
        <v>46.989394200622449</v>
      </c>
      <c r="N62" s="46">
        <f t="shared" si="5"/>
        <v>59</v>
      </c>
      <c r="O62" s="50">
        <f t="shared" si="1"/>
        <v>-3.2110719507456054</v>
      </c>
      <c r="P62" s="50">
        <f t="shared" si="2"/>
        <v>43.778322249876844</v>
      </c>
      <c r="Q62" s="50">
        <f t="shared" si="3"/>
        <v>41.551488644090853</v>
      </c>
      <c r="R62" s="78"/>
      <c r="S62" s="46" t="str">
        <f t="shared" si="42"/>
        <v>D65</v>
      </c>
      <c r="T62" s="79"/>
      <c r="U62" s="50">
        <f>$J$54*$J$31*($D$54*G24+$E$54*H24+$F$54*I24)</f>
        <v>502.96835869015808</v>
      </c>
      <c r="V62" s="50">
        <f>$J$54*$J$31*($D$55*G24+$E$55*H24+$F$55*I24)</f>
        <v>568.10788161470578</v>
      </c>
      <c r="W62" s="50">
        <f>$J$54*$J$31*($D$56*G24+$E$56*H24+$F$56*I24)</f>
        <v>523.3929699602304</v>
      </c>
      <c r="X62" s="29">
        <f t="shared" si="43"/>
        <v>1594.4692102650943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498.9</v>
      </c>
      <c r="E63" s="32">
        <f t="shared" si="37"/>
        <v>2780</v>
      </c>
      <c r="F63" s="31">
        <f t="shared" si="38"/>
        <v>509.37147023302327</v>
      </c>
      <c r="G63" s="32">
        <f t="shared" si="39"/>
        <v>2781</v>
      </c>
      <c r="H63" s="33">
        <f t="shared" si="41"/>
        <v>2.0989116522395879E-2</v>
      </c>
      <c r="I63" s="34">
        <f t="shared" si="40"/>
        <v>3.5971223021591392E-4</v>
      </c>
      <c r="M63" s="46">
        <f t="shared" si="0"/>
        <v>49.199318530805186</v>
      </c>
      <c r="N63" s="46">
        <f t="shared" si="5"/>
        <v>60</v>
      </c>
      <c r="O63" s="50">
        <f t="shared" si="1"/>
        <v>-5.522905941035674</v>
      </c>
      <c r="P63" s="50">
        <f t="shared" si="2"/>
        <v>43.676412589769512</v>
      </c>
      <c r="Q63" s="50">
        <f t="shared" si="3"/>
        <v>41.216795865633074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558.25545762536365</v>
      </c>
      <c r="V63" s="50">
        <f>$J$54*$J$34*($D$55*G25+$E$55*H25+$F$55*I25)</f>
        <v>509.37147023302327</v>
      </c>
      <c r="W63" s="50">
        <f>$J$54*$J$34*($D$56*G25+$E$56*H25+$F$56*I25)</f>
        <v>148.94523010058043</v>
      </c>
      <c r="X63" s="29">
        <f t="shared" si="43"/>
        <v>1216.5721579589672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1198.5</v>
      </c>
      <c r="E64" s="32">
        <f t="shared" si="37"/>
        <v>3858</v>
      </c>
      <c r="F64" s="31">
        <f t="shared" si="38"/>
        <v>1182.3181479407783</v>
      </c>
      <c r="G64" s="32">
        <f t="shared" si="39"/>
        <v>3924</v>
      </c>
      <c r="H64" s="33">
        <f t="shared" si="41"/>
        <v>-1.350175390840358E-2</v>
      </c>
      <c r="I64" s="34">
        <f t="shared" si="40"/>
        <v>1.7107309486780631E-2</v>
      </c>
      <c r="M64" s="46">
        <f t="shared" si="0"/>
        <v>51.409242860987888</v>
      </c>
      <c r="N64" s="46">
        <f t="shared" si="5"/>
        <v>61</v>
      </c>
      <c r="O64" s="50">
        <f t="shared" si="1"/>
        <v>-7.8347399313257142</v>
      </c>
      <c r="P64" s="50">
        <f t="shared" si="2"/>
        <v>43.574502929662174</v>
      </c>
      <c r="Q64" s="50">
        <f t="shared" si="3"/>
        <v>40.882103087175309</v>
      </c>
      <c r="R64" s="78"/>
      <c r="S64" s="46" t="str">
        <f t="shared" si="42"/>
        <v>CWF</v>
      </c>
      <c r="T64" s="79"/>
      <c r="U64" s="50">
        <f>$J$54*$J$34*($D$54*G26+$E$54*H26+$F$54*I26)</f>
        <v>1168.1903117259978</v>
      </c>
      <c r="V64" s="50">
        <f>$J$54*$J$34*($D$55*G26+$E$55*H26+$F$55*I26)</f>
        <v>1182.3181479407783</v>
      </c>
      <c r="W64" s="50">
        <f>$J$54*$J$34*($D$56*G26+$E$56*H26+$F$56*I26)</f>
        <v>651.35720122795021</v>
      </c>
      <c r="X64" s="29">
        <f t="shared" si="43"/>
        <v>3001.8656608947263</v>
      </c>
    </row>
    <row r="65" spans="1:24">
      <c r="A65" s="87"/>
      <c r="B65" s="48" t="str">
        <f t="shared" si="35"/>
        <v>D65</v>
      </c>
      <c r="C65" s="93"/>
      <c r="D65" s="31">
        <f t="shared" si="36"/>
        <v>571.90000000000009</v>
      </c>
      <c r="E65" s="32">
        <f t="shared" si="37"/>
        <v>6338</v>
      </c>
      <c r="F65" s="31">
        <f t="shared" si="38"/>
        <v>576.33143973584617</v>
      </c>
      <c r="G65" s="32">
        <f t="shared" si="39"/>
        <v>6305</v>
      </c>
      <c r="H65" s="33">
        <f t="shared" si="41"/>
        <v>7.74862692052114E-3</v>
      </c>
      <c r="I65" s="34">
        <f t="shared" si="40"/>
        <v>-5.2066898075102674E-3</v>
      </c>
      <c r="M65" s="46">
        <f t="shared" si="0"/>
        <v>53.619167191170597</v>
      </c>
      <c r="N65" s="46">
        <f t="shared" si="5"/>
        <v>62</v>
      </c>
      <c r="O65" s="50">
        <f t="shared" si="1"/>
        <v>-10.146573921615754</v>
      </c>
      <c r="P65" s="50">
        <f t="shared" si="2"/>
        <v>43.472593269554842</v>
      </c>
      <c r="Q65" s="50">
        <f t="shared" si="3"/>
        <v>40.547410308717531</v>
      </c>
      <c r="R65" s="78"/>
      <c r="S65" s="46" t="str">
        <f t="shared" si="42"/>
        <v>D65</v>
      </c>
      <c r="T65" s="79"/>
      <c r="U65" s="50">
        <f>$J$54*$J$34*($D$54*G27+$E$54*H27+$F$54*I27)</f>
        <v>510.58002083232117</v>
      </c>
      <c r="V65" s="50">
        <f>$J$54*$J$34*($D$55*G27+$E$55*H27+$F$55*I27)</f>
        <v>576.33143973584617</v>
      </c>
      <c r="W65" s="50">
        <f>$J$54*$J$34*($D$56*G27+$E$56*H27+$F$56*I27)</f>
        <v>529.77276466746434</v>
      </c>
      <c r="X65" s="29">
        <f t="shared" si="43"/>
        <v>1616.6842252356316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498.9</v>
      </c>
      <c r="E66" s="32">
        <f t="shared" si="37"/>
        <v>2780</v>
      </c>
      <c r="F66" s="31">
        <f t="shared" si="38"/>
        <v>482.73919587313657</v>
      </c>
      <c r="G66" s="32">
        <f t="shared" si="39"/>
        <v>2946</v>
      </c>
      <c r="H66" s="33">
        <f t="shared" si="41"/>
        <v>-3.2392872573388298E-2</v>
      </c>
      <c r="I66" s="34">
        <f t="shared" si="40"/>
        <v>5.9712230215827278E-2</v>
      </c>
      <c r="M66" s="46">
        <f t="shared" si="0"/>
        <v>55.829091521353298</v>
      </c>
      <c r="N66" s="46">
        <f t="shared" si="5"/>
        <v>63</v>
      </c>
      <c r="O66" s="50">
        <f t="shared" si="1"/>
        <v>-12.458407911905795</v>
      </c>
      <c r="P66" s="50">
        <f t="shared" si="2"/>
        <v>43.370683609447504</v>
      </c>
      <c r="Q66" s="50">
        <f t="shared" si="3"/>
        <v>40.212717530259759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521.62837609653388</v>
      </c>
      <c r="V66" s="50">
        <f>$J$54*$J$37*($D$55*G28+$E$55*H28+$F$55*I28)</f>
        <v>482.73919587313657</v>
      </c>
      <c r="W66" s="50">
        <f>$J$54*$J$37*($D$56*G28+$E$56*H28+$F$56*I28)</f>
        <v>170.34089242440896</v>
      </c>
      <c r="X66" s="29">
        <f t="shared" si="43"/>
        <v>1174.7084643940796</v>
      </c>
    </row>
    <row r="67" spans="1:24">
      <c r="A67" s="87"/>
      <c r="B67" s="48" t="str">
        <f t="shared" si="35"/>
        <v>CWF</v>
      </c>
      <c r="C67" s="93"/>
      <c r="D67" s="31">
        <f t="shared" si="36"/>
        <v>1198.5</v>
      </c>
      <c r="E67" s="32">
        <f t="shared" si="37"/>
        <v>3858</v>
      </c>
      <c r="F67" s="31">
        <f t="shared" si="38"/>
        <v>1213.9847378269349</v>
      </c>
      <c r="G67" s="32">
        <f t="shared" si="39"/>
        <v>3789</v>
      </c>
      <c r="H67" s="33">
        <f t="shared" si="41"/>
        <v>1.2920098312002359E-2</v>
      </c>
      <c r="I67" s="34">
        <f t="shared" si="40"/>
        <v>-1.7884914463452528E-2</v>
      </c>
      <c r="R67" s="78"/>
      <c r="S67" s="46" t="str">
        <f t="shared" si="42"/>
        <v>CWF</v>
      </c>
      <c r="T67" s="79"/>
      <c r="U67" s="50">
        <f>$J$54*$J$37*($D$54*G29+$E$54*H29+$F$54*I29)</f>
        <v>1209.8813676412694</v>
      </c>
      <c r="V67" s="50">
        <f>$J$54*$J$37*($D$55*G29+$E$55*H29+$F$55*I29)</f>
        <v>1213.9847378269349</v>
      </c>
      <c r="W67" s="50">
        <f>$J$54*$J$37*($D$56*G29+$E$56*H29+$F$56*I29)</f>
        <v>633.95252046506437</v>
      </c>
      <c r="X67" s="29">
        <f t="shared" si="43"/>
        <v>3057.8186259332688</v>
      </c>
    </row>
    <row r="68" spans="1:24">
      <c r="A68" s="87"/>
      <c r="B68" s="48" t="str">
        <f t="shared" si="35"/>
        <v>D65</v>
      </c>
      <c r="C68" s="93"/>
      <c r="D68" s="31">
        <f t="shared" si="36"/>
        <v>571.90000000000009</v>
      </c>
      <c r="E68" s="32">
        <f t="shared" si="37"/>
        <v>6338</v>
      </c>
      <c r="F68" s="31">
        <f t="shared" si="38"/>
        <v>576.49914112540205</v>
      </c>
      <c r="G68" s="32">
        <f t="shared" si="39"/>
        <v>6201</v>
      </c>
      <c r="H68" s="33">
        <f t="shared" si="41"/>
        <v>8.0418624329461341E-3</v>
      </c>
      <c r="I68" s="34">
        <f t="shared" si="40"/>
        <v>-2.1615651625118359E-2</v>
      </c>
      <c r="R68" s="78"/>
      <c r="S68" s="46" t="str">
        <f t="shared" si="42"/>
        <v>D65</v>
      </c>
      <c r="T68" s="79"/>
      <c r="U68" s="50">
        <f>$J$54*$J$37*($D$54*G30+$E$54*H30+$F$54*I30)</f>
        <v>512.31262917262461</v>
      </c>
      <c r="V68" s="50">
        <f>$J$54*$J$37*($D$55*G30+$E$55*H30+$F$55*I30)</f>
        <v>576.49914112540205</v>
      </c>
      <c r="W68" s="50">
        <f>$J$54*$J$37*($D$56*G30+$E$56*H30+$F$56*I30)</f>
        <v>522.32177644205626</v>
      </c>
      <c r="X68" s="29">
        <f t="shared" si="43"/>
        <v>1611.1335467400829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3.2392872573388298E-2</v>
      </c>
      <c r="G69" s="47"/>
      <c r="H69" s="36" t="str">
        <f>I59</f>
        <v>CCT</v>
      </c>
      <c r="I69" s="38">
        <f>MAX(MAX(I60:I68,-MIN(I60:I68)))</f>
        <v>5.9712230215827278E-2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498.9</v>
      </c>
      <c r="E72" s="31">
        <f t="shared" ref="E72:E80" si="47">E60</f>
        <v>2780</v>
      </c>
      <c r="F72" s="31">
        <f t="shared" ref="F72:F80" si="48">V72</f>
        <v>505.05778544065691</v>
      </c>
      <c r="G72" s="32">
        <f t="shared" ref="G72:G80" si="49">getCCTfromXY(U72/X72,V72/X72)</f>
        <v>2639</v>
      </c>
      <c r="H72" s="33">
        <f>F72/D72-1</f>
        <v>1.2342724876041267E-2</v>
      </c>
      <c r="I72" s="34">
        <f t="shared" ref="I72:I80" si="50">G72/E72-1</f>
        <v>-5.071942446043165E-2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561.77286155115598</v>
      </c>
      <c r="V72" s="50">
        <f>$J$51*$J$31*($D$52*G22+$E$52*H22+$F$52*I22)</f>
        <v>505.05778544065691</v>
      </c>
      <c r="W72" s="50">
        <f>$J$51*$J$31*($D$53*G22+$E$53*H22+$F$53*I22)</f>
        <v>120.97684089168045</v>
      </c>
      <c r="X72" s="29">
        <f>SUM(U72:W72)</f>
        <v>1187.8074878834934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1198.5</v>
      </c>
      <c r="E73" s="31">
        <f t="shared" si="47"/>
        <v>3858</v>
      </c>
      <c r="F73" s="31">
        <f t="shared" si="48"/>
        <v>1198.4113653300587</v>
      </c>
      <c r="G73" s="32">
        <f t="shared" si="49"/>
        <v>3882</v>
      </c>
      <c r="H73" s="33">
        <f t="shared" ref="H73:H80" si="52">F73/D73-1</f>
        <v>-7.3954668286413394E-5</v>
      </c>
      <c r="I73" s="34">
        <f t="shared" si="50"/>
        <v>6.2208398133747345E-3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1186.9490274289085</v>
      </c>
      <c r="V73" s="50">
        <f t="shared" ref="V73:V74" si="55">$J$51*$J$31*($D$52*G23+$E$52*H23+$F$52*I23)</f>
        <v>1198.4113653300587</v>
      </c>
      <c r="W73" s="50">
        <f t="shared" ref="W73:W74" si="56">$J$51*$J$31*($D$53*G23+$E$53*H23+$F$53*I23)</f>
        <v>648.95163466077349</v>
      </c>
      <c r="X73" s="29">
        <f t="shared" ref="X73:X80" si="57">SUM(U73:W73)</f>
        <v>3034.3120274197408</v>
      </c>
    </row>
    <row r="74" spans="1:24">
      <c r="A74" s="87"/>
      <c r="B74" s="48" t="str">
        <f t="shared" si="46"/>
        <v>X</v>
      </c>
      <c r="C74" s="93"/>
      <c r="D74" s="31">
        <f t="shared" si="51"/>
        <v>571.90000000000009</v>
      </c>
      <c r="E74" s="31">
        <f t="shared" si="47"/>
        <v>6338</v>
      </c>
      <c r="F74" s="31">
        <f t="shared" si="48"/>
        <v>567.36269447383222</v>
      </c>
      <c r="G74" s="32">
        <f t="shared" si="49"/>
        <v>6378</v>
      </c>
      <c r="H74" s="33">
        <f t="shared" si="52"/>
        <v>-7.9337393358417385E-3</v>
      </c>
      <c r="I74" s="34">
        <f t="shared" si="50"/>
        <v>6.3111391606185396E-3</v>
      </c>
      <c r="R74" s="78"/>
      <c r="S74" s="46" t="str">
        <f t="shared" si="53"/>
        <v>D65</v>
      </c>
      <c r="T74" s="79"/>
      <c r="U74" s="50">
        <f t="shared" si="54"/>
        <v>501.29069663651046</v>
      </c>
      <c r="V74" s="50">
        <f t="shared" si="55"/>
        <v>567.36269447383222</v>
      </c>
      <c r="W74" s="50">
        <f t="shared" si="56"/>
        <v>526.27490293882386</v>
      </c>
      <c r="X74" s="29">
        <f t="shared" si="57"/>
        <v>1594.9282940491667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498.9</v>
      </c>
      <c r="E75" s="31">
        <f t="shared" si="47"/>
        <v>2780</v>
      </c>
      <c r="F75" s="31">
        <f t="shared" si="48"/>
        <v>510.64749229121742</v>
      </c>
      <c r="G75" s="32">
        <f t="shared" si="49"/>
        <v>2775</v>
      </c>
      <c r="H75" s="33">
        <f t="shared" si="52"/>
        <v>2.3546787514967749E-2</v>
      </c>
      <c r="I75" s="34">
        <f t="shared" si="50"/>
        <v>-1.7985611510791255E-3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559.96059666397923</v>
      </c>
      <c r="V75" s="50">
        <f>$J$51*$J$34*($D$52*G25+$E$52*H25+$F$52*I25)</f>
        <v>510.64749229121742</v>
      </c>
      <c r="W75" s="50">
        <f>$J$51*$J$34*($D$53*G25+$E$53*H25+$F$53*I25)</f>
        <v>148.09027620181618</v>
      </c>
      <c r="X75" s="29">
        <f t="shared" si="57"/>
        <v>1218.6983651570129</v>
      </c>
    </row>
    <row r="76" spans="1:24">
      <c r="A76" s="87"/>
      <c r="B76" s="48" t="str">
        <f t="shared" si="46"/>
        <v>Z</v>
      </c>
      <c r="C76" s="93"/>
      <c r="D76" s="31">
        <f t="shared" si="51"/>
        <v>1198.5</v>
      </c>
      <c r="E76" s="31">
        <f t="shared" si="47"/>
        <v>3858</v>
      </c>
      <c r="F76" s="31">
        <f t="shared" si="48"/>
        <v>1184.3086312809367</v>
      </c>
      <c r="G76" s="32">
        <f t="shared" si="49"/>
        <v>3921</v>
      </c>
      <c r="H76" s="33">
        <f t="shared" si="52"/>
        <v>-1.1840941776440017E-2</v>
      </c>
      <c r="I76" s="34">
        <f t="shared" si="50"/>
        <v>1.6329704510108956E-2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1170.3609244855588</v>
      </c>
      <c r="V76" s="50">
        <f t="shared" ref="V76:V77" si="59">$J$51*$J$34*($D$52*G26+$E$52*H26+$F$52*I26)</f>
        <v>1184.3086312809367</v>
      </c>
      <c r="W76" s="50">
        <f t="shared" ref="W76:W77" si="60">$J$51*$J$34*($D$53*G26+$E$53*H26+$F$53*I26)</f>
        <v>651.79724433146282</v>
      </c>
      <c r="X76" s="29">
        <f t="shared" si="57"/>
        <v>3006.4668000979582</v>
      </c>
    </row>
    <row r="77" spans="1:24">
      <c r="A77" s="87"/>
      <c r="B77" s="48" t="str">
        <f t="shared" si="46"/>
        <v>X</v>
      </c>
      <c r="C77" s="93"/>
      <c r="D77" s="31">
        <f t="shared" si="51"/>
        <v>571.90000000000009</v>
      </c>
      <c r="E77" s="31">
        <f t="shared" si="47"/>
        <v>6338</v>
      </c>
      <c r="F77" s="31">
        <f t="shared" si="48"/>
        <v>575.58516945409497</v>
      </c>
      <c r="G77" s="32">
        <f t="shared" si="49"/>
        <v>6359</v>
      </c>
      <c r="H77" s="33">
        <f t="shared" si="52"/>
        <v>6.4437304670308393E-3</v>
      </c>
      <c r="I77" s="34">
        <f t="shared" si="50"/>
        <v>3.3133480593248166E-3</v>
      </c>
      <c r="R77" s="78"/>
      <c r="S77" s="46" t="str">
        <f t="shared" si="53"/>
        <v>D65</v>
      </c>
      <c r="T77" s="79"/>
      <c r="U77" s="50">
        <f t="shared" si="58"/>
        <v>508.89358456539185</v>
      </c>
      <c r="V77" s="50">
        <f t="shared" si="59"/>
        <v>575.58516945409497</v>
      </c>
      <c r="W77" s="50">
        <f t="shared" si="60"/>
        <v>532.68120236793948</v>
      </c>
      <c r="X77" s="29">
        <f t="shared" si="57"/>
        <v>1617.1599563874263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498.9</v>
      </c>
      <c r="E78" s="31">
        <f t="shared" si="47"/>
        <v>2780</v>
      </c>
      <c r="F78" s="31">
        <f t="shared" si="48"/>
        <v>483.68958839258119</v>
      </c>
      <c r="G78" s="32">
        <f t="shared" si="49"/>
        <v>2941</v>
      </c>
      <c r="H78" s="33">
        <f t="shared" si="52"/>
        <v>-3.0487896587329755E-2</v>
      </c>
      <c r="I78" s="34">
        <f t="shared" si="50"/>
        <v>5.7913669064748152E-2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522.83397350388498</v>
      </c>
      <c r="V78" s="50">
        <f>$J$51*$J$37*($D$52*G28+$E$52*H28+$F$52*I28)</f>
        <v>483.68958839258119</v>
      </c>
      <c r="W78" s="50">
        <f>$J$51*$J$37*($D$53*G28+$E$53*H28+$F$53*I28)</f>
        <v>169.92322958657985</v>
      </c>
      <c r="X78" s="29">
        <f t="shared" si="57"/>
        <v>1176.4467914830461</v>
      </c>
    </row>
    <row r="79" spans="1:24">
      <c r="A79" s="87"/>
      <c r="B79" s="48" t="str">
        <f t="shared" si="46"/>
        <v>Z</v>
      </c>
      <c r="C79" s="93"/>
      <c r="D79" s="31">
        <f t="shared" si="51"/>
        <v>1198.5</v>
      </c>
      <c r="E79" s="31">
        <f t="shared" si="47"/>
        <v>3858</v>
      </c>
      <c r="F79" s="31">
        <f t="shared" si="48"/>
        <v>1216.2845087826358</v>
      </c>
      <c r="G79" s="32">
        <f t="shared" si="49"/>
        <v>3784</v>
      </c>
      <c r="H79" s="33">
        <f t="shared" si="52"/>
        <v>1.4838972701406661E-2</v>
      </c>
      <c r="I79" s="34">
        <f t="shared" si="50"/>
        <v>-1.9180922757905616E-2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1212.5234222009087</v>
      </c>
      <c r="V79" s="50">
        <f t="shared" ref="V79:V80" si="62">$J$51*$J$37*($D$52*G29+$E$52*H29+$F$52*I29)</f>
        <v>1216.2845087826358</v>
      </c>
      <c r="W79" s="50">
        <f t="shared" ref="W79:W80" si="63">$J$51*$J$37*($D$53*G29+$E$53*H29+$F$53*I29)</f>
        <v>633.98711226818875</v>
      </c>
      <c r="X79" s="29">
        <f t="shared" si="57"/>
        <v>3062.7950432517337</v>
      </c>
    </row>
    <row r="80" spans="1:24">
      <c r="A80" s="87"/>
      <c r="B80" s="48" t="str">
        <f t="shared" si="46"/>
        <v>X</v>
      </c>
      <c r="C80" s="93"/>
      <c r="D80" s="31">
        <f t="shared" si="51"/>
        <v>571.90000000000009</v>
      </c>
      <c r="E80" s="31">
        <f t="shared" si="47"/>
        <v>6338</v>
      </c>
      <c r="F80" s="31">
        <f t="shared" si="48"/>
        <v>575.83254452339406</v>
      </c>
      <c r="G80" s="32">
        <f t="shared" si="49"/>
        <v>6252</v>
      </c>
      <c r="H80" s="33">
        <f t="shared" si="52"/>
        <v>6.876279984951772E-3</v>
      </c>
      <c r="I80" s="34">
        <f t="shared" si="50"/>
        <v>-1.3568949195329805E-2</v>
      </c>
      <c r="R80" s="78"/>
      <c r="S80" s="46" t="str">
        <f t="shared" si="53"/>
        <v>D65</v>
      </c>
      <c r="T80" s="79"/>
      <c r="U80" s="50">
        <f t="shared" si="61"/>
        <v>510.75056569100769</v>
      </c>
      <c r="V80" s="50">
        <f t="shared" si="62"/>
        <v>575.83254452339406</v>
      </c>
      <c r="W80" s="50">
        <f t="shared" si="63"/>
        <v>525.11671284484987</v>
      </c>
      <c r="X80" s="29">
        <f t="shared" si="57"/>
        <v>1611.6998230592517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3.0487896587329755E-2</v>
      </c>
      <c r="G81" s="47"/>
      <c r="H81" s="36" t="str">
        <f>I71</f>
        <v>CCT</v>
      </c>
      <c r="I81" s="38">
        <f>MAX(MAX(I72:I80,-MIN(I72:I80)))</f>
        <v>5.7913669064748152E-2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498.9</v>
      </c>
      <c r="E84" s="31">
        <f t="shared" ref="E84:E92" si="67">E72</f>
        <v>2780</v>
      </c>
      <c r="F84" s="31">
        <f t="shared" ref="F84:F92" si="68">V84</f>
        <v>498.90000000000038</v>
      </c>
      <c r="G84" s="32">
        <f t="shared" ref="G84:G92" si="69">getCCTfromXY(U84/X84,V84/X84)</f>
        <v>2780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547.10000000000014</v>
      </c>
      <c r="V84" s="50">
        <f>$J$42*$J$31*($D$43*G22+$E$43*H22+$F$43*I22)</f>
        <v>498.90000000000038</v>
      </c>
      <c r="W84" s="50">
        <f>$J$42*$J$31*($D$44*G22+$E$44*H22+$F$44*I22)</f>
        <v>146.59999999999962</v>
      </c>
      <c r="X84" s="29">
        <f>SUM(U84:W84)</f>
        <v>1192.6000000000001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1198.5</v>
      </c>
      <c r="E85" s="31">
        <f t="shared" si="67"/>
        <v>3858</v>
      </c>
      <c r="F85" s="31">
        <f t="shared" si="68"/>
        <v>1198.4999999999998</v>
      </c>
      <c r="G85" s="32">
        <f t="shared" si="69"/>
        <v>3858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1189</v>
      </c>
      <c r="V85" s="50">
        <f t="shared" ref="V85:V86" si="75">$J$42*$J$31*($D$43*G23+$E$43*H23+$F$43*I23)</f>
        <v>1198.4999999999998</v>
      </c>
      <c r="W85" s="50">
        <f t="shared" ref="W85:W86" si="76">$J$42*$J$31*($D$44*G23+$E$44*H23+$F$44*I23)</f>
        <v>643.49999999999989</v>
      </c>
      <c r="X85" s="29">
        <f t="shared" ref="X85:X92" si="77">SUM(U85:W85)</f>
        <v>3031</v>
      </c>
    </row>
    <row r="86" spans="1:24">
      <c r="A86" s="87"/>
      <c r="B86" s="48">
        <f t="shared" si="66"/>
        <v>0</v>
      </c>
      <c r="C86" s="93"/>
      <c r="D86" s="31">
        <f t="shared" si="71"/>
        <v>571.90000000000009</v>
      </c>
      <c r="E86" s="31">
        <f t="shared" si="67"/>
        <v>6338</v>
      </c>
      <c r="F86" s="31">
        <f t="shared" si="68"/>
        <v>571.9000000000002</v>
      </c>
      <c r="G86" s="32">
        <f t="shared" si="69"/>
        <v>6338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505.89999999999992</v>
      </c>
      <c r="V86" s="50">
        <f t="shared" si="75"/>
        <v>571.9000000000002</v>
      </c>
      <c r="W86" s="50">
        <f t="shared" si="76"/>
        <v>527.6</v>
      </c>
      <c r="X86" s="29">
        <f t="shared" si="77"/>
        <v>1605.4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498.9</v>
      </c>
      <c r="E87" s="31">
        <f t="shared" si="67"/>
        <v>2780</v>
      </c>
      <c r="F87" s="31">
        <f t="shared" si="68"/>
        <v>498.90000000000009</v>
      </c>
      <c r="G87" s="32">
        <f t="shared" si="69"/>
        <v>2780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547.10000000000025</v>
      </c>
      <c r="V87" s="50">
        <f>$J$45*$J$34*($D$46*G25+$E$46*H25+$F$46*I25)</f>
        <v>498.90000000000009</v>
      </c>
      <c r="W87" s="50">
        <f>$J$45*$J$34*($D$47*G25+$E$47*H25+$F$47*I25)</f>
        <v>146.60000000000019</v>
      </c>
      <c r="X87" s="29">
        <f t="shared" si="77"/>
        <v>1192.6000000000006</v>
      </c>
    </row>
    <row r="88" spans="1:24">
      <c r="A88" s="87"/>
      <c r="B88" s="48">
        <f t="shared" si="66"/>
        <v>0</v>
      </c>
      <c r="C88" s="93"/>
      <c r="D88" s="31">
        <f t="shared" si="71"/>
        <v>1198.5</v>
      </c>
      <c r="E88" s="31">
        <f t="shared" si="67"/>
        <v>3858</v>
      </c>
      <c r="F88" s="31">
        <f t="shared" si="68"/>
        <v>1198.5000000000002</v>
      </c>
      <c r="G88" s="32">
        <f t="shared" si="69"/>
        <v>3858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1189</v>
      </c>
      <c r="V88" s="50">
        <f t="shared" ref="V88:V89" si="79">$J$45*$J$34*($D$46*G26+$E$46*H26+$F$46*I26)</f>
        <v>1198.5000000000002</v>
      </c>
      <c r="W88" s="50">
        <f t="shared" ref="W88:W89" si="80">$J$45*$J$34*($D$47*G26+$E$47*H26+$F$47*I26)</f>
        <v>643.49999999999989</v>
      </c>
      <c r="X88" s="29">
        <f t="shared" si="77"/>
        <v>3031</v>
      </c>
    </row>
    <row r="89" spans="1:24">
      <c r="A89" s="87"/>
      <c r="B89" s="48" t="str">
        <f t="shared" si="66"/>
        <v>A</v>
      </c>
      <c r="C89" s="93"/>
      <c r="D89" s="31">
        <f t="shared" si="71"/>
        <v>571.90000000000009</v>
      </c>
      <c r="E89" s="31">
        <f t="shared" si="67"/>
        <v>6338</v>
      </c>
      <c r="F89" s="31">
        <f t="shared" si="68"/>
        <v>571.90000000000009</v>
      </c>
      <c r="G89" s="32">
        <f t="shared" si="69"/>
        <v>6338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505.9</v>
      </c>
      <c r="V89" s="50">
        <f t="shared" si="79"/>
        <v>571.90000000000009</v>
      </c>
      <c r="W89" s="50">
        <f t="shared" si="80"/>
        <v>527.6</v>
      </c>
      <c r="X89" s="29">
        <f t="shared" si="77"/>
        <v>1605.4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498.9</v>
      </c>
      <c r="E90" s="31">
        <f t="shared" si="67"/>
        <v>2780</v>
      </c>
      <c r="F90" s="31">
        <f t="shared" si="68"/>
        <v>498.89999999999992</v>
      </c>
      <c r="G90" s="32">
        <f t="shared" si="69"/>
        <v>2780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547.09999999999991</v>
      </c>
      <c r="V90" s="50">
        <f>$J$48*$J$37*($D$49*G28+$E$49*H28+$F$49*I28)</f>
        <v>498.89999999999992</v>
      </c>
      <c r="W90" s="50">
        <f>$J$48*$J$37*($D$50*G28+$E$50*H28+$F$50*I28)</f>
        <v>146.60000000000034</v>
      </c>
      <c r="X90" s="29">
        <f t="shared" si="77"/>
        <v>1192.6000000000001</v>
      </c>
    </row>
    <row r="91" spans="1:24">
      <c r="A91" s="87"/>
      <c r="B91" s="48" t="str">
        <f t="shared" si="66"/>
        <v>D65</v>
      </c>
      <c r="C91" s="93"/>
      <c r="D91" s="31">
        <f t="shared" si="71"/>
        <v>1198.5</v>
      </c>
      <c r="E91" s="31">
        <f t="shared" si="67"/>
        <v>3858</v>
      </c>
      <c r="F91" s="31">
        <f t="shared" si="68"/>
        <v>1198.5</v>
      </c>
      <c r="G91" s="32">
        <f t="shared" si="69"/>
        <v>3858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1188.9999999999995</v>
      </c>
      <c r="V91" s="50">
        <f t="shared" ref="V91:V92" si="82">$J$48*$J$37*($D$49*G29+$E$49*H29+$F$49*I29)</f>
        <v>1198.5</v>
      </c>
      <c r="W91" s="50">
        <f t="shared" ref="W91:W92" si="83">$J$48*$J$37*($D$50*G29+$E$50*H29+$F$50*I29)</f>
        <v>643.50000000000011</v>
      </c>
      <c r="X91" s="29">
        <f t="shared" si="77"/>
        <v>3030.9999999999995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571.90000000000009</v>
      </c>
      <c r="E92" s="31">
        <f t="shared" si="67"/>
        <v>6338</v>
      </c>
      <c r="F92" s="31">
        <f t="shared" si="68"/>
        <v>571.90000000000009</v>
      </c>
      <c r="G92" s="32">
        <f t="shared" si="69"/>
        <v>6338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505.89999999999975</v>
      </c>
      <c r="V92" s="50">
        <f t="shared" si="82"/>
        <v>571.90000000000009</v>
      </c>
      <c r="W92" s="50">
        <f t="shared" si="83"/>
        <v>527.60000000000014</v>
      </c>
      <c r="X92" s="29">
        <f t="shared" si="77"/>
        <v>1605.3999999999999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2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2.4251244207895297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68.377641187483164</v>
      </c>
      <c r="N3" s="46">
        <v>0</v>
      </c>
      <c r="O3" s="50">
        <f>G$5-N3*G$7</f>
        <v>120.69920099875155</v>
      </c>
      <c r="P3" s="50">
        <f>H$5-N3*H$7</f>
        <v>52.321559811268394</v>
      </c>
      <c r="Q3" s="50">
        <f>I$5-N3*I$7</f>
        <v>61.944525972513397</v>
      </c>
    </row>
    <row r="4" spans="1:17">
      <c r="C4" s="46" t="s">
        <v>20</v>
      </c>
      <c r="D4" s="7">
        <v>534</v>
      </c>
      <c r="E4" s="7">
        <v>1201</v>
      </c>
      <c r="F4" s="7">
        <v>572.4</v>
      </c>
      <c r="G4" s="50">
        <f>AVERAGE(D4:F4)</f>
        <v>769.13333333333333</v>
      </c>
      <c r="H4" s="50">
        <f>G4</f>
        <v>769.13333333333333</v>
      </c>
      <c r="I4" s="50">
        <f>H4</f>
        <v>769.13333333333333</v>
      </c>
      <c r="K4" s="13" t="str">
        <f>linefmt("Compensation",B12)</f>
        <v>"Compensation",29,</v>
      </c>
      <c r="M4" s="46">
        <f t="shared" si="0"/>
        <v>66.042940180588843</v>
      </c>
      <c r="N4" s="46">
        <f>N3+1</f>
        <v>1</v>
      </c>
      <c r="O4" s="50">
        <f t="shared" ref="O4:O66" si="1">G$5-N4*G$7</f>
        <v>118.25064918851434</v>
      </c>
      <c r="P4" s="50">
        <f t="shared" ref="P4:P66" si="2">H$5-N4*H$7</f>
        <v>52.207709007925502</v>
      </c>
      <c r="Q4" s="50">
        <f t="shared" ref="Q4:Q66" si="3">I$5-N4*I$7</f>
        <v>61.582473729844452</v>
      </c>
    </row>
    <row r="5" spans="1:17">
      <c r="C5" s="46">
        <v>0</v>
      </c>
      <c r="D5" s="9">
        <v>83.8</v>
      </c>
      <c r="E5" s="9">
        <v>81.7</v>
      </c>
      <c r="F5" s="9">
        <v>46.1</v>
      </c>
      <c r="G5" s="50">
        <f>G$4/D$4*D5</f>
        <v>120.69920099875155</v>
      </c>
      <c r="H5" s="50">
        <f t="shared" ref="H5:I6" si="4">H$4/E$4*E5</f>
        <v>52.321559811268394</v>
      </c>
      <c r="I5" s="50">
        <f t="shared" si="4"/>
        <v>61.944525972513397</v>
      </c>
      <c r="K5" s="14" t="str">
        <f>linefmt("CardGain",J54)</f>
        <v>"CardGain",16.64002,</v>
      </c>
      <c r="M5" s="46">
        <f t="shared" si="0"/>
        <v>63.70823917369453</v>
      </c>
      <c r="N5" s="46">
        <f t="shared" ref="N5:N66" si="5">N4+1</f>
        <v>2</v>
      </c>
      <c r="O5" s="50">
        <f t="shared" si="1"/>
        <v>115.80209737827714</v>
      </c>
      <c r="P5" s="50">
        <f t="shared" si="2"/>
        <v>52.09385820458261</v>
      </c>
      <c r="Q5" s="50">
        <f t="shared" si="3"/>
        <v>61.220421487175507</v>
      </c>
    </row>
    <row r="6" spans="1:17">
      <c r="B6" s="50">
        <f>D5/4</f>
        <v>20.95</v>
      </c>
      <c r="C6" s="7">
        <v>36</v>
      </c>
      <c r="D6" s="9">
        <v>22.6</v>
      </c>
      <c r="E6" s="9">
        <v>75.3</v>
      </c>
      <c r="F6" s="9">
        <v>36.4</v>
      </c>
      <c r="G6" s="50">
        <f>G$4/D$4*D6</f>
        <v>32.551335830212238</v>
      </c>
      <c r="H6" s="50">
        <f t="shared" si="4"/>
        <v>48.222930890924232</v>
      </c>
      <c r="I6" s="50">
        <f t="shared" si="4"/>
        <v>48.910645236431399</v>
      </c>
      <c r="K6" s="14" t="str">
        <f>linefmt("Range",1,J34,J37)</f>
        <v>"Range",1,0.9200513,0.973976,</v>
      </c>
      <c r="M6" s="46">
        <f t="shared" si="0"/>
        <v>61.373538166800238</v>
      </c>
      <c r="N6" s="46">
        <f t="shared" si="5"/>
        <v>3</v>
      </c>
      <c r="O6" s="50">
        <f t="shared" si="1"/>
        <v>113.35354556803995</v>
      </c>
      <c r="P6" s="50">
        <f t="shared" si="2"/>
        <v>51.98000740123971</v>
      </c>
      <c r="Q6" s="50">
        <f t="shared" si="3"/>
        <v>60.858369244506562</v>
      </c>
    </row>
    <row r="7" spans="1:17">
      <c r="C7" s="46">
        <f>C5</f>
        <v>0</v>
      </c>
      <c r="D7" s="46">
        <f t="shared" ref="D7:F8" si="6">D$4/D5</f>
        <v>6.3723150357995229</v>
      </c>
      <c r="E7" s="46">
        <f t="shared" si="6"/>
        <v>14.700122399020808</v>
      </c>
      <c r="F7" s="46">
        <f t="shared" si="6"/>
        <v>12.416485900216919</v>
      </c>
      <c r="G7" s="49">
        <f>(G5-G6)/($C6-$C5)</f>
        <v>2.4485518102372033</v>
      </c>
      <c r="H7" s="49">
        <f t="shared" ref="H7:I7" si="7">(H5-H6)/($C6-$C5)</f>
        <v>0.11385080334289338</v>
      </c>
      <c r="I7" s="49">
        <f t="shared" si="7"/>
        <v>0.36205224266894437</v>
      </c>
      <c r="K7" s="14" t="str">
        <f>linefmt("CCM" )</f>
        <v>"CCM",</v>
      </c>
      <c r="M7" s="46">
        <f t="shared" si="0"/>
        <v>59.038837159905924</v>
      </c>
      <c r="N7" s="46">
        <f t="shared" si="5"/>
        <v>4</v>
      </c>
      <c r="O7" s="50">
        <f t="shared" si="1"/>
        <v>110.90499375780274</v>
      </c>
      <c r="P7" s="50">
        <f t="shared" si="2"/>
        <v>51.866156597896818</v>
      </c>
      <c r="Q7" s="50">
        <f t="shared" si="3"/>
        <v>60.496317001837618</v>
      </c>
    </row>
    <row r="8" spans="1:17">
      <c r="C8" s="46">
        <f>C6</f>
        <v>36</v>
      </c>
      <c r="D8" s="46">
        <f t="shared" si="6"/>
        <v>23.628318584070794</v>
      </c>
      <c r="E8" s="46">
        <f t="shared" si="6"/>
        <v>15.949535192563081</v>
      </c>
      <c r="F8" s="46">
        <f t="shared" si="6"/>
        <v>15.725274725274724</v>
      </c>
      <c r="K8" s="15" t="str">
        <f>linefmt("",D54,E54,F54)</f>
        <v>0.1765849,1.05867,-0.4773026,</v>
      </c>
      <c r="M8" s="46">
        <f t="shared" si="0"/>
        <v>56.704136153011611</v>
      </c>
      <c r="N8" s="46">
        <f t="shared" si="5"/>
        <v>5</v>
      </c>
      <c r="O8" s="50">
        <f t="shared" si="1"/>
        <v>108.45644194756554</v>
      </c>
      <c r="P8" s="50">
        <f t="shared" si="2"/>
        <v>51.752305794553926</v>
      </c>
      <c r="Q8" s="50">
        <f t="shared" si="3"/>
        <v>60.134264759168673</v>
      </c>
    </row>
    <row r="9" spans="1:17">
      <c r="C9" s="46" t="s">
        <v>23</v>
      </c>
      <c r="D9" s="46">
        <f>(D8-D7)/($C8-$C7)</f>
        <v>0.47933343189642419</v>
      </c>
      <c r="E9" s="46">
        <f>(E8-E7)/($C8-$C7)</f>
        <v>3.4705910931729811E-2</v>
      </c>
      <c r="F9" s="46">
        <f>(F8-F7)/($C8-$C7)</f>
        <v>9.1910800696050135E-2</v>
      </c>
      <c r="K9" s="15" t="str">
        <f>linefmt("",D55,E55,F55)</f>
        <v>5.161368E-02,1,-0.1703923,</v>
      </c>
      <c r="M9" s="46">
        <f t="shared" si="0"/>
        <v>54.369435146117297</v>
      </c>
      <c r="N9" s="46">
        <f t="shared" si="5"/>
        <v>6</v>
      </c>
      <c r="O9" s="50">
        <f t="shared" si="1"/>
        <v>106.00789013732833</v>
      </c>
      <c r="P9" s="50">
        <f t="shared" si="2"/>
        <v>51.638454991211034</v>
      </c>
      <c r="Q9" s="50">
        <f t="shared" si="3"/>
        <v>59.772212516499728</v>
      </c>
    </row>
    <row r="10" spans="1:17">
      <c r="K10" s="16" t="str">
        <f>linefmt("",D56,E56,F56)</f>
        <v>-0.380932,0.2618975,1.020753,</v>
      </c>
      <c r="M10" s="46">
        <f t="shared" si="0"/>
        <v>52.034734139222984</v>
      </c>
      <c r="N10" s="46">
        <f t="shared" si="5"/>
        <v>7</v>
      </c>
      <c r="O10" s="50">
        <f t="shared" si="1"/>
        <v>103.55933832709113</v>
      </c>
      <c r="P10" s="50">
        <f t="shared" si="2"/>
        <v>51.524604187868142</v>
      </c>
      <c r="Q10" s="50">
        <f t="shared" si="3"/>
        <v>59.410160273830783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49.700033132328677</v>
      </c>
      <c r="N11" s="46">
        <f t="shared" si="5"/>
        <v>8</v>
      </c>
      <c r="O11" s="50">
        <f t="shared" si="1"/>
        <v>101.11078651685392</v>
      </c>
      <c r="P11" s="50">
        <f t="shared" si="2"/>
        <v>51.410753384525243</v>
      </c>
      <c r="Q11" s="50">
        <f t="shared" si="3"/>
        <v>59.048108031161838</v>
      </c>
    </row>
    <row r="12" spans="1:17">
      <c r="A12" s="46" t="s">
        <v>16</v>
      </c>
      <c r="B12" s="10">
        <f>MATCH(M2,M3:M66,0)-1</f>
        <v>29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Compensation=29</v>
      </c>
      <c r="M12" s="46">
        <f t="shared" si="0"/>
        <v>47.365332125434364</v>
      </c>
      <c r="N12" s="46">
        <f t="shared" si="5"/>
        <v>9</v>
      </c>
      <c r="O12" s="50">
        <f t="shared" si="1"/>
        <v>98.662234706616715</v>
      </c>
      <c r="P12" s="50">
        <f t="shared" si="2"/>
        <v>51.296902581182351</v>
      </c>
      <c r="Q12" s="50">
        <f t="shared" si="3"/>
        <v>58.686055788492894</v>
      </c>
    </row>
    <row r="13" spans="1:17">
      <c r="A13" s="78" t="s">
        <v>12</v>
      </c>
      <c r="B13" s="79" t="s">
        <v>0</v>
      </c>
      <c r="C13" s="46">
        <v>0</v>
      </c>
      <c r="D13" s="7">
        <v>565</v>
      </c>
      <c r="E13" s="7">
        <v>522</v>
      </c>
      <c r="F13" s="7">
        <v>154</v>
      </c>
      <c r="G13" s="8">
        <v>81.7</v>
      </c>
      <c r="H13" s="8">
        <v>32.799999999999997</v>
      </c>
      <c r="I13" s="8">
        <v>32.799999999999997</v>
      </c>
      <c r="M13" s="46">
        <f t="shared" si="0"/>
        <v>45.03063111854005</v>
      </c>
      <c r="N13" s="46">
        <f t="shared" si="5"/>
        <v>10</v>
      </c>
      <c r="O13" s="50">
        <f t="shared" si="1"/>
        <v>96.21368289637951</v>
      </c>
      <c r="P13" s="50">
        <f t="shared" si="2"/>
        <v>51.183051777839459</v>
      </c>
      <c r="Q13" s="50">
        <f t="shared" si="3"/>
        <v>58.324003545823956</v>
      </c>
    </row>
    <row r="14" spans="1:17">
      <c r="A14" s="78"/>
      <c r="B14" s="79"/>
      <c r="C14" s="46">
        <f>C13+1</f>
        <v>1</v>
      </c>
      <c r="D14" s="7">
        <v>567</v>
      </c>
      <c r="E14" s="7">
        <v>524</v>
      </c>
      <c r="F14" s="7">
        <v>154</v>
      </c>
      <c r="G14" s="8">
        <v>87</v>
      </c>
      <c r="H14" s="8">
        <v>36.299999999999997</v>
      </c>
      <c r="I14" s="8">
        <v>36.299999999999997</v>
      </c>
      <c r="M14" s="46">
        <f t="shared" si="0"/>
        <v>42.695930111645751</v>
      </c>
      <c r="N14" s="46">
        <f t="shared" si="5"/>
        <v>11</v>
      </c>
      <c r="O14" s="50">
        <f t="shared" si="1"/>
        <v>93.765131086142318</v>
      </c>
      <c r="P14" s="50">
        <f t="shared" si="2"/>
        <v>51.069200974496567</v>
      </c>
      <c r="Q14" s="50">
        <f t="shared" si="3"/>
        <v>57.961951303155011</v>
      </c>
    </row>
    <row r="15" spans="1:17">
      <c r="A15" s="78"/>
      <c r="B15" s="79"/>
      <c r="C15" s="46">
        <f>C14+1</f>
        <v>2</v>
      </c>
      <c r="D15" s="6">
        <f>2*(D13-D14)/(D13+D14)</f>
        <v>-3.5335689045936395E-3</v>
      </c>
      <c r="E15" s="6">
        <f t="shared" ref="E15:F15" si="8">2*(E13-E14)/(E13+E14)</f>
        <v>-3.8240917782026767E-3</v>
      </c>
      <c r="F15" s="6">
        <f t="shared" si="8"/>
        <v>0</v>
      </c>
      <c r="G15" s="8">
        <v>94.9</v>
      </c>
      <c r="H15" s="8">
        <v>32.6</v>
      </c>
      <c r="I15" s="8">
        <v>32.5</v>
      </c>
      <c r="M15" s="46">
        <f t="shared" si="0"/>
        <v>40.361229104751438</v>
      </c>
      <c r="N15" s="46">
        <f t="shared" si="5"/>
        <v>12</v>
      </c>
      <c r="O15" s="50">
        <f t="shared" si="1"/>
        <v>91.316579275905113</v>
      </c>
      <c r="P15" s="50">
        <f t="shared" si="2"/>
        <v>50.955350171153675</v>
      </c>
      <c r="Q15" s="50">
        <f t="shared" si="3"/>
        <v>57.599899060486067</v>
      </c>
    </row>
    <row r="16" spans="1:17">
      <c r="A16" s="78"/>
      <c r="B16" s="79" t="s">
        <v>1</v>
      </c>
      <c r="C16" s="46">
        <f>C13</f>
        <v>0</v>
      </c>
      <c r="D16" s="7">
        <v>1204</v>
      </c>
      <c r="E16" s="7">
        <v>1213</v>
      </c>
      <c r="F16" s="7">
        <v>652</v>
      </c>
      <c r="G16" s="8">
        <v>66.7</v>
      </c>
      <c r="H16" s="8">
        <v>77.099999999999994</v>
      </c>
      <c r="I16" s="8">
        <v>42.5</v>
      </c>
      <c r="M16" s="46">
        <f t="shared" si="0"/>
        <v>38.026528097857131</v>
      </c>
      <c r="N16" s="46">
        <f t="shared" si="5"/>
        <v>13</v>
      </c>
      <c r="O16" s="50">
        <f t="shared" si="1"/>
        <v>88.868027465667907</v>
      </c>
      <c r="P16" s="50">
        <f t="shared" si="2"/>
        <v>50.841499367810776</v>
      </c>
      <c r="Q16" s="50">
        <f t="shared" si="3"/>
        <v>57.237846817817122</v>
      </c>
    </row>
    <row r="17" spans="1:21">
      <c r="A17" s="78"/>
      <c r="B17" s="79"/>
      <c r="C17" s="46">
        <f t="shared" ref="C17:C21" si="9">C14</f>
        <v>1</v>
      </c>
      <c r="D17" s="7">
        <v>1205</v>
      </c>
      <c r="E17" s="7">
        <v>1214</v>
      </c>
      <c r="F17" s="7">
        <v>652</v>
      </c>
      <c r="G17" s="8">
        <v>71.8</v>
      </c>
      <c r="H17" s="8">
        <v>82.7</v>
      </c>
      <c r="I17" s="8">
        <v>46.8</v>
      </c>
      <c r="M17" s="46">
        <f t="shared" si="0"/>
        <v>35.691827090962818</v>
      </c>
      <c r="N17" s="46">
        <f t="shared" si="5"/>
        <v>14</v>
      </c>
      <c r="O17" s="50">
        <f t="shared" si="1"/>
        <v>86.419475655430702</v>
      </c>
      <c r="P17" s="50">
        <f t="shared" si="2"/>
        <v>50.727648564467884</v>
      </c>
      <c r="Q17" s="50">
        <f t="shared" si="3"/>
        <v>56.875794575148177</v>
      </c>
    </row>
    <row r="18" spans="1:21">
      <c r="A18" s="78"/>
      <c r="B18" s="79"/>
      <c r="C18" s="46">
        <f t="shared" si="9"/>
        <v>2</v>
      </c>
      <c r="D18" s="6">
        <f>2*(D16-D17)/(D16+D17)</f>
        <v>-8.3022000830220008E-4</v>
      </c>
      <c r="E18" s="6">
        <f t="shared" ref="E18:F18" si="10">2*(E16-E17)/(E16+E17)</f>
        <v>-8.2406262875978574E-4</v>
      </c>
      <c r="F18" s="6">
        <f t="shared" si="10"/>
        <v>0</v>
      </c>
      <c r="G18" s="8">
        <v>62.4</v>
      </c>
      <c r="H18" s="8">
        <v>79.599999999999994</v>
      </c>
      <c r="I18" s="8">
        <v>44.2</v>
      </c>
      <c r="M18" s="46">
        <f t="shared" si="0"/>
        <v>33.357126084068518</v>
      </c>
      <c r="N18" s="46">
        <f t="shared" si="5"/>
        <v>15</v>
      </c>
      <c r="O18" s="50">
        <f t="shared" si="1"/>
        <v>83.970923845193511</v>
      </c>
      <c r="P18" s="50">
        <f t="shared" si="2"/>
        <v>50.613797761124992</v>
      </c>
      <c r="Q18" s="50">
        <f t="shared" si="3"/>
        <v>56.513742332479232</v>
      </c>
    </row>
    <row r="19" spans="1:21">
      <c r="A19" s="78"/>
      <c r="B19" s="79" t="s">
        <v>2</v>
      </c>
      <c r="C19" s="46">
        <f t="shared" si="9"/>
        <v>0</v>
      </c>
      <c r="D19" s="7">
        <v>509</v>
      </c>
      <c r="E19" s="7">
        <v>575.9</v>
      </c>
      <c r="F19" s="7">
        <v>530.5</v>
      </c>
      <c r="G19" s="8">
        <v>27.3</v>
      </c>
      <c r="H19" s="8">
        <v>38.4</v>
      </c>
      <c r="I19" s="8">
        <v>31.1</v>
      </c>
      <c r="M19" s="46">
        <f t="shared" si="0"/>
        <v>31.022425077174205</v>
      </c>
      <c r="N19" s="46">
        <f t="shared" si="5"/>
        <v>16</v>
      </c>
      <c r="O19" s="50">
        <f t="shared" si="1"/>
        <v>81.522372034956305</v>
      </c>
      <c r="P19" s="50">
        <f t="shared" si="2"/>
        <v>50.4999469577821</v>
      </c>
      <c r="Q19" s="50">
        <f t="shared" si="3"/>
        <v>56.151690089810288</v>
      </c>
    </row>
    <row r="20" spans="1:21">
      <c r="A20" s="78"/>
      <c r="B20" s="79"/>
      <c r="C20" s="46">
        <f t="shared" si="9"/>
        <v>1</v>
      </c>
      <c r="D20" s="7">
        <v>510.9</v>
      </c>
      <c r="E20" s="7">
        <v>577.6</v>
      </c>
      <c r="F20" s="7">
        <v>530.79999999999995</v>
      </c>
      <c r="G20" s="8">
        <v>30.2</v>
      </c>
      <c r="H20" s="8">
        <v>42.4</v>
      </c>
      <c r="I20" s="8">
        <v>34.299999999999997</v>
      </c>
      <c r="M20" s="46">
        <f t="shared" si="0"/>
        <v>28.687724070279891</v>
      </c>
      <c r="N20" s="46">
        <f t="shared" si="5"/>
        <v>17</v>
      </c>
      <c r="O20" s="50">
        <f t="shared" si="1"/>
        <v>79.0738202247191</v>
      </c>
      <c r="P20" s="50">
        <f t="shared" si="2"/>
        <v>50.386096154439208</v>
      </c>
      <c r="Q20" s="50">
        <f t="shared" si="3"/>
        <v>55.789637847141343</v>
      </c>
    </row>
    <row r="21" spans="1:21">
      <c r="A21" s="78"/>
      <c r="B21" s="79"/>
      <c r="C21" s="46">
        <f t="shared" si="9"/>
        <v>2</v>
      </c>
      <c r="D21" s="6">
        <f>2*(D19-D20)/(D19+D20)</f>
        <v>-3.725855476027017E-3</v>
      </c>
      <c r="E21" s="6">
        <f t="shared" ref="E21:F21" si="11">2*(E19-E20)/(E19+E20)</f>
        <v>-2.9475509319463293E-3</v>
      </c>
      <c r="F21" s="6">
        <f t="shared" si="11"/>
        <v>-5.6534438895685388E-4</v>
      </c>
      <c r="G21" s="8">
        <v>26.2</v>
      </c>
      <c r="H21" s="8">
        <v>39</v>
      </c>
      <c r="I21" s="8">
        <v>30.5</v>
      </c>
      <c r="M21" s="46">
        <f t="shared" si="0"/>
        <v>26.353023063385578</v>
      </c>
      <c r="N21" s="46">
        <f t="shared" si="5"/>
        <v>18</v>
      </c>
      <c r="O21" s="50">
        <f t="shared" si="1"/>
        <v>76.625268414481894</v>
      </c>
      <c r="P21" s="50">
        <f t="shared" si="2"/>
        <v>50.272245351096316</v>
      </c>
      <c r="Q21" s="50">
        <f t="shared" si="3"/>
        <v>55.427585604472398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566</v>
      </c>
      <c r="E22" s="46">
        <f t="shared" ref="E22:F22" si="12">(E13+E14)/2</f>
        <v>523</v>
      </c>
      <c r="F22" s="46">
        <f t="shared" si="12"/>
        <v>154</v>
      </c>
      <c r="G22" s="5">
        <f>G13</f>
        <v>81.7</v>
      </c>
      <c r="H22" s="5">
        <f t="shared" ref="H22:I22" si="13">H13</f>
        <v>32.799999999999997</v>
      </c>
      <c r="I22" s="5">
        <f t="shared" si="13"/>
        <v>32.799999999999997</v>
      </c>
      <c r="J22" s="99">
        <f>AVERAGE(G22:I24)</f>
        <v>47.822222222222223</v>
      </c>
      <c r="M22" s="46">
        <f t="shared" si="0"/>
        <v>24.018322056491272</v>
      </c>
      <c r="N22" s="46">
        <f t="shared" si="5"/>
        <v>19</v>
      </c>
      <c r="O22" s="50">
        <f t="shared" si="1"/>
        <v>74.176716604244689</v>
      </c>
      <c r="P22" s="50">
        <f t="shared" si="2"/>
        <v>50.158394547753417</v>
      </c>
      <c r="Q22" s="50">
        <f t="shared" si="3"/>
        <v>55.065533361803453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1204.5</v>
      </c>
      <c r="E23" s="46">
        <f>(E16+E17)/2</f>
        <v>1213.5</v>
      </c>
      <c r="F23" s="46">
        <f>(F16+F17)/2</f>
        <v>652</v>
      </c>
      <c r="G23" s="5">
        <f>G16</f>
        <v>66.7</v>
      </c>
      <c r="H23" s="5">
        <f>H16</f>
        <v>77.099999999999994</v>
      </c>
      <c r="I23" s="5">
        <f>I16</f>
        <v>42.5</v>
      </c>
      <c r="J23" s="99"/>
      <c r="M23" s="46">
        <f t="shared" si="0"/>
        <v>21.683621049596958</v>
      </c>
      <c r="N23" s="46">
        <f t="shared" si="5"/>
        <v>20</v>
      </c>
      <c r="O23" s="50">
        <f t="shared" si="1"/>
        <v>71.728164794007483</v>
      </c>
      <c r="P23" s="50">
        <f t="shared" si="2"/>
        <v>50.044543744410525</v>
      </c>
      <c r="Q23" s="50">
        <f t="shared" si="3"/>
        <v>54.703481119134509</v>
      </c>
    </row>
    <row r="24" spans="1:21">
      <c r="A24" s="78"/>
      <c r="B24" s="46" t="str">
        <f>B19</f>
        <v>D65</v>
      </c>
      <c r="C24" s="79"/>
      <c r="D24" s="46">
        <f>(D19+D20)/2</f>
        <v>509.95</v>
      </c>
      <c r="E24" s="46">
        <f>(E19+E20)/2</f>
        <v>576.75</v>
      </c>
      <c r="F24" s="46">
        <f>(F19+F20)/2</f>
        <v>530.65</v>
      </c>
      <c r="G24" s="5">
        <f>G19</f>
        <v>27.3</v>
      </c>
      <c r="H24" s="5">
        <f>H19</f>
        <v>38.4</v>
      </c>
      <c r="I24" s="5">
        <f>I19</f>
        <v>31.1</v>
      </c>
      <c r="J24" s="99"/>
      <c r="M24" s="46">
        <f t="shared" si="0"/>
        <v>19.348920042702645</v>
      </c>
      <c r="N24" s="46">
        <f t="shared" si="5"/>
        <v>21</v>
      </c>
      <c r="O24" s="50">
        <f t="shared" si="1"/>
        <v>69.279612983770278</v>
      </c>
      <c r="P24" s="50">
        <f t="shared" si="2"/>
        <v>49.930692941067633</v>
      </c>
      <c r="Q24" s="50">
        <f t="shared" si="3"/>
        <v>54.341428876465564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566</v>
      </c>
      <c r="E25" s="46">
        <f t="shared" ref="E25:F25" si="15">(E13+E14)/2</f>
        <v>523</v>
      </c>
      <c r="F25" s="46">
        <f t="shared" si="15"/>
        <v>154</v>
      </c>
      <c r="G25" s="5">
        <f t="shared" ref="G25:I25" si="16">G14</f>
        <v>87</v>
      </c>
      <c r="H25" s="5">
        <f t="shared" si="16"/>
        <v>36.299999999999997</v>
      </c>
      <c r="I25" s="5">
        <f t="shared" si="16"/>
        <v>36.299999999999997</v>
      </c>
      <c r="J25" s="99">
        <f>AVERAGE(G25:I27)</f>
        <v>51.977777777777774</v>
      </c>
      <c r="M25" s="46">
        <f t="shared" si="0"/>
        <v>17.014219035808331</v>
      </c>
      <c r="N25" s="46">
        <f t="shared" si="5"/>
        <v>22</v>
      </c>
      <c r="O25" s="50">
        <f t="shared" si="1"/>
        <v>66.831061173533072</v>
      </c>
      <c r="P25" s="50">
        <f t="shared" si="2"/>
        <v>49.816842137724741</v>
      </c>
      <c r="Q25" s="50">
        <f t="shared" si="3"/>
        <v>53.979376633796619</v>
      </c>
    </row>
    <row r="26" spans="1:21">
      <c r="A26" s="78"/>
      <c r="B26" s="46" t="str">
        <f>B16</f>
        <v>CWF</v>
      </c>
      <c r="C26" s="79"/>
      <c r="D26" s="46">
        <f>(D16+D17)/2</f>
        <v>1204.5</v>
      </c>
      <c r="E26" s="46">
        <f>(E16+E17)/2</f>
        <v>1213.5</v>
      </c>
      <c r="F26" s="46">
        <f>(F16+F17)/2</f>
        <v>652</v>
      </c>
      <c r="G26" s="5">
        <f>G17</f>
        <v>71.8</v>
      </c>
      <c r="H26" s="5">
        <f>H17</f>
        <v>82.7</v>
      </c>
      <c r="I26" s="5">
        <f>I17</f>
        <v>46.8</v>
      </c>
      <c r="J26" s="99"/>
      <c r="M26" s="46">
        <f t="shared" si="0"/>
        <v>14.679518028914018</v>
      </c>
      <c r="N26" s="46">
        <f t="shared" si="5"/>
        <v>23</v>
      </c>
      <c r="O26" s="50">
        <f t="shared" si="1"/>
        <v>64.382509363295867</v>
      </c>
      <c r="P26" s="50">
        <f t="shared" si="2"/>
        <v>49.702991334381849</v>
      </c>
      <c r="Q26" s="50">
        <f t="shared" si="3"/>
        <v>53.617324391127674</v>
      </c>
    </row>
    <row r="27" spans="1:21">
      <c r="A27" s="78"/>
      <c r="B27" s="46" t="str">
        <f>B19</f>
        <v>D65</v>
      </c>
      <c r="C27" s="79"/>
      <c r="D27" s="46">
        <f>(D19+D20)/2</f>
        <v>509.95</v>
      </c>
      <c r="E27" s="46">
        <f>(E19+E20)/2</f>
        <v>576.75</v>
      </c>
      <c r="F27" s="46">
        <f>(F19+F20)/2</f>
        <v>530.65</v>
      </c>
      <c r="G27" s="5">
        <f>G20</f>
        <v>30.2</v>
      </c>
      <c r="H27" s="5">
        <f>H20</f>
        <v>42.4</v>
      </c>
      <c r="I27" s="5">
        <f>I20</f>
        <v>34.299999999999997</v>
      </c>
      <c r="J27" s="99"/>
      <c r="M27" s="46">
        <f t="shared" si="0"/>
        <v>12.344817022019726</v>
      </c>
      <c r="N27" s="46">
        <f t="shared" si="5"/>
        <v>24</v>
      </c>
      <c r="O27" s="50">
        <f t="shared" si="1"/>
        <v>61.933957553058676</v>
      </c>
      <c r="P27" s="50">
        <f t="shared" si="2"/>
        <v>49.58914053103895</v>
      </c>
      <c r="Q27" s="50">
        <f t="shared" si="3"/>
        <v>53.255272148458729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566</v>
      </c>
      <c r="E28" s="46">
        <f t="shared" ref="E28:F28" si="17">(E13+E14)/2</f>
        <v>523</v>
      </c>
      <c r="F28" s="46">
        <f t="shared" si="17"/>
        <v>154</v>
      </c>
      <c r="G28" s="5">
        <f t="shared" ref="G28:I28" si="18">G15</f>
        <v>94.9</v>
      </c>
      <c r="H28" s="5">
        <f t="shared" si="18"/>
        <v>32.6</v>
      </c>
      <c r="I28" s="5">
        <f t="shared" si="18"/>
        <v>32.5</v>
      </c>
      <c r="J28" s="99">
        <f>AVERAGE(G28:I30)</f>
        <v>49.099999999999994</v>
      </c>
      <c r="M28" s="46">
        <f t="shared" si="0"/>
        <v>10.010116015125412</v>
      </c>
      <c r="N28" s="46">
        <f t="shared" si="5"/>
        <v>25</v>
      </c>
      <c r="O28" s="50">
        <f t="shared" si="1"/>
        <v>59.48540574282147</v>
      </c>
      <c r="P28" s="50">
        <f t="shared" si="2"/>
        <v>49.475289727696058</v>
      </c>
      <c r="Q28" s="50">
        <f t="shared" si="3"/>
        <v>52.893219905789785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1204.5</v>
      </c>
      <c r="E29" s="46">
        <f t="shared" si="20"/>
        <v>1213.5</v>
      </c>
      <c r="F29" s="46">
        <f t="shared" si="20"/>
        <v>652</v>
      </c>
      <c r="G29" s="5">
        <f t="shared" ref="G29:I29" si="21">G18</f>
        <v>62.4</v>
      </c>
      <c r="H29" s="5">
        <f t="shared" si="21"/>
        <v>79.599999999999994</v>
      </c>
      <c r="I29" s="5">
        <f t="shared" si="21"/>
        <v>44.2</v>
      </c>
      <c r="J29" s="99"/>
      <c r="M29" s="46">
        <f t="shared" si="0"/>
        <v>7.6754150082310986</v>
      </c>
      <c r="N29" s="46">
        <f t="shared" si="5"/>
        <v>26</v>
      </c>
      <c r="O29" s="50">
        <f t="shared" si="1"/>
        <v>57.036853932584265</v>
      </c>
      <c r="P29" s="50">
        <f t="shared" si="2"/>
        <v>49.361438924353166</v>
      </c>
      <c r="Q29" s="50">
        <f t="shared" si="3"/>
        <v>52.53116766312084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509.95</v>
      </c>
      <c r="E30" s="46">
        <f t="shared" si="23"/>
        <v>576.75</v>
      </c>
      <c r="F30" s="46">
        <f t="shared" si="23"/>
        <v>530.65</v>
      </c>
      <c r="G30" s="5">
        <f t="shared" ref="G30:I30" si="24">G21</f>
        <v>26.2</v>
      </c>
      <c r="H30" s="5">
        <f t="shared" si="24"/>
        <v>39</v>
      </c>
      <c r="I30" s="5">
        <f t="shared" si="24"/>
        <v>30.5</v>
      </c>
      <c r="J30" s="99"/>
      <c r="M30" s="46">
        <f t="shared" si="0"/>
        <v>5.3407140013367851</v>
      </c>
      <c r="N30" s="46">
        <f t="shared" si="5"/>
        <v>27</v>
      </c>
      <c r="O30" s="50">
        <f t="shared" si="1"/>
        <v>54.588302122347059</v>
      </c>
      <c r="P30" s="50">
        <f t="shared" si="2"/>
        <v>49.247588121010274</v>
      </c>
      <c r="Q30" s="50">
        <f t="shared" si="3"/>
        <v>52.169115420451902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566</v>
      </c>
      <c r="E31" s="46">
        <f t="shared" si="25"/>
        <v>523</v>
      </c>
      <c r="F31" s="46">
        <f t="shared" si="25"/>
        <v>154</v>
      </c>
      <c r="G31" s="5">
        <f t="shared" ref="G31:I33" si="26">G22*$J$31</f>
        <v>81.7</v>
      </c>
      <c r="H31" s="5">
        <f t="shared" si="26"/>
        <v>32.799999999999997</v>
      </c>
      <c r="I31" s="5">
        <f t="shared" si="26"/>
        <v>32.799999999999997</v>
      </c>
      <c r="J31" s="96">
        <f>J$22/J22</f>
        <v>1</v>
      </c>
      <c r="M31" s="46">
        <f t="shared" si="0"/>
        <v>3.0060129944424716</v>
      </c>
      <c r="N31" s="46">
        <f t="shared" si="5"/>
        <v>28</v>
      </c>
      <c r="O31" s="50">
        <f t="shared" si="1"/>
        <v>52.139750312109854</v>
      </c>
      <c r="P31" s="50">
        <f t="shared" si="2"/>
        <v>49.133737317667382</v>
      </c>
      <c r="Q31" s="50">
        <f t="shared" si="3"/>
        <v>51.80706317778295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1204.5</v>
      </c>
      <c r="E32" s="46">
        <f t="shared" si="27"/>
        <v>1213.5</v>
      </c>
      <c r="F32" s="46">
        <f t="shared" si="27"/>
        <v>652</v>
      </c>
      <c r="G32" s="5">
        <f t="shared" si="26"/>
        <v>66.7</v>
      </c>
      <c r="H32" s="5">
        <f t="shared" si="26"/>
        <v>77.099999999999994</v>
      </c>
      <c r="I32" s="5">
        <f t="shared" si="26"/>
        <v>42.5</v>
      </c>
      <c r="J32" s="96"/>
      <c r="M32" s="46">
        <f t="shared" si="0"/>
        <v>2.4251244207895297</v>
      </c>
      <c r="N32" s="46">
        <f t="shared" si="5"/>
        <v>29</v>
      </c>
      <c r="O32" s="50">
        <f t="shared" si="1"/>
        <v>49.691198501872663</v>
      </c>
      <c r="P32" s="50">
        <f t="shared" si="2"/>
        <v>49.019886514324483</v>
      </c>
      <c r="Q32" s="50">
        <f t="shared" si="3"/>
        <v>51.445010935114013</v>
      </c>
    </row>
    <row r="33" spans="1:17">
      <c r="A33" s="78"/>
      <c r="B33" s="46" t="str">
        <f t="shared" si="27"/>
        <v>D65</v>
      </c>
      <c r="C33" s="79"/>
      <c r="D33" s="46">
        <f t="shared" si="27"/>
        <v>509.95</v>
      </c>
      <c r="E33" s="46">
        <f t="shared" si="27"/>
        <v>576.75</v>
      </c>
      <c r="F33" s="46">
        <f t="shared" si="27"/>
        <v>530.65</v>
      </c>
      <c r="G33" s="5">
        <f t="shared" si="26"/>
        <v>27.3</v>
      </c>
      <c r="H33" s="5">
        <f t="shared" si="26"/>
        <v>38.4</v>
      </c>
      <c r="I33" s="5">
        <f t="shared" si="26"/>
        <v>31.1</v>
      </c>
      <c r="J33" s="96"/>
      <c r="M33" s="46">
        <f t="shared" si="0"/>
        <v>3.840312000809611</v>
      </c>
      <c r="N33" s="46">
        <f t="shared" si="5"/>
        <v>30</v>
      </c>
      <c r="O33" s="50">
        <f t="shared" si="1"/>
        <v>47.242646691635457</v>
      </c>
      <c r="P33" s="50">
        <f t="shared" si="2"/>
        <v>48.906035710981591</v>
      </c>
      <c r="Q33" s="50">
        <f t="shared" si="3"/>
        <v>51.082958692445068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566</v>
      </c>
      <c r="E34" s="46">
        <f t="shared" si="27"/>
        <v>523</v>
      </c>
      <c r="F34" s="46">
        <f t="shared" si="27"/>
        <v>154</v>
      </c>
      <c r="G34" s="5">
        <f t="shared" ref="G34:I36" si="28">G25*$J$34</f>
        <v>80.04446344591706</v>
      </c>
      <c r="H34" s="5">
        <f t="shared" si="28"/>
        <v>33.39786233433091</v>
      </c>
      <c r="I34" s="5">
        <f t="shared" si="28"/>
        <v>33.39786233433091</v>
      </c>
      <c r="J34" s="96">
        <f>J$22/J25</f>
        <v>0.92005130397605817</v>
      </c>
      <c r="M34" s="46">
        <f t="shared" si="0"/>
        <v>5.9268115683778717</v>
      </c>
      <c r="N34" s="46">
        <f t="shared" si="5"/>
        <v>31</v>
      </c>
      <c r="O34" s="50">
        <f t="shared" si="1"/>
        <v>44.794094881398252</v>
      </c>
      <c r="P34" s="50">
        <f t="shared" si="2"/>
        <v>48.792184907638699</v>
      </c>
      <c r="Q34" s="50">
        <f t="shared" si="3"/>
        <v>50.720906449776123</v>
      </c>
    </row>
    <row r="35" spans="1:17">
      <c r="A35" s="78"/>
      <c r="B35" s="46" t="str">
        <f t="shared" si="27"/>
        <v>CWF</v>
      </c>
      <c r="C35" s="79"/>
      <c r="D35" s="46">
        <f t="shared" si="27"/>
        <v>1204.5</v>
      </c>
      <c r="E35" s="46">
        <f t="shared" si="27"/>
        <v>1213.5</v>
      </c>
      <c r="F35" s="46">
        <f t="shared" si="27"/>
        <v>652</v>
      </c>
      <c r="G35" s="5">
        <f t="shared" si="28"/>
        <v>66.059683625480972</v>
      </c>
      <c r="H35" s="5">
        <f t="shared" si="28"/>
        <v>76.088242838820008</v>
      </c>
      <c r="I35" s="5">
        <f t="shared" si="28"/>
        <v>43.058401026079522</v>
      </c>
      <c r="J35" s="96"/>
      <c r="M35" s="46">
        <f t="shared" si="0"/>
        <v>8.0133111359461324</v>
      </c>
      <c r="N35" s="46">
        <f t="shared" si="5"/>
        <v>32</v>
      </c>
      <c r="O35" s="50">
        <f t="shared" si="1"/>
        <v>42.345543071161046</v>
      </c>
      <c r="P35" s="50">
        <f t="shared" si="2"/>
        <v>48.678334104295807</v>
      </c>
      <c r="Q35" s="50">
        <f t="shared" si="3"/>
        <v>50.358854207107179</v>
      </c>
    </row>
    <row r="36" spans="1:17">
      <c r="A36" s="78"/>
      <c r="B36" s="46" t="str">
        <f t="shared" si="27"/>
        <v>D65</v>
      </c>
      <c r="C36" s="79"/>
      <c r="D36" s="46">
        <f t="shared" si="27"/>
        <v>509.95</v>
      </c>
      <c r="E36" s="46">
        <f t="shared" si="27"/>
        <v>576.75</v>
      </c>
      <c r="F36" s="46">
        <f t="shared" si="27"/>
        <v>530.65</v>
      </c>
      <c r="G36" s="5">
        <f t="shared" si="28"/>
        <v>27.785549380076954</v>
      </c>
      <c r="H36" s="5">
        <f t="shared" si="28"/>
        <v>39.010175288584868</v>
      </c>
      <c r="I36" s="5">
        <f t="shared" si="28"/>
        <v>31.557759726378791</v>
      </c>
      <c r="J36" s="96"/>
      <c r="M36" s="46">
        <f t="shared" si="0"/>
        <v>10.099810703514393</v>
      </c>
      <c r="N36" s="46">
        <f t="shared" si="5"/>
        <v>33</v>
      </c>
      <c r="O36" s="50">
        <f t="shared" si="1"/>
        <v>39.896991260923841</v>
      </c>
      <c r="P36" s="50">
        <f t="shared" si="2"/>
        <v>48.564483300952915</v>
      </c>
      <c r="Q36" s="50">
        <f t="shared" si="3"/>
        <v>49.996801964438234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566</v>
      </c>
      <c r="E37" s="46">
        <f t="shared" si="27"/>
        <v>523</v>
      </c>
      <c r="F37" s="46">
        <f t="shared" si="27"/>
        <v>154</v>
      </c>
      <c r="G37" s="5">
        <f t="shared" ref="G37:I39" si="29">G28*$J$37</f>
        <v>92.430323602625052</v>
      </c>
      <c r="H37" s="5">
        <f t="shared" si="29"/>
        <v>31.75161801312515</v>
      </c>
      <c r="I37" s="5">
        <f t="shared" si="29"/>
        <v>31.654220411857892</v>
      </c>
      <c r="J37" s="96">
        <f>J$22/J28</f>
        <v>0.97397601267255052</v>
      </c>
      <c r="K37" s="51" t="str">
        <f>CHAR(34) &amp; "EEpromVersion" &amp;CHAR(34)  &amp; ",3,"</f>
        <v>"EEpromVersion",3,</v>
      </c>
      <c r="M37" s="46">
        <f t="shared" si="0"/>
        <v>12.186310271082654</v>
      </c>
      <c r="N37" s="46">
        <f t="shared" si="5"/>
        <v>34</v>
      </c>
      <c r="O37" s="50">
        <f t="shared" si="1"/>
        <v>37.448439450686635</v>
      </c>
      <c r="P37" s="50">
        <f t="shared" si="2"/>
        <v>48.450632497610016</v>
      </c>
      <c r="Q37" s="50">
        <f t="shared" si="3"/>
        <v>49.634749721769289</v>
      </c>
    </row>
    <row r="38" spans="1:17">
      <c r="A38" s="78"/>
      <c r="B38" s="46" t="str">
        <f t="shared" si="27"/>
        <v>CWF</v>
      </c>
      <c r="C38" s="79"/>
      <c r="D38" s="46">
        <f t="shared" si="27"/>
        <v>1204.5</v>
      </c>
      <c r="E38" s="46">
        <f t="shared" si="27"/>
        <v>1213.5</v>
      </c>
      <c r="F38" s="46">
        <f t="shared" si="27"/>
        <v>652</v>
      </c>
      <c r="G38" s="5">
        <f t="shared" si="29"/>
        <v>60.776103190767152</v>
      </c>
      <c r="H38" s="5">
        <f t="shared" si="29"/>
        <v>77.528490608735012</v>
      </c>
      <c r="I38" s="5">
        <f t="shared" si="29"/>
        <v>43.049739760126734</v>
      </c>
      <c r="J38" s="96"/>
      <c r="K38" s="52" t="str">
        <f>K4</f>
        <v>"Compensation",29,</v>
      </c>
      <c r="M38" s="46">
        <f t="shared" si="0"/>
        <v>14.272809838650915</v>
      </c>
      <c r="N38" s="46">
        <f t="shared" si="5"/>
        <v>35</v>
      </c>
      <c r="O38" s="50">
        <f t="shared" si="1"/>
        <v>34.99988764044943</v>
      </c>
      <c r="P38" s="50">
        <f t="shared" si="2"/>
        <v>48.336781694267124</v>
      </c>
      <c r="Q38" s="50">
        <f t="shared" si="3"/>
        <v>49.272697479100344</v>
      </c>
    </row>
    <row r="39" spans="1:17">
      <c r="A39" s="78"/>
      <c r="B39" s="46" t="str">
        <f t="shared" si="27"/>
        <v>D65</v>
      </c>
      <c r="C39" s="79"/>
      <c r="D39" s="46">
        <f t="shared" si="27"/>
        <v>509.95</v>
      </c>
      <c r="E39" s="46">
        <f t="shared" si="27"/>
        <v>576.75</v>
      </c>
      <c r="F39" s="46">
        <f t="shared" si="27"/>
        <v>530.65</v>
      </c>
      <c r="G39" s="5">
        <f t="shared" si="29"/>
        <v>25.518171532020823</v>
      </c>
      <c r="H39" s="5">
        <f t="shared" si="29"/>
        <v>37.985064494229469</v>
      </c>
      <c r="I39" s="5">
        <f t="shared" si="29"/>
        <v>29.706268386512789</v>
      </c>
      <c r="J39" s="96"/>
      <c r="K39" s="53" t="str">
        <f>linefmt("CardGain",J42,J45,J48)</f>
        <v>"CardGain",16.35608,17.43897,16.01832,</v>
      </c>
      <c r="M39" s="46">
        <f t="shared" si="0"/>
        <v>16.359309406219161</v>
      </c>
      <c r="N39" s="46">
        <f t="shared" si="5"/>
        <v>36</v>
      </c>
      <c r="O39" s="50">
        <f t="shared" si="1"/>
        <v>32.551335830212238</v>
      </c>
      <c r="P39" s="50">
        <f t="shared" si="2"/>
        <v>48.222930890924232</v>
      </c>
      <c r="Q39" s="50">
        <f t="shared" si="3"/>
        <v>48.910645236431399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"Range",1,0.9200513,0.973976,</v>
      </c>
      <c r="M40" s="46">
        <f t="shared" si="0"/>
        <v>18.445808973787422</v>
      </c>
      <c r="N40" s="46">
        <f t="shared" si="5"/>
        <v>37</v>
      </c>
      <c r="O40" s="50">
        <f t="shared" si="1"/>
        <v>30.102784019975033</v>
      </c>
      <c r="P40" s="50">
        <f t="shared" si="2"/>
        <v>48.10908008758134</v>
      </c>
      <c r="Q40" s="50">
        <f t="shared" si="3"/>
        <v>48.548592993762455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20.532308541355683</v>
      </c>
      <c r="N41" s="46">
        <f t="shared" si="5"/>
        <v>38</v>
      </c>
      <c r="O41" s="50">
        <f t="shared" si="1"/>
        <v>27.654232209737827</v>
      </c>
      <c r="P41" s="50">
        <f t="shared" si="2"/>
        <v>47.995229284238448</v>
      </c>
      <c r="Q41" s="50">
        <f t="shared" si="3"/>
        <v>48.18654075109351</v>
      </c>
    </row>
    <row r="42" spans="1:17">
      <c r="A42" s="4"/>
      <c r="B42" s="46" t="s">
        <v>3</v>
      </c>
      <c r="C42" s="79">
        <f>C31</f>
        <v>0</v>
      </c>
      <c r="D42" s="46">
        <f>I42/$H$43</f>
        <v>0.18400505968683595</v>
      </c>
      <c r="E42" s="46">
        <f>H42/$H$43</f>
        <v>1.0407396418765744</v>
      </c>
      <c r="F42" s="46">
        <f>G42/$H$43</f>
        <v>-0.44404270070989743</v>
      </c>
      <c r="G42" s="46">
        <f t="array" ref="G42:I42">LINEST($D31:$D33,$G31:$I33,FALSE)</f>
        <v>-7.262797013090144</v>
      </c>
      <c r="H42" s="46">
        <v>17.022418678071993</v>
      </c>
      <c r="I42" s="46">
        <v>3.0096010941076559</v>
      </c>
      <c r="J42" s="97">
        <f>H43</f>
        <v>16.35607792106256</v>
      </c>
      <c r="K42" s="53" t="str">
        <f t="shared" ref="K42:K50" si="30">linefmt("",D42,E42,F42)</f>
        <v>0.1840051,1.04074,-0.4440427,</v>
      </c>
      <c r="M42" s="46">
        <f t="shared" si="0"/>
        <v>22.675698081394927</v>
      </c>
      <c r="N42" s="46">
        <f t="shared" si="5"/>
        <v>39</v>
      </c>
      <c r="O42" s="50">
        <f t="shared" si="1"/>
        <v>25.205680399500622</v>
      </c>
      <c r="P42" s="50">
        <f t="shared" si="2"/>
        <v>47.881378480895549</v>
      </c>
      <c r="Q42" s="50">
        <f t="shared" si="3"/>
        <v>47.824488508424565</v>
      </c>
    </row>
    <row r="43" spans="1:17">
      <c r="A43" s="4"/>
      <c r="B43" s="46" t="s">
        <v>4</v>
      </c>
      <c r="C43" s="79"/>
      <c r="D43" s="46">
        <f>I43/$H$43</f>
        <v>4.6973937164841294E-2</v>
      </c>
      <c r="E43" s="46">
        <f>H43/$H$43</f>
        <v>1</v>
      </c>
      <c r="F43" s="46">
        <f>G43/$H$43</f>
        <v>-0.14213078480509375</v>
      </c>
      <c r="G43" s="46">
        <f t="array" ref="G43:I43">LINEST($E31:$E33,$G31:$I33,FALSE)</f>
        <v>-2.3247021912538881</v>
      </c>
      <c r="H43" s="46">
        <v>16.35607792106256</v>
      </c>
      <c r="I43" s="46">
        <v>0.76830937652724074</v>
      </c>
      <c r="J43" s="97"/>
      <c r="K43" s="53" t="str">
        <f t="shared" si="30"/>
        <v>4.697394E-02,1,-0.1421308,</v>
      </c>
      <c r="M43" s="46">
        <f t="shared" si="0"/>
        <v>25.01039908828924</v>
      </c>
      <c r="N43" s="46">
        <f t="shared" si="5"/>
        <v>40</v>
      </c>
      <c r="O43" s="50">
        <f t="shared" si="1"/>
        <v>22.757128589263417</v>
      </c>
      <c r="P43" s="50">
        <f t="shared" si="2"/>
        <v>47.767527677552657</v>
      </c>
      <c r="Q43" s="50">
        <f t="shared" si="3"/>
        <v>47.46243626575562</v>
      </c>
    </row>
    <row r="44" spans="1:17">
      <c r="A44" s="4"/>
      <c r="B44" s="46" t="s">
        <v>5</v>
      </c>
      <c r="C44" s="79"/>
      <c r="D44" s="46">
        <f>I44/$H$43</f>
        <v>-0.42191842323676115</v>
      </c>
      <c r="E44" s="46">
        <f>H44/$H$43</f>
        <v>0.32196766791972298</v>
      </c>
      <c r="F44" s="46">
        <f>G44/$H$43</f>
        <v>1.0160260923248208</v>
      </c>
      <c r="G44" s="46">
        <f t="array" ref="G44:I44">LINEST($F$31:$F$33,$G31:$I33,FALSE)</f>
        <v>16.618201935897471</v>
      </c>
      <c r="H44" s="46">
        <v>5.2661282645577838</v>
      </c>
      <c r="I44" s="46">
        <v>-6.9009306067923175</v>
      </c>
      <c r="J44" s="97"/>
      <c r="K44" s="53" t="str">
        <f t="shared" si="30"/>
        <v>-0.4219184,0.3219677,1.016026,</v>
      </c>
      <c r="M44" s="46">
        <f t="shared" si="0"/>
        <v>27.345100095183554</v>
      </c>
      <c r="N44" s="46">
        <f t="shared" si="5"/>
        <v>41</v>
      </c>
      <c r="O44" s="50">
        <f t="shared" si="1"/>
        <v>20.308576779026211</v>
      </c>
      <c r="P44" s="50">
        <f t="shared" si="2"/>
        <v>47.653676874209765</v>
      </c>
      <c r="Q44" s="50">
        <f t="shared" si="3"/>
        <v>47.100384023086676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0.19175884580938449</v>
      </c>
      <c r="E45" s="46">
        <f>H45/$H$46</f>
        <v>1.0398732325395288</v>
      </c>
      <c r="F45" s="46">
        <f>G45/$H$46</f>
        <v>-0.52766070284145239</v>
      </c>
      <c r="G45" s="46">
        <f t="array" ref="G45:I45">LINEST($D34:$D36,$G34:$I36,FALSE)</f>
        <v>-9.2018613801398264</v>
      </c>
      <c r="H45" s="46">
        <v>18.134322467484949</v>
      </c>
      <c r="I45" s="46">
        <v>3.3440775635773625</v>
      </c>
      <c r="J45" s="97">
        <f>H46</f>
        <v>17.438974194189203</v>
      </c>
      <c r="K45" s="53" t="str">
        <f t="shared" si="30"/>
        <v>0.1917588,1.039873,-0.5276607,</v>
      </c>
      <c r="M45" s="46">
        <f t="shared" si="0"/>
        <v>29.679801102077853</v>
      </c>
      <c r="N45" s="46">
        <f t="shared" si="5"/>
        <v>42</v>
      </c>
      <c r="O45" s="50">
        <f t="shared" si="1"/>
        <v>17.86002496878902</v>
      </c>
      <c r="P45" s="50">
        <f t="shared" si="2"/>
        <v>47.539826070866873</v>
      </c>
      <c r="Q45" s="50">
        <f t="shared" si="3"/>
        <v>46.738331780417731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5.6801502669969674E-2</v>
      </c>
      <c r="E46" s="46">
        <f>H46/$H$46</f>
        <v>1</v>
      </c>
      <c r="F46" s="46">
        <f>G46/$H$46</f>
        <v>-0.23816530367456229</v>
      </c>
      <c r="G46" s="46">
        <f t="array" ref="G46:I46">LINEST($E34:$E36,$G34:$I36,FALSE)</f>
        <v>-4.1533585847319268</v>
      </c>
      <c r="H46" s="46">
        <v>17.438974194189203</v>
      </c>
      <c r="I46" s="46">
        <v>0.99055993925277031</v>
      </c>
      <c r="J46" s="97"/>
      <c r="K46" s="53" t="str">
        <f t="shared" si="30"/>
        <v>0.0568015,1,-0.2381653,</v>
      </c>
      <c r="M46" s="46">
        <f t="shared" si="0"/>
        <v>32.014502108972167</v>
      </c>
      <c r="N46" s="46">
        <f t="shared" si="5"/>
        <v>43</v>
      </c>
      <c r="O46" s="50">
        <f t="shared" si="1"/>
        <v>15.411473158551814</v>
      </c>
      <c r="P46" s="50">
        <f t="shared" si="2"/>
        <v>47.425975267523981</v>
      </c>
      <c r="Q46" s="50">
        <f t="shared" si="3"/>
        <v>46.376279537748786</v>
      </c>
    </row>
    <row r="47" spans="1:17">
      <c r="A47" s="4"/>
      <c r="B47" s="46" t="str">
        <f t="shared" si="31"/>
        <v>Z</v>
      </c>
      <c r="C47" s="79"/>
      <c r="D47" s="46">
        <f>I47/$H$46</f>
        <v>-0.41089788968898205</v>
      </c>
      <c r="E47" s="46">
        <f>H47/$H$46</f>
        <v>0.32523260024272904</v>
      </c>
      <c r="F47" s="46">
        <f>G47/$H$46</f>
        <v>0.92397596714024854</v>
      </c>
      <c r="G47" s="46">
        <f t="array" ref="G47:I47">LINEST($F$31:$F$33,$G34:$I36,FALSE)</f>
        <v>16.113193047009805</v>
      </c>
      <c r="H47" s="46">
        <v>5.6717229227420054</v>
      </c>
      <c r="I47" s="46">
        <v>-7.1656376947329603</v>
      </c>
      <c r="J47" s="97"/>
      <c r="K47" s="53" t="str">
        <f t="shared" si="30"/>
        <v>-0.4108979,0.3252326,0.9239759,</v>
      </c>
      <c r="M47" s="46">
        <f t="shared" si="0"/>
        <v>34.349203115866473</v>
      </c>
      <c r="N47" s="46">
        <f t="shared" si="5"/>
        <v>44</v>
      </c>
      <c r="O47" s="50">
        <f t="shared" si="1"/>
        <v>12.962921348314609</v>
      </c>
      <c r="P47" s="50">
        <f t="shared" si="2"/>
        <v>47.312124464181082</v>
      </c>
      <c r="Q47" s="50">
        <f t="shared" si="3"/>
        <v>46.014227295079849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0.17038039052202361</v>
      </c>
      <c r="E48" s="46">
        <f>H48/$H$49</f>
        <v>1.1122840914702197</v>
      </c>
      <c r="F48" s="46">
        <f>G48/$H$49</f>
        <v>-0.49695062476801072</v>
      </c>
      <c r="G48" s="46">
        <f t="array" ref="G48:I48">LINEST($D37:$D39,$G37:$I39,FALSE)</f>
        <v>-7.9603124046502423</v>
      </c>
      <c r="H48" s="46">
        <v>17.816918642488574</v>
      </c>
      <c r="I48" s="46">
        <v>2.7292070249730824</v>
      </c>
      <c r="J48" s="97">
        <f>H49</f>
        <v>16.018316524637271</v>
      </c>
      <c r="K48" s="53" t="str">
        <f t="shared" si="30"/>
        <v>0.1703804,1.112284,-0.4969506,</v>
      </c>
      <c r="M48" s="46">
        <f t="shared" si="0"/>
        <v>36.683904122760786</v>
      </c>
      <c r="N48" s="46">
        <f t="shared" si="5"/>
        <v>45</v>
      </c>
      <c r="O48" s="50">
        <f t="shared" si="1"/>
        <v>10.514369538077403</v>
      </c>
      <c r="P48" s="50">
        <f t="shared" si="2"/>
        <v>47.19827366083819</v>
      </c>
      <c r="Q48" s="50">
        <f t="shared" si="3"/>
        <v>45.652175052410897</v>
      </c>
    </row>
    <row r="49" spans="1:24">
      <c r="A49" s="4"/>
      <c r="B49" s="46" t="str">
        <f t="shared" si="31"/>
        <v>Y</v>
      </c>
      <c r="C49" s="79"/>
      <c r="D49" s="46">
        <f>I49/$H$49</f>
        <v>4.6103066595463156E-2</v>
      </c>
      <c r="E49" s="46">
        <f>H49/$H$49</f>
        <v>1</v>
      </c>
      <c r="F49" s="46">
        <f>G49/$H$49</f>
        <v>-0.10623596577067723</v>
      </c>
      <c r="G49" s="46">
        <f t="array" ref="G49:I49">LINEST($E37:$E39,$G37:$I39,FALSE)</f>
        <v>-1.7017213260152386</v>
      </c>
      <c r="H49" s="46">
        <v>16.018316524637271</v>
      </c>
      <c r="I49" s="46">
        <v>0.73849351348256009</v>
      </c>
      <c r="J49" s="97"/>
      <c r="K49" s="53" t="str">
        <f t="shared" si="30"/>
        <v>4.610307E-02,1,-0.106236,</v>
      </c>
      <c r="M49" s="46">
        <f t="shared" si="0"/>
        <v>39.0186051296551</v>
      </c>
      <c r="N49" s="46">
        <f t="shared" si="5"/>
        <v>46</v>
      </c>
      <c r="O49" s="50">
        <f t="shared" si="1"/>
        <v>8.0658177278401979</v>
      </c>
      <c r="P49" s="50">
        <f t="shared" si="2"/>
        <v>47.084422857495298</v>
      </c>
      <c r="Q49" s="50">
        <f t="shared" si="3"/>
        <v>45.290122809741959</v>
      </c>
    </row>
    <row r="50" spans="1:24">
      <c r="A50" s="4"/>
      <c r="B50" s="46" t="str">
        <f t="shared" si="31"/>
        <v>Z</v>
      </c>
      <c r="C50" s="79"/>
      <c r="D50" s="46">
        <f>I50/$H$49</f>
        <v>-0.3829661170461558</v>
      </c>
      <c r="E50" s="46">
        <f>H50/$H$49</f>
        <v>8.0436986403364164E-2</v>
      </c>
      <c r="F50" s="46">
        <f>G50/$H$49</f>
        <v>1.3412957632075582</v>
      </c>
      <c r="G50" s="46">
        <f t="array" ref="G50:I50">LINEST($F$31:$F$33,$G37:$I39,FALSE)</f>
        <v>21.485300088213588</v>
      </c>
      <c r="H50" s="46">
        <v>1.2884651084970318</v>
      </c>
      <c r="I50" s="46">
        <v>-6.1344724810566085</v>
      </c>
      <c r="J50" s="97"/>
      <c r="K50" s="54" t="str">
        <f t="shared" si="30"/>
        <v>-0.3829661,8.043699E-02,1.341296,</v>
      </c>
      <c r="M50" s="46">
        <f t="shared" si="0"/>
        <v>41.353306136549413</v>
      </c>
      <c r="N50" s="46">
        <f t="shared" si="5"/>
        <v>47</v>
      </c>
      <c r="O50" s="50">
        <f t="shared" si="1"/>
        <v>5.6172659176029924</v>
      </c>
      <c r="P50" s="50">
        <f t="shared" si="2"/>
        <v>46.970572054152406</v>
      </c>
      <c r="Q50" s="50">
        <f t="shared" si="3"/>
        <v>44.928070567073007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0.18204809867274799</v>
      </c>
      <c r="E51" s="46">
        <f t="shared" ref="E51:F51" si="32">(E42+E45+E48)/3</f>
        <v>1.0642989886287744</v>
      </c>
      <c r="F51" s="46">
        <f t="shared" si="32"/>
        <v>-0.48955134277312018</v>
      </c>
      <c r="J51" s="97">
        <f>(J42+J45+J48)/3</f>
        <v>16.604456213296345</v>
      </c>
      <c r="M51" s="46">
        <f t="shared" si="0"/>
        <v>43.688007143443713</v>
      </c>
      <c r="N51" s="46">
        <f t="shared" si="5"/>
        <v>48</v>
      </c>
      <c r="O51" s="50">
        <f t="shared" si="1"/>
        <v>3.1687141073658012</v>
      </c>
      <c r="P51" s="50">
        <f t="shared" si="2"/>
        <v>46.856721250809514</v>
      </c>
      <c r="Q51" s="50">
        <f t="shared" si="3"/>
        <v>44.56601832440407</v>
      </c>
    </row>
    <row r="52" spans="1:24">
      <c r="B52" s="46" t="str">
        <f t="shared" si="31"/>
        <v>Y</v>
      </c>
      <c r="C52" s="79"/>
      <c r="D52" s="46">
        <f t="shared" ref="D52:F53" si="33">(D43+D46+D49)/3</f>
        <v>4.9959502143424706E-2</v>
      </c>
      <c r="E52" s="46">
        <f t="shared" si="33"/>
        <v>1</v>
      </c>
      <c r="F52" s="46">
        <f t="shared" si="33"/>
        <v>-0.16217735141677775</v>
      </c>
      <c r="J52" s="97"/>
      <c r="M52" s="46">
        <f t="shared" si="0"/>
        <v>46.022708150338019</v>
      </c>
      <c r="N52" s="46">
        <f t="shared" si="5"/>
        <v>49</v>
      </c>
      <c r="O52" s="50">
        <f t="shared" si="1"/>
        <v>0.7201622971285957</v>
      </c>
      <c r="P52" s="50">
        <f t="shared" si="2"/>
        <v>46.742870447466615</v>
      </c>
      <c r="Q52" s="50">
        <f t="shared" si="3"/>
        <v>44.203966081735118</v>
      </c>
    </row>
    <row r="53" spans="1:24" ht="15.75" thickBot="1">
      <c r="B53" s="46" t="str">
        <f t="shared" si="31"/>
        <v>Z</v>
      </c>
      <c r="C53" s="79"/>
      <c r="D53" s="46">
        <f t="shared" si="33"/>
        <v>-0.40526080999063296</v>
      </c>
      <c r="E53" s="46">
        <f t="shared" si="33"/>
        <v>0.24254575152193872</v>
      </c>
      <c r="F53" s="46">
        <f t="shared" si="33"/>
        <v>1.0937659408908758</v>
      </c>
      <c r="J53" s="100"/>
      <c r="M53" s="46">
        <f t="shared" si="0"/>
        <v>48.357409157232333</v>
      </c>
      <c r="N53" s="46">
        <f t="shared" si="5"/>
        <v>50</v>
      </c>
      <c r="O53" s="50">
        <f t="shared" si="1"/>
        <v>-1.7283895131086098</v>
      </c>
      <c r="P53" s="50">
        <f t="shared" si="2"/>
        <v>46.629019644123723</v>
      </c>
      <c r="Q53" s="50">
        <f t="shared" si="3"/>
        <v>43.84191383906618</v>
      </c>
    </row>
    <row r="54" spans="1:24">
      <c r="B54" s="79" t="s">
        <v>14</v>
      </c>
      <c r="C54" s="79"/>
      <c r="D54" s="19">
        <f>I54/$H$55</f>
        <v>0.17658486540992138</v>
      </c>
      <c r="E54" s="20">
        <f>H54/$H$55</f>
        <v>1.0586701068669788</v>
      </c>
      <c r="F54" s="21">
        <f>G54/$H$55</f>
        <v>-0.47730258291635214</v>
      </c>
      <c r="G54" s="46">
        <f t="array" ref="G54:I54">LINEST(D$31:D$39,$G$31:$I$39,FALSE)</f>
        <v>-7.9423240426520394</v>
      </c>
      <c r="H54" s="46">
        <v>17.616290680078247</v>
      </c>
      <c r="I54" s="46">
        <v>2.938375513378443</v>
      </c>
      <c r="J54" s="98">
        <f>H55</f>
        <v>16.640018987795717</v>
      </c>
      <c r="M54" s="46">
        <f t="shared" si="0"/>
        <v>50.692110164126646</v>
      </c>
      <c r="N54" s="46">
        <f t="shared" si="5"/>
        <v>51</v>
      </c>
      <c r="O54" s="50">
        <f t="shared" si="1"/>
        <v>-4.1769413233458152</v>
      </c>
      <c r="P54" s="50">
        <f t="shared" si="2"/>
        <v>46.515168840780831</v>
      </c>
      <c r="Q54" s="50">
        <f t="shared" si="3"/>
        <v>43.479861596397235</v>
      </c>
    </row>
    <row r="55" spans="1:24" ht="15" customHeight="1">
      <c r="B55" s="79"/>
      <c r="C55" s="79"/>
      <c r="D55" s="22">
        <f>I55/$H$55</f>
        <v>5.1613678451638459E-2</v>
      </c>
      <c r="E55" s="18">
        <f>H55/$H$55</f>
        <v>1</v>
      </c>
      <c r="F55" s="23">
        <f>G55/$H$55</f>
        <v>-0.17039235119963964</v>
      </c>
      <c r="G55" s="46">
        <f t="array" ref="G55:I55">LINEST(E$31:E$39,$G$31:$I$39,FALSE)</f>
        <v>-2.83533195933716</v>
      </c>
      <c r="H55" s="46">
        <v>16.640018987795717</v>
      </c>
      <c r="I55" s="46">
        <v>0.85885258946524656</v>
      </c>
      <c r="J55" s="98"/>
      <c r="M55" s="46">
        <f t="shared" si="0"/>
        <v>53.02681117102096</v>
      </c>
      <c r="N55" s="46">
        <f t="shared" si="5"/>
        <v>52</v>
      </c>
      <c r="O55" s="50">
        <f t="shared" si="1"/>
        <v>-6.6254931335830207</v>
      </c>
      <c r="P55" s="50">
        <f t="shared" si="2"/>
        <v>46.401318037437939</v>
      </c>
      <c r="Q55" s="50">
        <f t="shared" si="3"/>
        <v>43.11780935372829</v>
      </c>
    </row>
    <row r="56" spans="1:24" ht="15" customHeight="1" thickBot="1">
      <c r="B56" s="79"/>
      <c r="C56" s="79"/>
      <c r="D56" s="24">
        <f>I56/$H$55</f>
        <v>-0.38093203810396248</v>
      </c>
      <c r="E56" s="25">
        <f>H56/$H$55</f>
        <v>0.26189753094633855</v>
      </c>
      <c r="F56" s="26">
        <f>G56/$H$55</f>
        <v>1.0207527595958292</v>
      </c>
      <c r="G56" s="46">
        <f t="array" ref="G56:I56">LINEST(F$31:F$39,$G$31:$I$39,FALSE)</f>
        <v>16.985345301519477</v>
      </c>
      <c r="H56" s="46">
        <v>4.3579798878038902</v>
      </c>
      <c r="I56" s="46">
        <v>-6.3387163471096573</v>
      </c>
      <c r="J56" s="98"/>
      <c r="M56" s="46">
        <f t="shared" si="0"/>
        <v>55.361512177915273</v>
      </c>
      <c r="N56" s="46">
        <f t="shared" si="5"/>
        <v>53</v>
      </c>
      <c r="O56" s="50">
        <f t="shared" si="1"/>
        <v>-9.0740449438202262</v>
      </c>
      <c r="P56" s="50">
        <f t="shared" si="2"/>
        <v>46.287467234095047</v>
      </c>
      <c r="Q56" s="50">
        <f t="shared" si="3"/>
        <v>42.755757111059346</v>
      </c>
    </row>
    <row r="57" spans="1:24">
      <c r="M57" s="46">
        <f t="shared" si="0"/>
        <v>57.696213184809579</v>
      </c>
      <c r="N57" s="46">
        <f t="shared" si="5"/>
        <v>54</v>
      </c>
      <c r="O57" s="50">
        <f t="shared" si="1"/>
        <v>-11.522596754057432</v>
      </c>
      <c r="P57" s="50">
        <f t="shared" si="2"/>
        <v>46.173616430752148</v>
      </c>
      <c r="Q57" s="50">
        <f t="shared" si="3"/>
        <v>42.393704868390401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60.030914191703893</v>
      </c>
      <c r="N58" s="46">
        <f t="shared" si="5"/>
        <v>55</v>
      </c>
      <c r="O58" s="50">
        <f t="shared" si="1"/>
        <v>-13.971148564294637</v>
      </c>
      <c r="P58" s="50">
        <f t="shared" si="2"/>
        <v>46.059765627409256</v>
      </c>
      <c r="Q58" s="50">
        <f t="shared" si="3"/>
        <v>42.031652625721456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62.365615198598206</v>
      </c>
      <c r="N59" s="46">
        <f t="shared" si="5"/>
        <v>56</v>
      </c>
      <c r="O59" s="50">
        <f t="shared" si="1"/>
        <v>-16.419700374531843</v>
      </c>
      <c r="P59" s="50">
        <f t="shared" si="2"/>
        <v>45.945914824066364</v>
      </c>
      <c r="Q59" s="50">
        <f t="shared" si="3"/>
        <v>41.669600383052511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523</v>
      </c>
      <c r="E60" s="32">
        <f t="shared" ref="E60:E68" si="37">getCCTfromXY(D22/SUM(D22:F22),E22/SUM(D22:F22))</f>
        <v>2849</v>
      </c>
      <c r="F60" s="31">
        <f t="shared" ref="F60:F68" si="38">V60</f>
        <v>522.9619910927513</v>
      </c>
      <c r="G60" s="32">
        <f t="shared" ref="G60:G68" si="39">getCCTfromXY(U60/X60,V60/X60)</f>
        <v>3014</v>
      </c>
      <c r="H60" s="33">
        <f>F60/D60-1</f>
        <v>-7.2674774854064594E-5</v>
      </c>
      <c r="I60" s="34">
        <f t="shared" ref="I60:I68" si="40">G60/E60-1</f>
        <v>5.7915057915058021E-2</v>
      </c>
      <c r="M60" s="46">
        <f t="shared" si="0"/>
        <v>64.700316205492527</v>
      </c>
      <c r="N60" s="46">
        <f t="shared" si="5"/>
        <v>57</v>
      </c>
      <c r="O60" s="50">
        <f t="shared" si="1"/>
        <v>-18.868252184769048</v>
      </c>
      <c r="P60" s="50">
        <f t="shared" si="2"/>
        <v>45.832064020723472</v>
      </c>
      <c r="Q60" s="50">
        <f t="shared" si="3"/>
        <v>41.307548140383567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557.37138515059848</v>
      </c>
      <c r="V60" s="50">
        <f>$J$54*$J$31*($D$55*G22+$E$55*H22+$F$55*I22)</f>
        <v>522.9619910927513</v>
      </c>
      <c r="W60" s="50">
        <f>$J$54*$J$31*($D$56*G22+$E$56*H22+$F$56*I22)</f>
        <v>182.1879406509473</v>
      </c>
      <c r="X60" s="29">
        <f>SUM(U60:W60)</f>
        <v>1262.5213168942971</v>
      </c>
    </row>
    <row r="61" spans="1:24">
      <c r="A61" s="87"/>
      <c r="B61" s="48" t="str">
        <f t="shared" si="35"/>
        <v>CWF</v>
      </c>
      <c r="C61" s="93"/>
      <c r="D61" s="31">
        <f t="shared" si="36"/>
        <v>1213.5</v>
      </c>
      <c r="E61" s="32">
        <f t="shared" si="37"/>
        <v>3856</v>
      </c>
      <c r="F61" s="31">
        <f t="shared" si="38"/>
        <v>1219.7293234045524</v>
      </c>
      <c r="G61" s="32">
        <f t="shared" si="39"/>
        <v>3779</v>
      </c>
      <c r="H61" s="33">
        <f t="shared" ref="H61:H68" si="41">F61/D61-1</f>
        <v>5.1333526201502444E-3</v>
      </c>
      <c r="I61" s="34">
        <f t="shared" si="40"/>
        <v>-1.9968879668049833E-2</v>
      </c>
      <c r="M61" s="46">
        <f t="shared" si="0"/>
        <v>67.035017212386805</v>
      </c>
      <c r="N61" s="46">
        <f t="shared" si="5"/>
        <v>58</v>
      </c>
      <c r="O61" s="50">
        <f t="shared" si="1"/>
        <v>-21.316803995006225</v>
      </c>
      <c r="P61" s="50">
        <f t="shared" si="2"/>
        <v>45.71821321738058</v>
      </c>
      <c r="Q61" s="50">
        <f t="shared" si="3"/>
        <v>40.945495897714622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1216.6568863636635</v>
      </c>
      <c r="V61" s="50">
        <f>$J$54*$J$31*($D$55*G23+$E$55*H23+$F$55*I23)</f>
        <v>1219.7293234045524</v>
      </c>
      <c r="W61" s="50">
        <f>$J$54*$J$31*($D$56*G23+$E$56*H23+$F$56*I23)</f>
        <v>635.08504431204335</v>
      </c>
      <c r="X61" s="29">
        <f t="shared" ref="X61:X68" si="43">SUM(U61:W61)</f>
        <v>3071.4712540802593</v>
      </c>
    </row>
    <row r="62" spans="1:24">
      <c r="A62" s="87"/>
      <c r="B62" s="48" t="str">
        <f t="shared" si="35"/>
        <v>D65</v>
      </c>
      <c r="C62" s="93"/>
      <c r="D62" s="31">
        <f t="shared" si="36"/>
        <v>576.75</v>
      </c>
      <c r="E62" s="32">
        <f t="shared" si="37"/>
        <v>6328</v>
      </c>
      <c r="F62" s="31">
        <f t="shared" si="38"/>
        <v>574.24458088837105</v>
      </c>
      <c r="G62" s="32">
        <f t="shared" si="39"/>
        <v>6235</v>
      </c>
      <c r="H62" s="33">
        <f t="shared" si="41"/>
        <v>-4.3440296690575586E-3</v>
      </c>
      <c r="I62" s="34">
        <f t="shared" si="40"/>
        <v>-1.4696586599241446E-2</v>
      </c>
      <c r="M62" s="46">
        <f t="shared" si="0"/>
        <v>69.369718219281111</v>
      </c>
      <c r="N62" s="46">
        <f t="shared" si="5"/>
        <v>59</v>
      </c>
      <c r="O62" s="50">
        <f t="shared" si="1"/>
        <v>-23.765355805243431</v>
      </c>
      <c r="P62" s="50">
        <f t="shared" si="2"/>
        <v>45.604362414037681</v>
      </c>
      <c r="Q62" s="50">
        <f t="shared" si="3"/>
        <v>40.583443655045677</v>
      </c>
      <c r="R62" s="78"/>
      <c r="S62" s="46" t="str">
        <f t="shared" si="42"/>
        <v>D65</v>
      </c>
      <c r="T62" s="79"/>
      <c r="U62" s="50">
        <f>$J$54*$J$31*($D$54*G24+$E$54*H24+$F$54*I24)</f>
        <v>509.67693590375779</v>
      </c>
      <c r="V62" s="50">
        <f>$J$54*$J$31*($D$55*G24+$E$55*H24+$F$55*I24)</f>
        <v>574.24458088837105</v>
      </c>
      <c r="W62" s="50">
        <f>$J$54*$J$31*($D$56*G24+$E$56*H24+$F$56*I24)</f>
        <v>522.54371029283141</v>
      </c>
      <c r="X62" s="29">
        <f t="shared" si="43"/>
        <v>1606.4652270849601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523</v>
      </c>
      <c r="E63" s="32">
        <f t="shared" si="37"/>
        <v>2849</v>
      </c>
      <c r="F63" s="31">
        <f t="shared" si="38"/>
        <v>529.79343164786474</v>
      </c>
      <c r="G63" s="32">
        <f t="shared" si="39"/>
        <v>3146</v>
      </c>
      <c r="H63" s="33">
        <f t="shared" si="41"/>
        <v>1.2989353055190778E-2</v>
      </c>
      <c r="I63" s="34">
        <f t="shared" si="40"/>
        <v>0.10424710424710426</v>
      </c>
      <c r="M63" s="46">
        <f t="shared" si="0"/>
        <v>71.704419226175418</v>
      </c>
      <c r="N63" s="46">
        <f t="shared" si="5"/>
        <v>60</v>
      </c>
      <c r="O63" s="50">
        <f t="shared" si="1"/>
        <v>-26.213907615480636</v>
      </c>
      <c r="P63" s="50">
        <f t="shared" si="2"/>
        <v>45.490511610694789</v>
      </c>
      <c r="Q63" s="50">
        <f t="shared" si="3"/>
        <v>40.221391412376732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558.29049735466913</v>
      </c>
      <c r="V63" s="50">
        <f>$J$54*$J$34*($D$55*G25+$E$55*H25+$F$55*I25)</f>
        <v>529.79343164786474</v>
      </c>
      <c r="W63" s="50">
        <f>$J$54*$J$34*($D$56*G25+$E$56*H25+$F$56*I25)</f>
        <v>205.44228748962303</v>
      </c>
      <c r="X63" s="29">
        <f t="shared" si="43"/>
        <v>1293.5262164921569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1213.5</v>
      </c>
      <c r="E64" s="32">
        <f t="shared" si="37"/>
        <v>3856</v>
      </c>
      <c r="F64" s="31">
        <f t="shared" si="38"/>
        <v>1200.7604753797766</v>
      </c>
      <c r="G64" s="32">
        <f t="shared" si="39"/>
        <v>3850</v>
      </c>
      <c r="H64" s="33">
        <f t="shared" si="41"/>
        <v>-1.0498166147691279E-2</v>
      </c>
      <c r="I64" s="34">
        <f t="shared" si="40"/>
        <v>-1.5560165975103679E-3</v>
      </c>
      <c r="M64" s="46">
        <f t="shared" si="0"/>
        <v>74.039120233069738</v>
      </c>
      <c r="N64" s="46">
        <f t="shared" si="5"/>
        <v>61</v>
      </c>
      <c r="O64" s="50">
        <f t="shared" si="1"/>
        <v>-28.662459425717842</v>
      </c>
      <c r="P64" s="50">
        <f t="shared" si="2"/>
        <v>45.376660807351897</v>
      </c>
      <c r="Q64" s="50">
        <f t="shared" si="3"/>
        <v>39.859339169707795</v>
      </c>
      <c r="R64" s="78"/>
      <c r="S64" s="46" t="str">
        <f t="shared" si="42"/>
        <v>CWF</v>
      </c>
      <c r="T64" s="79"/>
      <c r="U64" s="50">
        <f>$J$54*$J$34*($D$54*G26+$E$54*H26+$F$54*I26)</f>
        <v>1192.5169862640912</v>
      </c>
      <c r="V64" s="50">
        <f>$J$54*$J$34*($D$55*G26+$E$55*H26+$F$55*I26)</f>
        <v>1200.7604753797766</v>
      </c>
      <c r="W64" s="50">
        <f>$J$54*$J$34*($D$56*G26+$E$56*H26+$F$56*I26)</f>
        <v>644.2192450674487</v>
      </c>
      <c r="X64" s="29">
        <f t="shared" si="43"/>
        <v>3037.4967067113166</v>
      </c>
    </row>
    <row r="65" spans="1:24">
      <c r="A65" s="87"/>
      <c r="B65" s="48" t="str">
        <f t="shared" si="35"/>
        <v>D65</v>
      </c>
      <c r="C65" s="93"/>
      <c r="D65" s="31">
        <f t="shared" si="36"/>
        <v>576.75</v>
      </c>
      <c r="E65" s="32">
        <f t="shared" si="37"/>
        <v>6328</v>
      </c>
      <c r="F65" s="31">
        <f t="shared" si="38"/>
        <v>583.51702383680015</v>
      </c>
      <c r="G65" s="32">
        <f t="shared" si="39"/>
        <v>6219</v>
      </c>
      <c r="H65" s="33">
        <f t="shared" si="41"/>
        <v>1.1733027892154579E-2</v>
      </c>
      <c r="I65" s="34">
        <f t="shared" si="40"/>
        <v>-1.7225031605562546E-2</v>
      </c>
      <c r="M65" s="46">
        <f t="shared" si="0"/>
        <v>76.373821239964059</v>
      </c>
      <c r="N65" s="46">
        <f t="shared" si="5"/>
        <v>62</v>
      </c>
      <c r="O65" s="50">
        <f t="shared" si="1"/>
        <v>-31.111011235955047</v>
      </c>
      <c r="P65" s="50">
        <f t="shared" si="2"/>
        <v>45.262810004009005</v>
      </c>
      <c r="Q65" s="50">
        <f t="shared" si="3"/>
        <v>39.497286927038843</v>
      </c>
      <c r="R65" s="78"/>
      <c r="S65" s="46" t="str">
        <f t="shared" si="42"/>
        <v>D65</v>
      </c>
      <c r="T65" s="79"/>
      <c r="U65" s="50">
        <f>$J$54*$J$34*($D$54*G27+$E$54*H27+$F$54*I27)</f>
        <v>518.21701148164755</v>
      </c>
      <c r="V65" s="50">
        <f>$J$54*$J$34*($D$55*G27+$E$55*H27+$F$55*I27)</f>
        <v>583.51702383680015</v>
      </c>
      <c r="W65" s="50">
        <f>$J$54*$J$34*($D$56*G27+$E$56*H27+$F$56*I27)</f>
        <v>529.90028915336939</v>
      </c>
      <c r="X65" s="29">
        <f t="shared" si="43"/>
        <v>1631.6343244718171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523</v>
      </c>
      <c r="E66" s="32">
        <f t="shared" si="37"/>
        <v>2849</v>
      </c>
      <c r="F66" s="31">
        <f t="shared" si="38"/>
        <v>517.98132662122077</v>
      </c>
      <c r="G66" s="32">
        <f t="shared" si="39"/>
        <v>2534</v>
      </c>
      <c r="H66" s="33">
        <f t="shared" si="41"/>
        <v>-9.5959338026371244E-3</v>
      </c>
      <c r="I66" s="34">
        <f t="shared" si="40"/>
        <v>-0.11056511056511054</v>
      </c>
      <c r="M66" s="46">
        <f t="shared" si="0"/>
        <v>78.708522246858365</v>
      </c>
      <c r="N66" s="46">
        <f t="shared" si="5"/>
        <v>63</v>
      </c>
      <c r="O66" s="50">
        <f t="shared" si="1"/>
        <v>-33.559563046192253</v>
      </c>
      <c r="P66" s="50">
        <f t="shared" si="2"/>
        <v>45.148959200666113</v>
      </c>
      <c r="Q66" s="50">
        <f t="shared" si="3"/>
        <v>39.135234684369905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579.53265622111417</v>
      </c>
      <c r="V66" s="50">
        <f>$J$54*$J$37*($D$55*G28+$E$55*H28+$F$55*I28)</f>
        <v>517.98132662122077</v>
      </c>
      <c r="W66" s="50">
        <f>$J$54*$J$37*($D$56*G28+$E$56*H28+$F$56*I28)</f>
        <v>90.141173463648329</v>
      </c>
      <c r="X66" s="29">
        <f t="shared" si="43"/>
        <v>1187.6551563059832</v>
      </c>
    </row>
    <row r="67" spans="1:24">
      <c r="A67" s="87"/>
      <c r="B67" s="48" t="str">
        <f t="shared" si="35"/>
        <v>CWF</v>
      </c>
      <c r="C67" s="93"/>
      <c r="D67" s="31">
        <f t="shared" si="36"/>
        <v>1213.5</v>
      </c>
      <c r="E67" s="32">
        <f t="shared" si="37"/>
        <v>3856</v>
      </c>
      <c r="F67" s="31">
        <f t="shared" si="38"/>
        <v>1220.2129664444549</v>
      </c>
      <c r="G67" s="32">
        <f t="shared" si="39"/>
        <v>3969</v>
      </c>
      <c r="H67" s="33">
        <f t="shared" si="41"/>
        <v>5.5319047749937678E-3</v>
      </c>
      <c r="I67" s="34">
        <f t="shared" si="40"/>
        <v>2.9304979253111929E-2</v>
      </c>
      <c r="R67" s="78"/>
      <c r="S67" s="46" t="str">
        <f t="shared" si="42"/>
        <v>CWF</v>
      </c>
      <c r="T67" s="79"/>
      <c r="U67" s="50">
        <f>$J$54*$J$37*($D$54*G29+$E$54*H29+$F$54*I29)</f>
        <v>1202.432456838736</v>
      </c>
      <c r="V67" s="50">
        <f>$J$54*$J$37*($D$55*G29+$E$55*H29+$F$55*I29)</f>
        <v>1220.2129664444549</v>
      </c>
      <c r="W67" s="50">
        <f>$J$54*$J$37*($D$56*G29+$E$56*H29+$F$56*I29)</f>
        <v>683.83981896202556</v>
      </c>
      <c r="X67" s="29">
        <f t="shared" si="43"/>
        <v>3106.4852422452168</v>
      </c>
    </row>
    <row r="68" spans="1:24">
      <c r="A68" s="87"/>
      <c r="B68" s="48" t="str">
        <f t="shared" si="35"/>
        <v>D65</v>
      </c>
      <c r="C68" s="93"/>
      <c r="D68" s="31">
        <f t="shared" si="36"/>
        <v>576.75</v>
      </c>
      <c r="E68" s="32">
        <f t="shared" si="37"/>
        <v>6328</v>
      </c>
      <c r="F68" s="31">
        <f t="shared" si="38"/>
        <v>569.76140998639096</v>
      </c>
      <c r="G68" s="32">
        <f t="shared" si="39"/>
        <v>6091</v>
      </c>
      <c r="H68" s="33">
        <f t="shared" si="41"/>
        <v>-1.2117191180943343E-2</v>
      </c>
      <c r="I68" s="34">
        <f t="shared" si="40"/>
        <v>-3.7452591656131462E-2</v>
      </c>
      <c r="R68" s="78"/>
      <c r="S68" s="46" t="str">
        <f t="shared" si="42"/>
        <v>D65</v>
      </c>
      <c r="T68" s="79"/>
      <c r="U68" s="50">
        <f>$J$54*$J$37*($D$54*G30+$E$54*H30+$F$54*I30)</f>
        <v>508.20109838407183</v>
      </c>
      <c r="V68" s="50">
        <f>$J$54*$J$37*($D$55*G30+$E$55*H30+$F$55*I30)</f>
        <v>569.76140998639096</v>
      </c>
      <c r="W68" s="50">
        <f>$J$54*$J$37*($D$56*G30+$E$56*H30+$F$56*I30)</f>
        <v>508.35692222894846</v>
      </c>
      <c r="X68" s="29">
        <f t="shared" si="43"/>
        <v>1586.3194305994111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1.2989353055190778E-2</v>
      </c>
      <c r="G69" s="47"/>
      <c r="H69" s="36" t="str">
        <f>I59</f>
        <v>CCT</v>
      </c>
      <c r="I69" s="38">
        <f>MAX(MAX(I60:I68,-MIN(I60:I68)))</f>
        <v>0.11056511056511054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523</v>
      </c>
      <c r="E72" s="31">
        <f t="shared" ref="E72:E80" si="47">E60</f>
        <v>2849</v>
      </c>
      <c r="F72" s="31">
        <f t="shared" ref="F72:F80" si="48">V72</f>
        <v>524.07439992349521</v>
      </c>
      <c r="G72" s="32">
        <f t="shared" ref="G72:G80" si="49">getCCTfromXY(U72/X72,V72/X72)</f>
        <v>2986</v>
      </c>
      <c r="H72" s="33">
        <f>F72/D72-1</f>
        <v>2.0543019569698728E-3</v>
      </c>
      <c r="I72" s="34">
        <f t="shared" ref="I72:I80" si="50">G72/E72-1</f>
        <v>4.8087048087048112E-2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559.98615662456893</v>
      </c>
      <c r="V72" s="50">
        <f>$J$51*$J$31*($D$52*G22+$E$52*H22+$F$52*I22)</f>
        <v>524.07439992349521</v>
      </c>
      <c r="W72" s="50">
        <f>$J$51*$J$31*($D$53*G22+$E$53*H22+$F$53*I22)</f>
        <v>178.01995058176129</v>
      </c>
      <c r="X72" s="29">
        <f>SUM(U72:W72)</f>
        <v>1262.0805071298255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1213.5</v>
      </c>
      <c r="E73" s="31">
        <f t="shared" si="47"/>
        <v>3856</v>
      </c>
      <c r="F73" s="31">
        <f t="shared" si="48"/>
        <v>1221.0877474010783</v>
      </c>
      <c r="G73" s="32">
        <f t="shared" si="49"/>
        <v>3771</v>
      </c>
      <c r="H73" s="33">
        <f t="shared" ref="H73:H80" si="52">F73/D73-1</f>
        <v>6.2527790696977892E-3</v>
      </c>
      <c r="I73" s="34">
        <f t="shared" si="50"/>
        <v>-2.2043568464730323E-2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1218.6695869621042</v>
      </c>
      <c r="V73" s="50">
        <f t="shared" ref="V73:V74" si="55">$J$51*$J$31*($D$52*G23+$E$52*H23+$F$52*I23)</f>
        <v>1221.0877474010783</v>
      </c>
      <c r="W73" s="50">
        <f t="shared" ref="W73:W74" si="56">$J$51*$J$31*($D$53*G23+$E$53*H23+$F$53*I23)</f>
        <v>633.53362709922942</v>
      </c>
      <c r="X73" s="29">
        <f t="shared" ref="X73:X80" si="57">SUM(U73:W73)</f>
        <v>3073.2909614624118</v>
      </c>
    </row>
    <row r="74" spans="1:24">
      <c r="A74" s="87"/>
      <c r="B74" s="48" t="str">
        <f t="shared" si="46"/>
        <v>X</v>
      </c>
      <c r="C74" s="93"/>
      <c r="D74" s="31">
        <f t="shared" si="51"/>
        <v>576.75</v>
      </c>
      <c r="E74" s="31">
        <f t="shared" si="47"/>
        <v>6328</v>
      </c>
      <c r="F74" s="31">
        <f t="shared" si="48"/>
        <v>576.50968826125995</v>
      </c>
      <c r="G74" s="32">
        <f t="shared" si="49"/>
        <v>6408</v>
      </c>
      <c r="H74" s="33">
        <f t="shared" si="52"/>
        <v>-4.1666534675344202E-4</v>
      </c>
      <c r="I74" s="34">
        <f t="shared" si="50"/>
        <v>1.2642225031605614E-2</v>
      </c>
      <c r="R74" s="78"/>
      <c r="S74" s="46" t="str">
        <f t="shared" si="53"/>
        <v>D65</v>
      </c>
      <c r="T74" s="79"/>
      <c r="U74" s="50">
        <f t="shared" si="54"/>
        <v>508.32795072787991</v>
      </c>
      <c r="V74" s="50">
        <f t="shared" si="55"/>
        <v>576.50968826125995</v>
      </c>
      <c r="W74" s="50">
        <f t="shared" si="56"/>
        <v>535.76365994864091</v>
      </c>
      <c r="X74" s="29">
        <f t="shared" si="57"/>
        <v>1620.6012989377807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523</v>
      </c>
      <c r="E75" s="31">
        <f t="shared" si="47"/>
        <v>2849</v>
      </c>
      <c r="F75" s="31">
        <f t="shared" si="48"/>
        <v>531.01826433200063</v>
      </c>
      <c r="G75" s="32">
        <f t="shared" si="49"/>
        <v>3123</v>
      </c>
      <c r="H75" s="33">
        <f t="shared" si="52"/>
        <v>1.5331289353729627E-2</v>
      </c>
      <c r="I75" s="34">
        <f t="shared" si="50"/>
        <v>9.6174096174096224E-2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560.68740743075534</v>
      </c>
      <c r="V75" s="50">
        <f>$J$51*$J$34*($D$52*G25+$E$52*H25+$F$52*I25)</f>
        <v>531.01826433200063</v>
      </c>
      <c r="W75" s="50">
        <f>$J$51*$J$34*($D$53*G25+$E$53*H25+$F$53*I25)</f>
        <v>202.42608547774429</v>
      </c>
      <c r="X75" s="29">
        <f t="shared" si="57"/>
        <v>1294.1317572405003</v>
      </c>
    </row>
    <row r="76" spans="1:24">
      <c r="A76" s="87"/>
      <c r="B76" s="48" t="str">
        <f t="shared" si="46"/>
        <v>Z</v>
      </c>
      <c r="C76" s="93"/>
      <c r="D76" s="31">
        <f t="shared" si="51"/>
        <v>1213.5</v>
      </c>
      <c r="E76" s="31">
        <f t="shared" si="47"/>
        <v>3856</v>
      </c>
      <c r="F76" s="31">
        <f t="shared" si="48"/>
        <v>1202.2531956917358</v>
      </c>
      <c r="G76" s="32">
        <f t="shared" si="49"/>
        <v>3846</v>
      </c>
      <c r="H76" s="33">
        <f t="shared" si="52"/>
        <v>-9.2680711234151003E-3</v>
      </c>
      <c r="I76" s="34">
        <f t="shared" si="50"/>
        <v>-2.5933609958506132E-3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1194.3150593579812</v>
      </c>
      <c r="V76" s="50">
        <f t="shared" ref="V76:V77" si="59">$J$51*$J$34*($D$52*G26+$E$52*H26+$F$52*I26)</f>
        <v>1202.2531956917358</v>
      </c>
      <c r="W76" s="50">
        <f t="shared" ref="W76:W77" si="60">$J$51*$J$34*($D$53*G26+$E$53*H26+$F$53*I26)</f>
        <v>643.90905033591696</v>
      </c>
      <c r="X76" s="29">
        <f t="shared" si="57"/>
        <v>3040.4773053856338</v>
      </c>
    </row>
    <row r="77" spans="1:24">
      <c r="A77" s="87"/>
      <c r="B77" s="48" t="str">
        <f t="shared" si="46"/>
        <v>X</v>
      </c>
      <c r="C77" s="93"/>
      <c r="D77" s="31">
        <f t="shared" si="51"/>
        <v>576.75</v>
      </c>
      <c r="E77" s="31">
        <f t="shared" si="47"/>
        <v>6328</v>
      </c>
      <c r="F77" s="31">
        <f t="shared" si="48"/>
        <v>585.81141885117211</v>
      </c>
      <c r="G77" s="32">
        <f t="shared" si="49"/>
        <v>6390</v>
      </c>
      <c r="H77" s="33">
        <f t="shared" si="52"/>
        <v>1.5711172693839703E-2</v>
      </c>
      <c r="I77" s="34">
        <f t="shared" si="50"/>
        <v>9.7977243994942231E-3</v>
      </c>
      <c r="R77" s="78"/>
      <c r="S77" s="46" t="str">
        <f t="shared" si="53"/>
        <v>D65</v>
      </c>
      <c r="T77" s="79"/>
      <c r="U77" s="50">
        <f t="shared" si="58"/>
        <v>516.85774947010327</v>
      </c>
      <c r="V77" s="50">
        <f t="shared" si="59"/>
        <v>585.81141885117211</v>
      </c>
      <c r="W77" s="50">
        <f t="shared" si="60"/>
        <v>543.2672682851985</v>
      </c>
      <c r="X77" s="29">
        <f t="shared" si="57"/>
        <v>1645.9364366064738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523</v>
      </c>
      <c r="E78" s="31">
        <f t="shared" si="47"/>
        <v>2849</v>
      </c>
      <c r="F78" s="31">
        <f t="shared" si="48"/>
        <v>518.65336273036905</v>
      </c>
      <c r="G78" s="32">
        <f t="shared" si="49"/>
        <v>2492</v>
      </c>
      <c r="H78" s="33">
        <f t="shared" si="52"/>
        <v>-8.31096992281255E-3</v>
      </c>
      <c r="I78" s="34">
        <f t="shared" si="50"/>
        <v>-0.12530712530712529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583.20850246662269</v>
      </c>
      <c r="V78" s="50">
        <f>$J$51*$J$37*($D$52*G28+$E$52*H28+$F$52*I28)</f>
        <v>518.65336273036905</v>
      </c>
      <c r="W78" s="50">
        <f>$J$51*$J$37*($D$53*G28+$E$53*H28+$F$53*I28)</f>
        <v>80.783010977092118</v>
      </c>
      <c r="X78" s="29">
        <f t="shared" si="57"/>
        <v>1182.6448761740839</v>
      </c>
    </row>
    <row r="79" spans="1:24">
      <c r="A79" s="87"/>
      <c r="B79" s="48" t="str">
        <f t="shared" si="46"/>
        <v>Z</v>
      </c>
      <c r="C79" s="93"/>
      <c r="D79" s="31">
        <f t="shared" si="51"/>
        <v>1213.5</v>
      </c>
      <c r="E79" s="31">
        <f t="shared" si="47"/>
        <v>3856</v>
      </c>
      <c r="F79" s="31">
        <f t="shared" si="48"/>
        <v>1221.8080542762771</v>
      </c>
      <c r="G79" s="32">
        <f t="shared" si="49"/>
        <v>3970</v>
      </c>
      <c r="H79" s="33">
        <f t="shared" si="52"/>
        <v>6.846357046787821E-3</v>
      </c>
      <c r="I79" s="34">
        <f t="shared" si="50"/>
        <v>2.956431535269699E-2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1203.8664175746933</v>
      </c>
      <c r="V79" s="50">
        <f t="shared" ref="V79:V80" si="62">$J$51*$J$37*($D$52*G29+$E$52*H29+$F$52*I29)</f>
        <v>1221.8080542762771</v>
      </c>
      <c r="W79" s="50">
        <f t="shared" ref="W79:W80" si="63">$J$51*$J$37*($D$53*G29+$E$53*H29+$F$53*I29)</f>
        <v>685.10604562697063</v>
      </c>
      <c r="X79" s="29">
        <f t="shared" si="57"/>
        <v>3110.780517477941</v>
      </c>
    </row>
    <row r="80" spans="1:24">
      <c r="A80" s="87"/>
      <c r="B80" s="48" t="str">
        <f t="shared" si="46"/>
        <v>X</v>
      </c>
      <c r="C80" s="93"/>
      <c r="D80" s="31">
        <f t="shared" si="51"/>
        <v>576.75</v>
      </c>
      <c r="E80" s="31">
        <f t="shared" si="47"/>
        <v>6328</v>
      </c>
      <c r="F80" s="31">
        <f t="shared" si="48"/>
        <v>571.8949268600345</v>
      </c>
      <c r="G80" s="32">
        <f t="shared" si="49"/>
        <v>6250</v>
      </c>
      <c r="H80" s="33">
        <f t="shared" si="52"/>
        <v>-8.4179855049250074E-3</v>
      </c>
      <c r="I80" s="34">
        <f t="shared" si="50"/>
        <v>-1.2326169405815435E-2</v>
      </c>
      <c r="R80" s="78"/>
      <c r="S80" s="46" t="str">
        <f t="shared" si="53"/>
        <v>D65</v>
      </c>
      <c r="T80" s="79"/>
      <c r="U80" s="50">
        <f t="shared" si="61"/>
        <v>506.93831148271801</v>
      </c>
      <c r="V80" s="50">
        <f t="shared" si="62"/>
        <v>571.8949268600345</v>
      </c>
      <c r="W80" s="50">
        <f t="shared" si="63"/>
        <v>520.7706368963776</v>
      </c>
      <c r="X80" s="29">
        <f t="shared" si="57"/>
        <v>1599.60387523913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1.5711172693839703E-2</v>
      </c>
      <c r="G81" s="47"/>
      <c r="H81" s="36" t="str">
        <f>I71</f>
        <v>CCT</v>
      </c>
      <c r="I81" s="38">
        <f>MAX(MAX(I72:I80,-MIN(I72:I80)))</f>
        <v>0.12530712530712529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523</v>
      </c>
      <c r="E84" s="31">
        <f t="shared" ref="E84:E92" si="67">E72</f>
        <v>2849</v>
      </c>
      <c r="F84" s="31">
        <f t="shared" ref="F84:F92" si="68">V84</f>
        <v>522.99999999999989</v>
      </c>
      <c r="G84" s="32">
        <f t="shared" ref="G84:G92" si="69">getCCTfromXY(U84/X84,V84/X84)</f>
        <v>2849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566.00000000000011</v>
      </c>
      <c r="V84" s="50">
        <f>$J$42*$J$31*($D$43*G22+$E$43*H22+$F$43*I22)</f>
        <v>522.99999999999989</v>
      </c>
      <c r="W84" s="50">
        <f>$J$42*$J$31*($D$44*G22+$E$44*H22+$F$44*I22)</f>
        <v>154</v>
      </c>
      <c r="X84" s="29">
        <f>SUM(U84:W84)</f>
        <v>1243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1213.5</v>
      </c>
      <c r="E85" s="31">
        <f t="shared" si="67"/>
        <v>3856</v>
      </c>
      <c r="F85" s="31">
        <f t="shared" si="68"/>
        <v>1213.5</v>
      </c>
      <c r="G85" s="32">
        <f t="shared" si="69"/>
        <v>3856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1204.5000000000002</v>
      </c>
      <c r="V85" s="50">
        <f t="shared" ref="V85:V86" si="75">$J$42*$J$31*($D$43*G23+$E$43*H23+$F$43*I23)</f>
        <v>1213.5</v>
      </c>
      <c r="W85" s="50">
        <f t="shared" ref="W85:W86" si="76">$J$42*$J$31*($D$44*G23+$E$44*H23+$F$44*I23)</f>
        <v>652.00000000000011</v>
      </c>
      <c r="X85" s="29">
        <f t="shared" ref="X85:X92" si="77">SUM(U85:W85)</f>
        <v>3070</v>
      </c>
    </row>
    <row r="86" spans="1:24">
      <c r="A86" s="87"/>
      <c r="B86" s="48">
        <f t="shared" si="66"/>
        <v>0</v>
      </c>
      <c r="C86" s="93"/>
      <c r="D86" s="31">
        <f t="shared" si="71"/>
        <v>576.75</v>
      </c>
      <c r="E86" s="31">
        <f t="shared" si="67"/>
        <v>6328</v>
      </c>
      <c r="F86" s="31">
        <f t="shared" si="68"/>
        <v>576.75000000000011</v>
      </c>
      <c r="G86" s="32">
        <f t="shared" si="69"/>
        <v>6328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509.95000000000016</v>
      </c>
      <c r="V86" s="50">
        <f t="shared" si="75"/>
        <v>576.75000000000011</v>
      </c>
      <c r="W86" s="50">
        <f t="shared" si="76"/>
        <v>530.64999999999986</v>
      </c>
      <c r="X86" s="29">
        <f t="shared" si="77"/>
        <v>1617.3500000000001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523</v>
      </c>
      <c r="E87" s="31">
        <f t="shared" si="67"/>
        <v>2849</v>
      </c>
      <c r="F87" s="31">
        <f t="shared" si="68"/>
        <v>523.00000000000011</v>
      </c>
      <c r="G87" s="32">
        <f t="shared" si="69"/>
        <v>2849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565.99999999999977</v>
      </c>
      <c r="V87" s="50">
        <f>$J$45*$J$34*($D$46*G25+$E$46*H25+$F$46*I25)</f>
        <v>523.00000000000011</v>
      </c>
      <c r="W87" s="50">
        <f>$J$45*$J$34*($D$47*G25+$E$47*H25+$F$47*I25)</f>
        <v>154</v>
      </c>
      <c r="X87" s="29">
        <f t="shared" si="77"/>
        <v>1243</v>
      </c>
    </row>
    <row r="88" spans="1:24">
      <c r="A88" s="87"/>
      <c r="B88" s="48">
        <f t="shared" si="66"/>
        <v>0</v>
      </c>
      <c r="C88" s="93"/>
      <c r="D88" s="31">
        <f t="shared" si="71"/>
        <v>1213.5</v>
      </c>
      <c r="E88" s="31">
        <f t="shared" si="67"/>
        <v>3856</v>
      </c>
      <c r="F88" s="31">
        <f t="shared" si="68"/>
        <v>1213.5</v>
      </c>
      <c r="G88" s="32">
        <f t="shared" si="69"/>
        <v>3856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1204.5000000000005</v>
      </c>
      <c r="V88" s="50">
        <f t="shared" ref="V88:V89" si="79">$J$45*$J$34*($D$46*G26+$E$46*H26+$F$46*I26)</f>
        <v>1213.5</v>
      </c>
      <c r="W88" s="50">
        <f t="shared" ref="W88:W89" si="80">$J$45*$J$34*($D$47*G26+$E$47*H26+$F$47*I26)</f>
        <v>652</v>
      </c>
      <c r="X88" s="29">
        <f t="shared" si="77"/>
        <v>3070.0000000000005</v>
      </c>
    </row>
    <row r="89" spans="1:24">
      <c r="A89" s="87"/>
      <c r="B89" s="48" t="str">
        <f t="shared" si="66"/>
        <v>A</v>
      </c>
      <c r="C89" s="93"/>
      <c r="D89" s="31">
        <f t="shared" si="71"/>
        <v>576.75</v>
      </c>
      <c r="E89" s="31">
        <f t="shared" si="67"/>
        <v>6328</v>
      </c>
      <c r="F89" s="31">
        <f t="shared" si="68"/>
        <v>576.74999999999989</v>
      </c>
      <c r="G89" s="32">
        <f t="shared" si="69"/>
        <v>6328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509.95000000000005</v>
      </c>
      <c r="V89" s="50">
        <f t="shared" si="79"/>
        <v>576.74999999999989</v>
      </c>
      <c r="W89" s="50">
        <f t="shared" si="80"/>
        <v>530.64999999999975</v>
      </c>
      <c r="X89" s="29">
        <f t="shared" si="77"/>
        <v>1617.3499999999995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523</v>
      </c>
      <c r="E90" s="31">
        <f t="shared" si="67"/>
        <v>2849</v>
      </c>
      <c r="F90" s="31">
        <f t="shared" si="68"/>
        <v>523.00000000000011</v>
      </c>
      <c r="G90" s="32">
        <f t="shared" si="69"/>
        <v>2849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565.99999999999977</v>
      </c>
      <c r="V90" s="50">
        <f>$J$48*$J$37*($D$49*G28+$E$49*H28+$F$49*I28)</f>
        <v>523.00000000000011</v>
      </c>
      <c r="W90" s="50">
        <f>$J$48*$J$37*($D$50*G28+$E$50*H28+$F$50*I28)</f>
        <v>153.9999999999998</v>
      </c>
      <c r="X90" s="29">
        <f t="shared" si="77"/>
        <v>1242.9999999999998</v>
      </c>
    </row>
    <row r="91" spans="1:24">
      <c r="A91" s="87"/>
      <c r="B91" s="48" t="str">
        <f t="shared" si="66"/>
        <v>D65</v>
      </c>
      <c r="C91" s="93"/>
      <c r="D91" s="31">
        <f t="shared" si="71"/>
        <v>1213.5</v>
      </c>
      <c r="E91" s="31">
        <f t="shared" si="67"/>
        <v>3856</v>
      </c>
      <c r="F91" s="31">
        <f t="shared" si="68"/>
        <v>1213.5000000000002</v>
      </c>
      <c r="G91" s="32">
        <f t="shared" si="69"/>
        <v>3856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1204.5</v>
      </c>
      <c r="V91" s="50">
        <f t="shared" ref="V91:V92" si="82">$J$48*$J$37*($D$49*G29+$E$49*H29+$F$49*I29)</f>
        <v>1213.5000000000002</v>
      </c>
      <c r="W91" s="50">
        <f t="shared" ref="W91:W92" si="83">$J$48*$J$37*($D$50*G29+$E$50*H29+$F$50*I29)</f>
        <v>652</v>
      </c>
      <c r="X91" s="29">
        <f t="shared" si="77"/>
        <v>3070</v>
      </c>
    </row>
    <row r="92" spans="1:24">
      <c r="A92" s="87"/>
      <c r="B92" s="48" t="str">
        <f t="shared" si="66"/>
        <v>A</v>
      </c>
      <c r="C92" s="93"/>
      <c r="D92" s="31">
        <f t="shared" si="71"/>
        <v>576.75</v>
      </c>
      <c r="E92" s="31">
        <f t="shared" si="67"/>
        <v>6328</v>
      </c>
      <c r="F92" s="31">
        <f t="shared" si="68"/>
        <v>576.75</v>
      </c>
      <c r="G92" s="32">
        <f t="shared" si="69"/>
        <v>6328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509.9500000000001</v>
      </c>
      <c r="V92" s="50">
        <f t="shared" si="82"/>
        <v>576.75</v>
      </c>
      <c r="W92" s="50">
        <f t="shared" si="83"/>
        <v>530.65000000000009</v>
      </c>
      <c r="X92" s="29">
        <f t="shared" si="77"/>
        <v>1617.3500000000001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1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1.3418561658878474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73.085501327642945</v>
      </c>
      <c r="N3" s="46">
        <v>0</v>
      </c>
      <c r="O3" s="50">
        <f>G$5-N3*G$7</f>
        <v>120.81915437184645</v>
      </c>
      <c r="P3" s="50">
        <f>H$5-N3*H$7</f>
        <v>47.733653044203507</v>
      </c>
      <c r="Q3" s="50">
        <f>I$5-N3*I$7</f>
        <v>56.772737765466289</v>
      </c>
    </row>
    <row r="4" spans="1:17">
      <c r="C4" s="46" t="s">
        <v>20</v>
      </c>
      <c r="D4" s="7">
        <v>521.9</v>
      </c>
      <c r="E4" s="7">
        <v>1199</v>
      </c>
      <c r="F4" s="7">
        <v>577.6</v>
      </c>
      <c r="G4" s="50">
        <f>AVERAGE(D4:F4)</f>
        <v>766.16666666666663</v>
      </c>
      <c r="H4" s="50">
        <f>G4</f>
        <v>766.16666666666663</v>
      </c>
      <c r="I4" s="50">
        <f>H4</f>
        <v>766.16666666666663</v>
      </c>
      <c r="K4" s="13" t="str">
        <f>linefmt("Compensation",B12)</f>
        <v>"Compensation",37,</v>
      </c>
      <c r="M4" s="46">
        <f t="shared" si="0"/>
        <v>71.09447556293668</v>
      </c>
      <c r="N4" s="46">
        <f>N3+1</f>
        <v>1</v>
      </c>
      <c r="O4" s="50">
        <f t="shared" ref="O4:O66" si="1">G$5-N4*G$7</f>
        <v>118.74342332948632</v>
      </c>
      <c r="P4" s="50">
        <f t="shared" ref="P4:P66" si="2">H$5-N4*H$7</f>
        <v>47.648947766549647</v>
      </c>
      <c r="Q4" s="50">
        <f t="shared" ref="Q4:Q66" si="3">I$5-N4*I$7</f>
        <v>56.464257338572864</v>
      </c>
    </row>
    <row r="5" spans="1:17">
      <c r="C5" s="46">
        <v>0</v>
      </c>
      <c r="D5" s="9">
        <v>82.3</v>
      </c>
      <c r="E5" s="9">
        <v>74.7</v>
      </c>
      <c r="F5" s="9">
        <v>42.8</v>
      </c>
      <c r="G5" s="50">
        <f>G$4/D$4*D5</f>
        <v>120.81915437184645</v>
      </c>
      <c r="H5" s="50">
        <f t="shared" ref="H5:I6" si="4">H$4/E$4*E5</f>
        <v>47.733653044203507</v>
      </c>
      <c r="I5" s="50">
        <f t="shared" si="4"/>
        <v>56.772737765466289</v>
      </c>
      <c r="K5" s="14" t="str">
        <f>linefmt("CardGain",J54)</f>
        <v>"CardGain",18.45146,</v>
      </c>
      <c r="M5" s="46">
        <f t="shared" si="0"/>
        <v>69.1034497982304</v>
      </c>
      <c r="N5" s="46">
        <f t="shared" ref="N5:N66" si="5">N4+1</f>
        <v>2</v>
      </c>
      <c r="O5" s="50">
        <f t="shared" si="1"/>
        <v>116.66769228712619</v>
      </c>
      <c r="P5" s="50">
        <f t="shared" si="2"/>
        <v>47.564242488895786</v>
      </c>
      <c r="Q5" s="50">
        <f t="shared" si="3"/>
        <v>56.155776911679432</v>
      </c>
    </row>
    <row r="6" spans="1:17">
      <c r="B6" s="50">
        <f>D5/4</f>
        <v>20.574999999999999</v>
      </c>
      <c r="C6" s="7">
        <v>43</v>
      </c>
      <c r="D6" s="9">
        <v>21.5</v>
      </c>
      <c r="E6" s="9">
        <v>69</v>
      </c>
      <c r="F6" s="9">
        <v>32.799999999999997</v>
      </c>
      <c r="G6" s="50">
        <f>G$4/D$4*D6</f>
        <v>31.56271955036086</v>
      </c>
      <c r="H6" s="50">
        <f t="shared" si="4"/>
        <v>44.091326105087575</v>
      </c>
      <c r="I6" s="50">
        <f t="shared" si="4"/>
        <v>43.508079409048932</v>
      </c>
      <c r="K6" s="14" t="str">
        <f>linefmt("Range",1,J34,J37)</f>
        <v>"Range",1,0.9003322,1.071711,</v>
      </c>
      <c r="M6" s="46">
        <f t="shared" si="0"/>
        <v>67.112424033524135</v>
      </c>
      <c r="N6" s="46">
        <f t="shared" si="5"/>
        <v>3</v>
      </c>
      <c r="O6" s="50">
        <f t="shared" si="1"/>
        <v>114.59196124476607</v>
      </c>
      <c r="P6" s="50">
        <f t="shared" si="2"/>
        <v>47.479537211241933</v>
      </c>
      <c r="Q6" s="50">
        <f t="shared" si="3"/>
        <v>55.847296484786007</v>
      </c>
    </row>
    <row r="7" spans="1:17">
      <c r="C7" s="46">
        <f>C5</f>
        <v>0</v>
      </c>
      <c r="D7" s="46">
        <f t="shared" ref="D7:F8" si="6">D$4/D5</f>
        <v>6.3414337788578372</v>
      </c>
      <c r="E7" s="46">
        <f t="shared" si="6"/>
        <v>16.05087014725569</v>
      </c>
      <c r="F7" s="46">
        <f t="shared" si="6"/>
        <v>13.49532710280374</v>
      </c>
      <c r="G7" s="49">
        <f>(G5-G6)/($C6-$C5)</f>
        <v>2.0757310423601298</v>
      </c>
      <c r="H7" s="49">
        <f t="shared" ref="H7:I7" si="7">(H5-H6)/($C6-$C5)</f>
        <v>8.4705277653858893E-2</v>
      </c>
      <c r="I7" s="49">
        <f t="shared" si="7"/>
        <v>0.30848042689342692</v>
      </c>
      <c r="K7" s="14" t="str">
        <f>linefmt("CCM" )</f>
        <v>"CCM",</v>
      </c>
      <c r="M7" s="46">
        <f t="shared" si="0"/>
        <v>65.12139826881787</v>
      </c>
      <c r="N7" s="46">
        <f t="shared" si="5"/>
        <v>4</v>
      </c>
      <c r="O7" s="50">
        <f t="shared" si="1"/>
        <v>112.51623020240594</v>
      </c>
      <c r="P7" s="50">
        <f t="shared" si="2"/>
        <v>47.394831933588073</v>
      </c>
      <c r="Q7" s="50">
        <f t="shared" si="3"/>
        <v>55.538816057892582</v>
      </c>
    </row>
    <row r="8" spans="1:17">
      <c r="C8" s="46">
        <f>C6</f>
        <v>43</v>
      </c>
      <c r="D8" s="46">
        <f t="shared" si="6"/>
        <v>24.27441860465116</v>
      </c>
      <c r="E8" s="46">
        <f t="shared" si="6"/>
        <v>17.376811594202898</v>
      </c>
      <c r="F8" s="46">
        <f t="shared" si="6"/>
        <v>17.609756097560979</v>
      </c>
      <c r="K8" s="15" t="str">
        <f>linefmt("",D54,E54,F54)</f>
        <v>0.1827402,1.042331,-0.419997,</v>
      </c>
      <c r="M8" s="46">
        <f t="shared" si="0"/>
        <v>63.130372504111591</v>
      </c>
      <c r="N8" s="46">
        <f t="shared" si="5"/>
        <v>5</v>
      </c>
      <c r="O8" s="50">
        <f t="shared" si="1"/>
        <v>110.4404991600458</v>
      </c>
      <c r="P8" s="50">
        <f t="shared" si="2"/>
        <v>47.310126655934212</v>
      </c>
      <c r="Q8" s="50">
        <f t="shared" si="3"/>
        <v>55.230335630999157</v>
      </c>
    </row>
    <row r="9" spans="1:17">
      <c r="C9" s="46" t="s">
        <v>23</v>
      </c>
      <c r="D9" s="46">
        <f>(D8-D7)/($C8-$C7)</f>
        <v>0.41704615873937961</v>
      </c>
      <c r="E9" s="46">
        <f>(E8-E7)/($C8-$C7)</f>
        <v>3.083584760342345E-2</v>
      </c>
      <c r="F9" s="46">
        <f>(F8-F7)/($C8-$C7)</f>
        <v>9.5684395226912522E-2</v>
      </c>
      <c r="K9" s="15" t="str">
        <f>linefmt("",D55,E55,F55)</f>
        <v>4.258462E-02,1,-0.1256949,</v>
      </c>
      <c r="M9" s="46">
        <f t="shared" si="0"/>
        <v>61.139346739405319</v>
      </c>
      <c r="N9" s="46">
        <f t="shared" si="5"/>
        <v>6</v>
      </c>
      <c r="O9" s="50">
        <f t="shared" si="1"/>
        <v>108.36476811768567</v>
      </c>
      <c r="P9" s="50">
        <f t="shared" si="2"/>
        <v>47.225421378280352</v>
      </c>
      <c r="Q9" s="50">
        <f t="shared" si="3"/>
        <v>54.921855204105725</v>
      </c>
    </row>
    <row r="10" spans="1:17">
      <c r="K10" s="16" t="str">
        <f>linefmt("",D56,E56,F56)</f>
        <v>-0.4404401,0.3248054,0.9875086,</v>
      </c>
      <c r="M10" s="46">
        <f t="shared" si="0"/>
        <v>59.148320974699047</v>
      </c>
      <c r="N10" s="46">
        <f t="shared" si="5"/>
        <v>7</v>
      </c>
      <c r="O10" s="50">
        <f t="shared" si="1"/>
        <v>106.28903707532554</v>
      </c>
      <c r="P10" s="50">
        <f t="shared" si="2"/>
        <v>47.140716100626491</v>
      </c>
      <c r="Q10" s="50">
        <f t="shared" si="3"/>
        <v>54.6133747772123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57.157295209992782</v>
      </c>
      <c r="N11" s="46">
        <f t="shared" si="5"/>
        <v>8</v>
      </c>
      <c r="O11" s="50">
        <f t="shared" si="1"/>
        <v>104.21330603296542</v>
      </c>
      <c r="P11" s="50">
        <f t="shared" si="2"/>
        <v>47.056010822972638</v>
      </c>
      <c r="Q11" s="50">
        <f t="shared" si="3"/>
        <v>54.304894350318875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55.16626944528651</v>
      </c>
      <c r="N12" s="46">
        <f t="shared" si="5"/>
        <v>9</v>
      </c>
      <c r="O12" s="50">
        <f t="shared" si="1"/>
        <v>102.13757499060529</v>
      </c>
      <c r="P12" s="50">
        <f t="shared" si="2"/>
        <v>46.971305545318778</v>
      </c>
      <c r="Q12" s="50">
        <f t="shared" si="3"/>
        <v>53.99641392342545</v>
      </c>
    </row>
    <row r="13" spans="1:17">
      <c r="A13" s="78" t="s">
        <v>12</v>
      </c>
      <c r="B13" s="79" t="s">
        <v>0</v>
      </c>
      <c r="C13" s="46">
        <v>0</v>
      </c>
      <c r="D13" s="7">
        <v>548</v>
      </c>
      <c r="E13" s="7">
        <v>507.1</v>
      </c>
      <c r="F13" s="7">
        <v>154.19999999999999</v>
      </c>
      <c r="G13" s="8">
        <v>79.7</v>
      </c>
      <c r="H13" s="8">
        <v>28.9</v>
      </c>
      <c r="I13" s="8">
        <v>36.200000000000003</v>
      </c>
      <c r="M13" s="46">
        <f t="shared" si="0"/>
        <v>53.175243680580238</v>
      </c>
      <c r="N13" s="46">
        <f t="shared" si="5"/>
        <v>10</v>
      </c>
      <c r="O13" s="50">
        <f t="shared" si="1"/>
        <v>100.06184394824515</v>
      </c>
      <c r="P13" s="50">
        <f t="shared" si="2"/>
        <v>46.886600267664917</v>
      </c>
      <c r="Q13" s="50">
        <f t="shared" si="3"/>
        <v>53.687933496532018</v>
      </c>
    </row>
    <row r="14" spans="1:17">
      <c r="A14" s="78"/>
      <c r="B14" s="79"/>
      <c r="C14" s="46">
        <f>C13+1</f>
        <v>1</v>
      </c>
      <c r="D14" s="7">
        <v>555.9</v>
      </c>
      <c r="E14" s="7">
        <v>514.1</v>
      </c>
      <c r="F14" s="7">
        <v>154</v>
      </c>
      <c r="G14" s="8">
        <v>87</v>
      </c>
      <c r="H14" s="8">
        <v>32.700000000000003</v>
      </c>
      <c r="I14" s="8">
        <v>40.799999999999997</v>
      </c>
      <c r="M14" s="46">
        <f t="shared" si="0"/>
        <v>51.184217915873965</v>
      </c>
      <c r="N14" s="46">
        <f t="shared" si="5"/>
        <v>11</v>
      </c>
      <c r="O14" s="50">
        <f t="shared" si="1"/>
        <v>97.986112905885022</v>
      </c>
      <c r="P14" s="50">
        <f t="shared" si="2"/>
        <v>46.801894990011057</v>
      </c>
      <c r="Q14" s="50">
        <f t="shared" si="3"/>
        <v>53.379453069638593</v>
      </c>
    </row>
    <row r="15" spans="1:17">
      <c r="A15" s="78"/>
      <c r="B15" s="79"/>
      <c r="C15" s="46">
        <f>C14+1</f>
        <v>2</v>
      </c>
      <c r="D15" s="6">
        <f>2*(D13-D14)/(D13+D14)</f>
        <v>-1.4312890660385862E-2</v>
      </c>
      <c r="E15" s="6">
        <f t="shared" ref="E15:F15" si="8">2*(E13-E14)/(E13+E14)</f>
        <v>-1.3709361535448491E-2</v>
      </c>
      <c r="F15" s="6">
        <f t="shared" si="8"/>
        <v>1.2978585334197834E-3</v>
      </c>
      <c r="G15" s="8">
        <v>84.4</v>
      </c>
      <c r="H15" s="8">
        <v>26.4</v>
      </c>
      <c r="I15" s="8">
        <v>33.299999999999997</v>
      </c>
      <c r="M15" s="46">
        <f t="shared" si="0"/>
        <v>49.193192151167693</v>
      </c>
      <c r="N15" s="46">
        <f t="shared" si="5"/>
        <v>12</v>
      </c>
      <c r="O15" s="50">
        <f t="shared" si="1"/>
        <v>95.91038186352489</v>
      </c>
      <c r="P15" s="50">
        <f t="shared" si="2"/>
        <v>46.717189712357197</v>
      </c>
      <c r="Q15" s="50">
        <f t="shared" si="3"/>
        <v>53.070972642745168</v>
      </c>
    </row>
    <row r="16" spans="1:17">
      <c r="A16" s="78"/>
      <c r="B16" s="79" t="s">
        <v>1</v>
      </c>
      <c r="C16" s="46">
        <f>C13</f>
        <v>0</v>
      </c>
      <c r="D16" s="7">
        <v>1194</v>
      </c>
      <c r="E16" s="7">
        <v>1202</v>
      </c>
      <c r="F16" s="7">
        <v>646</v>
      </c>
      <c r="G16" s="8">
        <v>61.2</v>
      </c>
      <c r="H16" s="8">
        <v>70.099999999999994</v>
      </c>
      <c r="I16" s="8">
        <v>40.4</v>
      </c>
      <c r="M16" s="46">
        <f t="shared" si="0"/>
        <v>47.202166386461414</v>
      </c>
      <c r="N16" s="46">
        <f t="shared" si="5"/>
        <v>13</v>
      </c>
      <c r="O16" s="50">
        <f t="shared" si="1"/>
        <v>93.834650821164757</v>
      </c>
      <c r="P16" s="50">
        <f t="shared" si="2"/>
        <v>46.632484434703343</v>
      </c>
      <c r="Q16" s="50">
        <f t="shared" si="3"/>
        <v>52.762492215851736</v>
      </c>
    </row>
    <row r="17" spans="1:21">
      <c r="A17" s="78"/>
      <c r="B17" s="79"/>
      <c r="C17" s="46">
        <f t="shared" ref="C17:C21" si="9">C14</f>
        <v>1</v>
      </c>
      <c r="D17" s="7">
        <v>1196</v>
      </c>
      <c r="E17" s="7">
        <v>1205</v>
      </c>
      <c r="F17" s="7">
        <v>645</v>
      </c>
      <c r="G17" s="8">
        <v>67.7</v>
      </c>
      <c r="H17" s="8">
        <v>76.599999999999994</v>
      </c>
      <c r="I17" s="8">
        <v>45.2</v>
      </c>
      <c r="M17" s="46">
        <f t="shared" si="0"/>
        <v>45.211140621755142</v>
      </c>
      <c r="N17" s="46">
        <f t="shared" si="5"/>
        <v>14</v>
      </c>
      <c r="O17" s="50">
        <f t="shared" si="1"/>
        <v>91.758919778804625</v>
      </c>
      <c r="P17" s="50">
        <f t="shared" si="2"/>
        <v>46.547779157049483</v>
      </c>
      <c r="Q17" s="50">
        <f t="shared" si="3"/>
        <v>52.454011788958312</v>
      </c>
    </row>
    <row r="18" spans="1:21">
      <c r="A18" s="78"/>
      <c r="B18" s="79"/>
      <c r="C18" s="46">
        <f t="shared" si="9"/>
        <v>2</v>
      </c>
      <c r="D18" s="6">
        <f>2*(D16-D17)/(D16+D17)</f>
        <v>-1.6736401673640166E-3</v>
      </c>
      <c r="E18" s="6">
        <f t="shared" ref="E18:F18" si="10">2*(E16-E17)/(E16+E17)</f>
        <v>-2.4927295388450354E-3</v>
      </c>
      <c r="F18" s="6">
        <f t="shared" si="10"/>
        <v>1.5491866769945779E-3</v>
      </c>
      <c r="G18" s="8">
        <v>56.7</v>
      </c>
      <c r="H18" s="8">
        <v>58.8</v>
      </c>
      <c r="I18" s="8">
        <v>37.799999999999997</v>
      </c>
      <c r="M18" s="46">
        <f t="shared" si="0"/>
        <v>43.220114857048884</v>
      </c>
      <c r="N18" s="46">
        <f t="shared" si="5"/>
        <v>15</v>
      </c>
      <c r="O18" s="50">
        <f t="shared" si="1"/>
        <v>89.683188736444507</v>
      </c>
      <c r="P18" s="50">
        <f t="shared" si="2"/>
        <v>46.463073879395623</v>
      </c>
      <c r="Q18" s="50">
        <f t="shared" si="3"/>
        <v>52.145531362064887</v>
      </c>
    </row>
    <row r="19" spans="1:21">
      <c r="A19" s="78"/>
      <c r="B19" s="79" t="s">
        <v>2</v>
      </c>
      <c r="C19" s="46">
        <f t="shared" si="9"/>
        <v>0</v>
      </c>
      <c r="D19" s="7">
        <v>512.4</v>
      </c>
      <c r="E19" s="7">
        <v>578.20000000000005</v>
      </c>
      <c r="F19" s="7">
        <v>526.79999999999995</v>
      </c>
      <c r="G19" s="8">
        <v>26.7</v>
      </c>
      <c r="H19" s="8">
        <v>34.200000000000003</v>
      </c>
      <c r="I19" s="8">
        <v>29.1</v>
      </c>
      <c r="M19" s="46">
        <f t="shared" si="0"/>
        <v>41.229089092342612</v>
      </c>
      <c r="N19" s="46">
        <f t="shared" si="5"/>
        <v>16</v>
      </c>
      <c r="O19" s="50">
        <f t="shared" si="1"/>
        <v>87.607457694084374</v>
      </c>
      <c r="P19" s="50">
        <f t="shared" si="2"/>
        <v>46.378368601741762</v>
      </c>
      <c r="Q19" s="50">
        <f t="shared" si="3"/>
        <v>51.837050935171462</v>
      </c>
    </row>
    <row r="20" spans="1:21">
      <c r="A20" s="78"/>
      <c r="B20" s="79"/>
      <c r="C20" s="46">
        <f t="shared" si="9"/>
        <v>1</v>
      </c>
      <c r="D20" s="7">
        <v>513</v>
      </c>
      <c r="E20" s="7">
        <v>578.70000000000005</v>
      </c>
      <c r="F20" s="7">
        <v>526.9</v>
      </c>
      <c r="G20" s="8">
        <v>30.2</v>
      </c>
      <c r="H20" s="8">
        <v>38.5</v>
      </c>
      <c r="I20" s="8">
        <v>32.799999999999997</v>
      </c>
      <c r="M20" s="46">
        <f t="shared" si="0"/>
        <v>39.238063327636333</v>
      </c>
      <c r="N20" s="46">
        <f t="shared" si="5"/>
        <v>17</v>
      </c>
      <c r="O20" s="50">
        <f t="shared" si="1"/>
        <v>85.531726651724242</v>
      </c>
      <c r="P20" s="50">
        <f t="shared" si="2"/>
        <v>46.293663324087909</v>
      </c>
      <c r="Q20" s="50">
        <f t="shared" si="3"/>
        <v>51.52857050827803</v>
      </c>
    </row>
    <row r="21" spans="1:21">
      <c r="A21" s="78"/>
      <c r="B21" s="79"/>
      <c r="C21" s="46">
        <f t="shared" si="9"/>
        <v>2</v>
      </c>
      <c r="D21" s="6">
        <f>2*(D19-D20)/(D19+D20)</f>
        <v>-1.1702750146284819E-3</v>
      </c>
      <c r="E21" s="6">
        <f t="shared" ref="E21:F21" si="11">2*(E19-E20)/(E19+E20)</f>
        <v>-8.6437894372893068E-4</v>
      </c>
      <c r="F21" s="6">
        <f t="shared" si="11"/>
        <v>-1.8980734554431574E-4</v>
      </c>
      <c r="G21" s="8">
        <v>24.1</v>
      </c>
      <c r="H21" s="8">
        <v>31.3</v>
      </c>
      <c r="I21" s="8">
        <v>26.5</v>
      </c>
      <c r="M21" s="46">
        <f t="shared" si="0"/>
        <v>37.247037562930075</v>
      </c>
      <c r="N21" s="46">
        <f t="shared" si="5"/>
        <v>18</v>
      </c>
      <c r="O21" s="50">
        <f t="shared" si="1"/>
        <v>83.455995609364123</v>
      </c>
      <c r="P21" s="50">
        <f t="shared" si="2"/>
        <v>46.208958046434049</v>
      </c>
      <c r="Q21" s="50">
        <f t="shared" si="3"/>
        <v>51.220090081384605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551.95000000000005</v>
      </c>
      <c r="E22" s="46">
        <f t="shared" ref="E22:F22" si="12">(E13+E14)/2</f>
        <v>510.6</v>
      </c>
      <c r="F22" s="46">
        <f t="shared" si="12"/>
        <v>154.1</v>
      </c>
      <c r="G22" s="5">
        <f>G13</f>
        <v>79.7</v>
      </c>
      <c r="H22" s="5">
        <f t="shared" ref="H22:I22" si="13">H13</f>
        <v>28.9</v>
      </c>
      <c r="I22" s="5">
        <f t="shared" si="13"/>
        <v>36.200000000000003</v>
      </c>
      <c r="J22" s="99">
        <f>AVERAGE(G22:I24)</f>
        <v>45.166666666666664</v>
      </c>
      <c r="M22" s="46">
        <f t="shared" si="0"/>
        <v>35.256011798223803</v>
      </c>
      <c r="N22" s="46">
        <f t="shared" si="5"/>
        <v>19</v>
      </c>
      <c r="O22" s="50">
        <f t="shared" si="1"/>
        <v>81.380264567003991</v>
      </c>
      <c r="P22" s="50">
        <f t="shared" si="2"/>
        <v>46.124252768780188</v>
      </c>
      <c r="Q22" s="50">
        <f t="shared" si="3"/>
        <v>50.91160965449118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1195</v>
      </c>
      <c r="E23" s="46">
        <f>(E16+E17)/2</f>
        <v>1203.5</v>
      </c>
      <c r="F23" s="46">
        <f>(F16+F17)/2</f>
        <v>645.5</v>
      </c>
      <c r="G23" s="5">
        <f>G16</f>
        <v>61.2</v>
      </c>
      <c r="H23" s="5">
        <f>H16</f>
        <v>70.099999999999994</v>
      </c>
      <c r="I23" s="5">
        <f>I16</f>
        <v>40.4</v>
      </c>
      <c r="J23" s="99"/>
      <c r="M23" s="46">
        <f t="shared" si="0"/>
        <v>33.26498603351753</v>
      </c>
      <c r="N23" s="46">
        <f t="shared" si="5"/>
        <v>20</v>
      </c>
      <c r="O23" s="50">
        <f t="shared" si="1"/>
        <v>79.304533524643858</v>
      </c>
      <c r="P23" s="50">
        <f t="shared" si="2"/>
        <v>46.039547491126328</v>
      </c>
      <c r="Q23" s="50">
        <f t="shared" si="3"/>
        <v>50.603129227597748</v>
      </c>
    </row>
    <row r="24" spans="1:21">
      <c r="A24" s="78"/>
      <c r="B24" s="46" t="str">
        <f>B19</f>
        <v>D65</v>
      </c>
      <c r="C24" s="79"/>
      <c r="D24" s="46">
        <f>(D19+D20)/2</f>
        <v>512.70000000000005</v>
      </c>
      <c r="E24" s="46">
        <f>(E19+E20)/2</f>
        <v>578.45000000000005</v>
      </c>
      <c r="F24" s="46">
        <f>(F19+F20)/2</f>
        <v>526.84999999999991</v>
      </c>
      <c r="G24" s="5">
        <f>G19</f>
        <v>26.7</v>
      </c>
      <c r="H24" s="5">
        <f>H19</f>
        <v>34.200000000000003</v>
      </c>
      <c r="I24" s="5">
        <f>I19</f>
        <v>29.1</v>
      </c>
      <c r="J24" s="99"/>
      <c r="M24" s="46">
        <f t="shared" si="0"/>
        <v>31.273960268811258</v>
      </c>
      <c r="N24" s="46">
        <f t="shared" si="5"/>
        <v>21</v>
      </c>
      <c r="O24" s="50">
        <f t="shared" si="1"/>
        <v>77.228802482283726</v>
      </c>
      <c r="P24" s="50">
        <f t="shared" si="2"/>
        <v>45.954842213472467</v>
      </c>
      <c r="Q24" s="50">
        <f t="shared" si="3"/>
        <v>50.294648800704323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551.95000000000005</v>
      </c>
      <c r="E25" s="46">
        <f t="shared" ref="E25:F25" si="15">(E13+E14)/2</f>
        <v>510.6</v>
      </c>
      <c r="F25" s="46">
        <f t="shared" si="15"/>
        <v>154.1</v>
      </c>
      <c r="G25" s="5">
        <f t="shared" ref="G25:I25" si="16">G14</f>
        <v>87</v>
      </c>
      <c r="H25" s="5">
        <f t="shared" si="16"/>
        <v>32.700000000000003</v>
      </c>
      <c r="I25" s="5">
        <f t="shared" si="16"/>
        <v>40.799999999999997</v>
      </c>
      <c r="J25" s="99">
        <f>AVERAGE(G25:I27)</f>
        <v>50.166666666666657</v>
      </c>
      <c r="M25" s="46">
        <f t="shared" si="0"/>
        <v>29.282934504104979</v>
      </c>
      <c r="N25" s="46">
        <f t="shared" si="5"/>
        <v>22</v>
      </c>
      <c r="O25" s="50">
        <f t="shared" si="1"/>
        <v>75.153071439923593</v>
      </c>
      <c r="P25" s="50">
        <f t="shared" si="2"/>
        <v>45.870136935818614</v>
      </c>
      <c r="Q25" s="50">
        <f t="shared" si="3"/>
        <v>49.986168373810898</v>
      </c>
    </row>
    <row r="26" spans="1:21">
      <c r="A26" s="78"/>
      <c r="B26" s="46" t="str">
        <f>B16</f>
        <v>CWF</v>
      </c>
      <c r="C26" s="79"/>
      <c r="D26" s="46">
        <f>(D16+D17)/2</f>
        <v>1195</v>
      </c>
      <c r="E26" s="46">
        <f>(E16+E17)/2</f>
        <v>1203.5</v>
      </c>
      <c r="F26" s="46">
        <f>(F16+F17)/2</f>
        <v>645.5</v>
      </c>
      <c r="G26" s="5">
        <f>G17</f>
        <v>67.7</v>
      </c>
      <c r="H26" s="5">
        <f>H17</f>
        <v>76.599999999999994</v>
      </c>
      <c r="I26" s="5">
        <f>I17</f>
        <v>45.2</v>
      </c>
      <c r="J26" s="99"/>
      <c r="M26" s="46">
        <f t="shared" si="0"/>
        <v>27.291908739398707</v>
      </c>
      <c r="N26" s="46">
        <f t="shared" si="5"/>
        <v>23</v>
      </c>
      <c r="O26" s="50">
        <f t="shared" si="1"/>
        <v>73.077340397563461</v>
      </c>
      <c r="P26" s="50">
        <f t="shared" si="2"/>
        <v>45.785431658164754</v>
      </c>
      <c r="Q26" s="50">
        <f t="shared" si="3"/>
        <v>49.677687946917473</v>
      </c>
    </row>
    <row r="27" spans="1:21">
      <c r="A27" s="78"/>
      <c r="B27" s="46" t="str">
        <f>B19</f>
        <v>D65</v>
      </c>
      <c r="C27" s="79"/>
      <c r="D27" s="46">
        <f>(D19+D20)/2</f>
        <v>512.70000000000005</v>
      </c>
      <c r="E27" s="46">
        <f>(E19+E20)/2</f>
        <v>578.45000000000005</v>
      </c>
      <c r="F27" s="46">
        <f>(F19+F20)/2</f>
        <v>526.84999999999991</v>
      </c>
      <c r="G27" s="5">
        <f>G20</f>
        <v>30.2</v>
      </c>
      <c r="H27" s="5">
        <f>H20</f>
        <v>38.5</v>
      </c>
      <c r="I27" s="5">
        <f>I20</f>
        <v>32.799999999999997</v>
      </c>
      <c r="J27" s="99"/>
      <c r="M27" s="46">
        <f t="shared" si="0"/>
        <v>25.300882974692435</v>
      </c>
      <c r="N27" s="46">
        <f t="shared" si="5"/>
        <v>24</v>
      </c>
      <c r="O27" s="50">
        <f t="shared" si="1"/>
        <v>71.001609355203328</v>
      </c>
      <c r="P27" s="50">
        <f t="shared" si="2"/>
        <v>45.700726380510893</v>
      </c>
      <c r="Q27" s="50">
        <f t="shared" si="3"/>
        <v>49.369207520024041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551.95000000000005</v>
      </c>
      <c r="E28" s="46">
        <f t="shared" ref="E28:F28" si="17">(E13+E14)/2</f>
        <v>510.6</v>
      </c>
      <c r="F28" s="46">
        <f t="shared" si="17"/>
        <v>154.1</v>
      </c>
      <c r="G28" s="5">
        <f t="shared" ref="G28:I28" si="18">G15</f>
        <v>84.4</v>
      </c>
      <c r="H28" s="5">
        <f t="shared" si="18"/>
        <v>26.4</v>
      </c>
      <c r="I28" s="5">
        <f t="shared" si="18"/>
        <v>33.299999999999997</v>
      </c>
      <c r="J28" s="99">
        <f>AVERAGE(G28:I30)</f>
        <v>42.144444444444453</v>
      </c>
      <c r="M28" s="46">
        <f t="shared" si="0"/>
        <v>23.309857209986163</v>
      </c>
      <c r="N28" s="46">
        <f t="shared" si="5"/>
        <v>25</v>
      </c>
      <c r="O28" s="50">
        <f t="shared" si="1"/>
        <v>68.925878312843196</v>
      </c>
      <c r="P28" s="50">
        <f t="shared" si="2"/>
        <v>45.616021102857033</v>
      </c>
      <c r="Q28" s="50">
        <f t="shared" si="3"/>
        <v>49.060727093130616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1195</v>
      </c>
      <c r="E29" s="46">
        <f t="shared" si="20"/>
        <v>1203.5</v>
      </c>
      <c r="F29" s="46">
        <f t="shared" si="20"/>
        <v>645.5</v>
      </c>
      <c r="G29" s="5">
        <f t="shared" ref="G29:I29" si="21">G18</f>
        <v>56.7</v>
      </c>
      <c r="H29" s="5">
        <f t="shared" si="21"/>
        <v>58.8</v>
      </c>
      <c r="I29" s="5">
        <f t="shared" si="21"/>
        <v>37.799999999999997</v>
      </c>
      <c r="J29" s="99"/>
      <c r="M29" s="46">
        <f t="shared" si="0"/>
        <v>21.318831445279905</v>
      </c>
      <c r="N29" s="46">
        <f t="shared" si="5"/>
        <v>26</v>
      </c>
      <c r="O29" s="50">
        <f t="shared" si="1"/>
        <v>66.850147270483077</v>
      </c>
      <c r="P29" s="50">
        <f t="shared" si="2"/>
        <v>45.531315825203173</v>
      </c>
      <c r="Q29" s="50">
        <f t="shared" si="3"/>
        <v>48.752246666237191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512.70000000000005</v>
      </c>
      <c r="E30" s="46">
        <f t="shared" si="23"/>
        <v>578.45000000000005</v>
      </c>
      <c r="F30" s="46">
        <f t="shared" si="23"/>
        <v>526.84999999999991</v>
      </c>
      <c r="G30" s="5">
        <f t="shared" ref="G30:I30" si="24">G21</f>
        <v>24.1</v>
      </c>
      <c r="H30" s="5">
        <f t="shared" si="24"/>
        <v>31.3</v>
      </c>
      <c r="I30" s="5">
        <f t="shared" si="24"/>
        <v>26.5</v>
      </c>
      <c r="J30" s="99"/>
      <c r="M30" s="46">
        <f t="shared" si="0"/>
        <v>19.327805680573626</v>
      </c>
      <c r="N30" s="46">
        <f t="shared" si="5"/>
        <v>27</v>
      </c>
      <c r="O30" s="50">
        <f t="shared" si="1"/>
        <v>64.774416228122945</v>
      </c>
      <c r="P30" s="50">
        <f t="shared" si="2"/>
        <v>45.446610547549319</v>
      </c>
      <c r="Q30" s="50">
        <f t="shared" si="3"/>
        <v>48.443766239343759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551.95000000000005</v>
      </c>
      <c r="E31" s="46">
        <f t="shared" si="25"/>
        <v>510.6</v>
      </c>
      <c r="F31" s="46">
        <f t="shared" si="25"/>
        <v>154.1</v>
      </c>
      <c r="G31" s="5">
        <f t="shared" ref="G31:I33" si="26">G22*$J$31</f>
        <v>79.7</v>
      </c>
      <c r="H31" s="5">
        <f t="shared" si="26"/>
        <v>28.9</v>
      </c>
      <c r="I31" s="5">
        <f t="shared" si="26"/>
        <v>36.200000000000003</v>
      </c>
      <c r="J31" s="96">
        <f>J$22/J22</f>
        <v>1</v>
      </c>
      <c r="M31" s="46">
        <f t="shared" si="0"/>
        <v>17.336779915867353</v>
      </c>
      <c r="N31" s="46">
        <f t="shared" si="5"/>
        <v>28</v>
      </c>
      <c r="O31" s="50">
        <f t="shared" si="1"/>
        <v>62.698685185762812</v>
      </c>
      <c r="P31" s="50">
        <f t="shared" si="2"/>
        <v>45.361905269895459</v>
      </c>
      <c r="Q31" s="50">
        <f t="shared" si="3"/>
        <v>48.135285812450334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1195</v>
      </c>
      <c r="E32" s="46">
        <f t="shared" si="27"/>
        <v>1203.5</v>
      </c>
      <c r="F32" s="46">
        <f t="shared" si="27"/>
        <v>645.5</v>
      </c>
      <c r="G32" s="5">
        <f t="shared" si="26"/>
        <v>61.2</v>
      </c>
      <c r="H32" s="5">
        <f t="shared" si="26"/>
        <v>70.099999999999994</v>
      </c>
      <c r="I32" s="5">
        <f t="shared" si="26"/>
        <v>40.4</v>
      </c>
      <c r="J32" s="96"/>
      <c r="M32" s="46">
        <f t="shared" si="0"/>
        <v>15.345754151161088</v>
      </c>
      <c r="N32" s="46">
        <f t="shared" si="5"/>
        <v>29</v>
      </c>
      <c r="O32" s="50">
        <f t="shared" si="1"/>
        <v>60.622954143402687</v>
      </c>
      <c r="P32" s="50">
        <f t="shared" si="2"/>
        <v>45.277199992241599</v>
      </c>
      <c r="Q32" s="50">
        <f t="shared" si="3"/>
        <v>47.826805385556909</v>
      </c>
    </row>
    <row r="33" spans="1:17">
      <c r="A33" s="78"/>
      <c r="B33" s="46" t="str">
        <f t="shared" si="27"/>
        <v>D65</v>
      </c>
      <c r="C33" s="79"/>
      <c r="D33" s="46">
        <f t="shared" si="27"/>
        <v>512.70000000000005</v>
      </c>
      <c r="E33" s="46">
        <f t="shared" si="27"/>
        <v>578.45000000000005</v>
      </c>
      <c r="F33" s="46">
        <f t="shared" si="27"/>
        <v>526.84999999999991</v>
      </c>
      <c r="G33" s="5">
        <f t="shared" si="26"/>
        <v>26.7</v>
      </c>
      <c r="H33" s="5">
        <f t="shared" si="26"/>
        <v>34.200000000000003</v>
      </c>
      <c r="I33" s="5">
        <f t="shared" si="26"/>
        <v>29.1</v>
      </c>
      <c r="J33" s="96"/>
      <c r="M33" s="46">
        <f t="shared" si="0"/>
        <v>13.354728386454816</v>
      </c>
      <c r="N33" s="46">
        <f t="shared" si="5"/>
        <v>30</v>
      </c>
      <c r="O33" s="50">
        <f t="shared" si="1"/>
        <v>58.547223101042555</v>
      </c>
      <c r="P33" s="50">
        <f t="shared" si="2"/>
        <v>45.192494714587738</v>
      </c>
      <c r="Q33" s="50">
        <f t="shared" si="3"/>
        <v>47.518324958663484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551.95000000000005</v>
      </c>
      <c r="E34" s="46">
        <f t="shared" si="27"/>
        <v>510.6</v>
      </c>
      <c r="F34" s="46">
        <f t="shared" si="27"/>
        <v>154.1</v>
      </c>
      <c r="G34" s="5">
        <f t="shared" ref="G34:I36" si="28">G25*$J$34</f>
        <v>78.32890365448506</v>
      </c>
      <c r="H34" s="5">
        <f t="shared" si="28"/>
        <v>29.44086378737542</v>
      </c>
      <c r="I34" s="5">
        <f t="shared" si="28"/>
        <v>36.733554817275753</v>
      </c>
      <c r="J34" s="96">
        <f>J$22/J25</f>
        <v>0.90033222591362139</v>
      </c>
      <c r="M34" s="46">
        <f t="shared" si="0"/>
        <v>11.363702621748544</v>
      </c>
      <c r="N34" s="46">
        <f t="shared" si="5"/>
        <v>31</v>
      </c>
      <c r="O34" s="50">
        <f t="shared" si="1"/>
        <v>56.471492058682429</v>
      </c>
      <c r="P34" s="50">
        <f t="shared" si="2"/>
        <v>45.107789436933885</v>
      </c>
      <c r="Q34" s="50">
        <f t="shared" si="3"/>
        <v>47.209844531770052</v>
      </c>
    </row>
    <row r="35" spans="1:17">
      <c r="A35" s="78"/>
      <c r="B35" s="46" t="str">
        <f t="shared" si="27"/>
        <v>CWF</v>
      </c>
      <c r="C35" s="79"/>
      <c r="D35" s="46">
        <f t="shared" si="27"/>
        <v>1195</v>
      </c>
      <c r="E35" s="46">
        <f t="shared" si="27"/>
        <v>1203.5</v>
      </c>
      <c r="F35" s="46">
        <f t="shared" si="27"/>
        <v>645.5</v>
      </c>
      <c r="G35" s="5">
        <f t="shared" si="28"/>
        <v>60.952491694352169</v>
      </c>
      <c r="H35" s="5">
        <f t="shared" si="28"/>
        <v>68.965448504983399</v>
      </c>
      <c r="I35" s="5">
        <f t="shared" si="28"/>
        <v>40.695016611295692</v>
      </c>
      <c r="J35" s="96"/>
      <c r="M35" s="46">
        <f t="shared" si="0"/>
        <v>9.372676857042272</v>
      </c>
      <c r="N35" s="46">
        <f t="shared" si="5"/>
        <v>32</v>
      </c>
      <c r="O35" s="50">
        <f t="shared" si="1"/>
        <v>54.395761016322297</v>
      </c>
      <c r="P35" s="50">
        <f t="shared" si="2"/>
        <v>45.023084159280025</v>
      </c>
      <c r="Q35" s="50">
        <f t="shared" si="3"/>
        <v>46.901364104876627</v>
      </c>
    </row>
    <row r="36" spans="1:17">
      <c r="A36" s="78"/>
      <c r="B36" s="46" t="str">
        <f t="shared" si="27"/>
        <v>D65</v>
      </c>
      <c r="C36" s="79"/>
      <c r="D36" s="46">
        <f t="shared" si="27"/>
        <v>512.70000000000005</v>
      </c>
      <c r="E36" s="46">
        <f t="shared" si="27"/>
        <v>578.45000000000005</v>
      </c>
      <c r="F36" s="46">
        <f t="shared" si="27"/>
        <v>526.84999999999991</v>
      </c>
      <c r="G36" s="5">
        <f t="shared" si="28"/>
        <v>27.190033222591364</v>
      </c>
      <c r="H36" s="5">
        <f t="shared" si="28"/>
        <v>34.662790697674424</v>
      </c>
      <c r="I36" s="5">
        <f t="shared" si="28"/>
        <v>29.530897009966779</v>
      </c>
      <c r="J36" s="96"/>
      <c r="M36" s="46">
        <f t="shared" si="0"/>
        <v>7.3816510923359999</v>
      </c>
      <c r="N36" s="46">
        <f t="shared" si="5"/>
        <v>33</v>
      </c>
      <c r="O36" s="50">
        <f t="shared" si="1"/>
        <v>52.320029973962164</v>
      </c>
      <c r="P36" s="50">
        <f t="shared" si="2"/>
        <v>44.938378881626164</v>
      </c>
      <c r="Q36" s="50">
        <f t="shared" si="3"/>
        <v>46.592883677983203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551.95000000000005</v>
      </c>
      <c r="E37" s="46">
        <f t="shared" si="27"/>
        <v>510.6</v>
      </c>
      <c r="F37" s="46">
        <f t="shared" si="27"/>
        <v>154.1</v>
      </c>
      <c r="G37" s="5">
        <f t="shared" ref="G37:I39" si="29">G28*$J$37</f>
        <v>90.4524123385183</v>
      </c>
      <c r="H37" s="5">
        <f t="shared" si="29"/>
        <v>28.293171631953587</v>
      </c>
      <c r="I37" s="5">
        <f t="shared" si="29"/>
        <v>35.687977853941454</v>
      </c>
      <c r="J37" s="96">
        <f>J$22/J28</f>
        <v>1.0717110466649087</v>
      </c>
      <c r="K37" s="51" t="str">
        <f>CHAR(34) &amp; "EEpromVersion" &amp;CHAR(34)  &amp; ",3,"</f>
        <v>"EEpromVersion",3,</v>
      </c>
      <c r="M37" s="46">
        <f t="shared" si="0"/>
        <v>5.3906253276297278</v>
      </c>
      <c r="N37" s="46">
        <f t="shared" si="5"/>
        <v>34</v>
      </c>
      <c r="O37" s="50">
        <f t="shared" si="1"/>
        <v>50.244298931602032</v>
      </c>
      <c r="P37" s="50">
        <f t="shared" si="2"/>
        <v>44.853673603972304</v>
      </c>
      <c r="Q37" s="50">
        <f t="shared" si="3"/>
        <v>46.28440325108977</v>
      </c>
    </row>
    <row r="38" spans="1:17">
      <c r="A38" s="78"/>
      <c r="B38" s="46" t="str">
        <f t="shared" si="27"/>
        <v>CWF</v>
      </c>
      <c r="C38" s="79"/>
      <c r="D38" s="46">
        <f t="shared" si="27"/>
        <v>1195</v>
      </c>
      <c r="E38" s="46">
        <f t="shared" si="27"/>
        <v>1203.5</v>
      </c>
      <c r="F38" s="46">
        <f t="shared" si="27"/>
        <v>645.5</v>
      </c>
      <c r="G38" s="5">
        <f t="shared" si="29"/>
        <v>60.766016345900326</v>
      </c>
      <c r="H38" s="5">
        <f t="shared" si="29"/>
        <v>63.016609543896628</v>
      </c>
      <c r="I38" s="5">
        <f t="shared" si="29"/>
        <v>40.510677563933548</v>
      </c>
      <c r="J38" s="96"/>
      <c r="K38" s="52" t="str">
        <f>K4</f>
        <v>"Compensation",37,</v>
      </c>
      <c r="M38" s="46">
        <f t="shared" si="0"/>
        <v>3.3995995629234699</v>
      </c>
      <c r="N38" s="46">
        <f t="shared" si="5"/>
        <v>35</v>
      </c>
      <c r="O38" s="50">
        <f t="shared" si="1"/>
        <v>48.168567889241913</v>
      </c>
      <c r="P38" s="50">
        <f t="shared" si="2"/>
        <v>44.768968326318443</v>
      </c>
      <c r="Q38" s="50">
        <f t="shared" si="3"/>
        <v>45.975922824196346</v>
      </c>
    </row>
    <row r="39" spans="1:17">
      <c r="A39" s="78"/>
      <c r="B39" s="46" t="str">
        <f t="shared" si="27"/>
        <v>D65</v>
      </c>
      <c r="C39" s="79"/>
      <c r="D39" s="46">
        <f t="shared" si="27"/>
        <v>512.70000000000005</v>
      </c>
      <c r="E39" s="46">
        <f t="shared" si="27"/>
        <v>578.45000000000005</v>
      </c>
      <c r="F39" s="46">
        <f t="shared" si="27"/>
        <v>526.84999999999991</v>
      </c>
      <c r="G39" s="5">
        <f t="shared" si="29"/>
        <v>25.828236224624302</v>
      </c>
      <c r="H39" s="5">
        <f t="shared" si="29"/>
        <v>33.544555760611644</v>
      </c>
      <c r="I39" s="5">
        <f t="shared" si="29"/>
        <v>28.400342736620079</v>
      </c>
      <c r="J39" s="96"/>
      <c r="K39" s="53" t="str">
        <f>linefmt("CardGain",J42,J45,J48)</f>
        <v>"CardGain",17.1337,18.18119,22.38954,</v>
      </c>
      <c r="M39" s="46">
        <f t="shared" si="0"/>
        <v>1.4085737982171906</v>
      </c>
      <c r="N39" s="46">
        <f t="shared" si="5"/>
        <v>36</v>
      </c>
      <c r="O39" s="50">
        <f t="shared" si="1"/>
        <v>46.092836846881781</v>
      </c>
      <c r="P39" s="50">
        <f t="shared" si="2"/>
        <v>44.68426304866459</v>
      </c>
      <c r="Q39" s="50">
        <f t="shared" si="3"/>
        <v>45.667442397302921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"Range",1,0.9003322,1.071711,</v>
      </c>
      <c r="M40" s="46">
        <f t="shared" si="0"/>
        <v>1.3418561658878474</v>
      </c>
      <c r="N40" s="46">
        <f t="shared" si="5"/>
        <v>37</v>
      </c>
      <c r="O40" s="50">
        <f t="shared" si="1"/>
        <v>44.017105804521648</v>
      </c>
      <c r="P40" s="50">
        <f t="shared" si="2"/>
        <v>44.59955777101073</v>
      </c>
      <c r="Q40" s="50">
        <f t="shared" si="3"/>
        <v>45.358961970409496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3.1091067813545479</v>
      </c>
      <c r="N41" s="46">
        <f t="shared" si="5"/>
        <v>38</v>
      </c>
      <c r="O41" s="50">
        <f t="shared" si="1"/>
        <v>41.941374762161516</v>
      </c>
      <c r="P41" s="50">
        <f t="shared" si="2"/>
        <v>44.514852493356869</v>
      </c>
      <c r="Q41" s="50">
        <f t="shared" si="3"/>
        <v>45.050481543516064</v>
      </c>
    </row>
    <row r="42" spans="1:17">
      <c r="A42" s="4"/>
      <c r="B42" s="46" t="s">
        <v>3</v>
      </c>
      <c r="C42" s="79">
        <f>C31</f>
        <v>0</v>
      </c>
      <c r="D42" s="46">
        <f>I42/$H$43</f>
        <v>0.19661451824888379</v>
      </c>
      <c r="E42" s="46">
        <f>H42/$H$43</f>
        <v>1.037049746283526</v>
      </c>
      <c r="F42" s="46">
        <f>G42/$H$43</f>
        <v>-0.37090126003834678</v>
      </c>
      <c r="G42" s="46">
        <f t="array" ref="G42:I42">LINEST($D31:$D33,$G31:$I33,FALSE)</f>
        <v>-6.3549113087677034</v>
      </c>
      <c r="H42" s="46">
        <v>17.768500327366084</v>
      </c>
      <c r="I42" s="46">
        <v>3.3687343778734147</v>
      </c>
      <c r="J42" s="97">
        <f>H43</f>
        <v>17.133701050545586</v>
      </c>
      <c r="K42" s="53" t="str">
        <f t="shared" ref="K42:K50" si="30">linefmt("",D42,E42,F42)</f>
        <v>0.1966145,1.03705,-0.3709013,</v>
      </c>
      <c r="M42" s="46">
        <f t="shared" si="0"/>
        <v>4.8763573968212555</v>
      </c>
      <c r="N42" s="46">
        <f t="shared" si="5"/>
        <v>39</v>
      </c>
      <c r="O42" s="50">
        <f t="shared" si="1"/>
        <v>39.865643719801383</v>
      </c>
      <c r="P42" s="50">
        <f t="shared" si="2"/>
        <v>44.430147215703009</v>
      </c>
      <c r="Q42" s="50">
        <f t="shared" si="3"/>
        <v>44.742001116622639</v>
      </c>
    </row>
    <row r="43" spans="1:17">
      <c r="A43" s="4"/>
      <c r="B43" s="46" t="s">
        <v>4</v>
      </c>
      <c r="C43" s="79"/>
      <c r="D43" s="46">
        <f>I43/$H$43</f>
        <v>3.1129893980143489E-2</v>
      </c>
      <c r="E43" s="46">
        <f>H43/$H$43</f>
        <v>1</v>
      </c>
      <c r="F43" s="46">
        <f>G43/$H$43</f>
        <v>-4.3650158012852561E-2</v>
      </c>
      <c r="G43" s="46">
        <f t="array" ref="G43:I43">LINEST($E31:$E33,$G31:$I33,FALSE)</f>
        <v>-0.74788875820129275</v>
      </c>
      <c r="H43" s="46">
        <v>17.133701050545586</v>
      </c>
      <c r="I43" s="46">
        <v>0.53337029719095719</v>
      </c>
      <c r="J43" s="97"/>
      <c r="K43" s="53" t="str">
        <f t="shared" si="30"/>
        <v>3.112989E-02,1,-4.365016E-02,</v>
      </c>
      <c r="M43" s="46">
        <f t="shared" si="0"/>
        <v>6.6436080122879488</v>
      </c>
      <c r="N43" s="46">
        <f t="shared" si="5"/>
        <v>40</v>
      </c>
      <c r="O43" s="50">
        <f t="shared" si="1"/>
        <v>37.789912677441265</v>
      </c>
      <c r="P43" s="50">
        <f t="shared" si="2"/>
        <v>44.345441938049149</v>
      </c>
      <c r="Q43" s="50">
        <f t="shared" si="3"/>
        <v>44.433520689729214</v>
      </c>
    </row>
    <row r="44" spans="1:17">
      <c r="A44" s="4"/>
      <c r="B44" s="46" t="s">
        <v>5</v>
      </c>
      <c r="C44" s="79"/>
      <c r="D44" s="46">
        <f>I44/$H$43</f>
        <v>-0.52886697268063221</v>
      </c>
      <c r="E44" s="46">
        <f>H44/$H$43</f>
        <v>0.34249427412935429</v>
      </c>
      <c r="F44" s="46">
        <f>G44/$H$43</f>
        <v>1.1394083866020335</v>
      </c>
      <c r="G44" s="46">
        <f t="array" ref="G44:I44">LINEST($F$31:$F$33,$G31:$I33,FALSE)</f>
        <v>19.522282670523712</v>
      </c>
      <c r="H44" s="46">
        <v>5.8681945044559658</v>
      </c>
      <c r="I44" s="46">
        <v>-9.0614486054170111</v>
      </c>
      <c r="J44" s="97"/>
      <c r="K44" s="53" t="str">
        <f t="shared" si="30"/>
        <v>-0.5288669,0.3424943,1.139408,</v>
      </c>
      <c r="M44" s="46">
        <f t="shared" si="0"/>
        <v>8.5465550253141629</v>
      </c>
      <c r="N44" s="46">
        <f t="shared" si="5"/>
        <v>41</v>
      </c>
      <c r="O44" s="50">
        <f t="shared" si="1"/>
        <v>35.714181635081133</v>
      </c>
      <c r="P44" s="50">
        <f t="shared" si="2"/>
        <v>44.260736660395295</v>
      </c>
      <c r="Q44" s="50">
        <f t="shared" si="3"/>
        <v>44.125040262835782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0.21144507509826313</v>
      </c>
      <c r="E45" s="46">
        <f>H45/$H$46</f>
        <v>1.0331705539741451</v>
      </c>
      <c r="F45" s="46">
        <f>G45/$H$46</f>
        <v>-0.45248522830320842</v>
      </c>
      <c r="G45" s="46">
        <f t="array" ref="G45:I45">LINEST($D34:$D36,$G34:$I36,FALSE)</f>
        <v>-8.2267186486525503</v>
      </c>
      <c r="H45" s="46">
        <v>18.784267268769796</v>
      </c>
      <c r="I45" s="46">
        <v>3.8443224964484131</v>
      </c>
      <c r="J45" s="97">
        <f>H46</f>
        <v>18.181187216878296</v>
      </c>
      <c r="K45" s="53" t="str">
        <f t="shared" si="30"/>
        <v>0.2114451,1.033171,-0.4524852,</v>
      </c>
      <c r="M45" s="46">
        <f t="shared" si="0"/>
        <v>10.537580790020435</v>
      </c>
      <c r="N45" s="46">
        <f t="shared" si="5"/>
        <v>42</v>
      </c>
      <c r="O45" s="50">
        <f t="shared" si="1"/>
        <v>33.638450592721</v>
      </c>
      <c r="P45" s="50">
        <f t="shared" si="2"/>
        <v>44.176031382741435</v>
      </c>
      <c r="Q45" s="50">
        <f t="shared" si="3"/>
        <v>43.816559835942357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4.9080247435322459E-2</v>
      </c>
      <c r="E46" s="46">
        <f>H46/$H$46</f>
        <v>1</v>
      </c>
      <c r="F46" s="46">
        <f>G46/$H$46</f>
        <v>-0.14159509434259632</v>
      </c>
      <c r="G46" s="46">
        <f t="array" ref="G46:I46">LINEST($E34:$E36,$G34:$I36,FALSE)</f>
        <v>-2.5743669192342886</v>
      </c>
      <c r="H46" s="46">
        <v>18.181187216878296</v>
      </c>
      <c r="I46" s="46">
        <v>0.8923371672723085</v>
      </c>
      <c r="J46" s="97"/>
      <c r="K46" s="53" t="str">
        <f t="shared" si="30"/>
        <v>4.908025E-02,1,-0.1415951,</v>
      </c>
      <c r="M46" s="46">
        <f t="shared" si="0"/>
        <v>12.528606554726707</v>
      </c>
      <c r="N46" s="46">
        <f t="shared" si="5"/>
        <v>43</v>
      </c>
      <c r="O46" s="50">
        <f t="shared" si="1"/>
        <v>31.562719550360868</v>
      </c>
      <c r="P46" s="50">
        <f t="shared" si="2"/>
        <v>44.091326105087575</v>
      </c>
      <c r="Q46" s="50">
        <f t="shared" si="3"/>
        <v>43.508079409048932</v>
      </c>
    </row>
    <row r="47" spans="1:17">
      <c r="A47" s="4"/>
      <c r="B47" s="46" t="str">
        <f t="shared" si="31"/>
        <v>Z</v>
      </c>
      <c r="C47" s="79"/>
      <c r="D47" s="46">
        <f>I47/$H$46</f>
        <v>-0.51002988601911148</v>
      </c>
      <c r="E47" s="46">
        <f>H47/$H$46</f>
        <v>0.35607142464888603</v>
      </c>
      <c r="F47" s="46">
        <f>G47/$H$46</f>
        <v>1.0329200594950723</v>
      </c>
      <c r="G47" s="46">
        <f t="array" ref="G47:I47">LINEST($F$31:$F$33,$G34:$I36,FALSE)</f>
        <v>18.779712981748979</v>
      </c>
      <c r="H47" s="46">
        <v>6.4738012341219697</v>
      </c>
      <c r="I47" s="46">
        <v>-9.2729488439165646</v>
      </c>
      <c r="J47" s="97"/>
      <c r="K47" s="53" t="str">
        <f t="shared" si="30"/>
        <v>-0.5100299,0.3560714,1.03292,</v>
      </c>
      <c r="M47" s="46">
        <f t="shared" si="0"/>
        <v>14.519632319432979</v>
      </c>
      <c r="N47" s="46">
        <f t="shared" si="5"/>
        <v>44</v>
      </c>
      <c r="O47" s="50">
        <f t="shared" si="1"/>
        <v>29.486988508000735</v>
      </c>
      <c r="P47" s="50">
        <f t="shared" si="2"/>
        <v>44.006620827433714</v>
      </c>
      <c r="Q47" s="50">
        <f t="shared" si="3"/>
        <v>43.199598982155507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0.18532406179308161</v>
      </c>
      <c r="E48" s="46">
        <f>H48/$H$49</f>
        <v>1.0730248206247517</v>
      </c>
      <c r="F48" s="46">
        <f>G48/$H$49</f>
        <v>-0.62962792078251262</v>
      </c>
      <c r="G48" s="46">
        <f t="array" ref="G48:I48">LINEST($D37:$D39,$G37:$I39,FALSE)</f>
        <v>-14.097079569892079</v>
      </c>
      <c r="H48" s="46">
        <v>24.024532231697727</v>
      </c>
      <c r="I48" s="46">
        <v>4.1493205099065049</v>
      </c>
      <c r="J48" s="97">
        <f>H49</f>
        <v>22.389540083247866</v>
      </c>
      <c r="K48" s="53" t="str">
        <f t="shared" si="30"/>
        <v>0.1853241,1.073025,-0.6296279,</v>
      </c>
      <c r="M48" s="46">
        <f t="shared" si="0"/>
        <v>16.510658084139251</v>
      </c>
      <c r="N48" s="46">
        <f t="shared" si="5"/>
        <v>45</v>
      </c>
      <c r="O48" s="50">
        <f t="shared" si="1"/>
        <v>27.411257465640603</v>
      </c>
      <c r="P48" s="50">
        <f t="shared" si="2"/>
        <v>43.921915549779854</v>
      </c>
      <c r="Q48" s="50">
        <f t="shared" si="3"/>
        <v>42.891118555262075</v>
      </c>
    </row>
    <row r="49" spans="1:24">
      <c r="A49" s="4"/>
      <c r="B49" s="46" t="str">
        <f t="shared" si="31"/>
        <v>Y</v>
      </c>
      <c r="C49" s="79"/>
      <c r="D49" s="46">
        <f>I49/$H$49</f>
        <v>7.2401996552473272E-2</v>
      </c>
      <c r="E49" s="46">
        <f>H49/$H$49</f>
        <v>1</v>
      </c>
      <c r="F49" s="46">
        <f>G49/$H$49</f>
        <v>-0.33727926245136935</v>
      </c>
      <c r="G49" s="46">
        <f t="array" ref="G49:I49">LINEST($E37:$E39,$G37:$I39,FALSE)</f>
        <v>-7.5515275659032106</v>
      </c>
      <c r="H49" s="46">
        <v>22.389540083247866</v>
      </c>
      <c r="I49" s="46">
        <v>1.6210474039187741</v>
      </c>
      <c r="J49" s="97"/>
      <c r="K49" s="53" t="str">
        <f t="shared" si="30"/>
        <v>7.240199E-02,1,-0.3372793,</v>
      </c>
      <c r="M49" s="46">
        <f t="shared" si="0"/>
        <v>18.501683848845516</v>
      </c>
      <c r="N49" s="46">
        <f t="shared" si="5"/>
        <v>46</v>
      </c>
      <c r="O49" s="50">
        <f t="shared" si="1"/>
        <v>25.335526423280484</v>
      </c>
      <c r="P49" s="50">
        <f t="shared" si="2"/>
        <v>43.837210272126001</v>
      </c>
      <c r="Q49" s="50">
        <f t="shared" si="3"/>
        <v>42.58263812836865</v>
      </c>
    </row>
    <row r="50" spans="1:24">
      <c r="A50" s="4"/>
      <c r="B50" s="46" t="str">
        <f t="shared" si="31"/>
        <v>Z</v>
      </c>
      <c r="C50" s="79"/>
      <c r="D50" s="46">
        <f>I50/$H$49</f>
        <v>-0.33826635247208131</v>
      </c>
      <c r="E50" s="46">
        <f>H50/$H$49</f>
        <v>0.22139188962449646</v>
      </c>
      <c r="F50" s="46">
        <f>G50/$H$49</f>
        <v>0.87468691041545898</v>
      </c>
      <c r="G50" s="46">
        <f t="array" ref="G50:I50">LINEST($F$31:$F$33,$G37:$I39,FALSE)</f>
        <v>19.583837641039153</v>
      </c>
      <c r="H50" s="46">
        <v>4.9568625868536511</v>
      </c>
      <c r="I50" s="46">
        <v>-7.5736280574877153</v>
      </c>
      <c r="J50" s="97"/>
      <c r="K50" s="54" t="str">
        <f t="shared" si="30"/>
        <v>-0.3382663,0.2213919,0.8746869,</v>
      </c>
      <c r="M50" s="46">
        <f t="shared" si="0"/>
        <v>20.492709613551789</v>
      </c>
      <c r="N50" s="46">
        <f t="shared" si="5"/>
        <v>47</v>
      </c>
      <c r="O50" s="50">
        <f t="shared" si="1"/>
        <v>23.259795380920352</v>
      </c>
      <c r="P50" s="50">
        <f t="shared" si="2"/>
        <v>43.75250499447214</v>
      </c>
      <c r="Q50" s="50">
        <f t="shared" si="3"/>
        <v>42.274157701475225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0.19779455171340951</v>
      </c>
      <c r="E51" s="46">
        <f t="shared" ref="E51:F51" si="32">(E42+E45+E48)/3</f>
        <v>1.0477483736274742</v>
      </c>
      <c r="F51" s="46">
        <f t="shared" si="32"/>
        <v>-0.48433813637468925</v>
      </c>
      <c r="J51" s="97">
        <f>(J42+J45+J48)/3</f>
        <v>19.234809450223917</v>
      </c>
      <c r="M51" s="46">
        <f t="shared" si="0"/>
        <v>22.483735378258061</v>
      </c>
      <c r="N51" s="46">
        <f t="shared" si="5"/>
        <v>48</v>
      </c>
      <c r="O51" s="50">
        <f t="shared" si="1"/>
        <v>21.184064338560219</v>
      </c>
      <c r="P51" s="50">
        <f t="shared" si="2"/>
        <v>43.66779971681828</v>
      </c>
      <c r="Q51" s="50">
        <f t="shared" si="3"/>
        <v>41.965677274581793</v>
      </c>
    </row>
    <row r="52" spans="1:24">
      <c r="B52" s="46" t="str">
        <f t="shared" si="31"/>
        <v>Y</v>
      </c>
      <c r="C52" s="79"/>
      <c r="D52" s="46">
        <f t="shared" ref="D52:F53" si="33">(D43+D46+D49)/3</f>
        <v>5.0870712655979734E-2</v>
      </c>
      <c r="E52" s="46">
        <f t="shared" si="33"/>
        <v>1</v>
      </c>
      <c r="F52" s="46">
        <f t="shared" si="33"/>
        <v>-0.17417483826893942</v>
      </c>
      <c r="J52" s="97"/>
      <c r="M52" s="46">
        <f t="shared" si="0"/>
        <v>24.474761142964333</v>
      </c>
      <c r="N52" s="46">
        <f t="shared" si="5"/>
        <v>49</v>
      </c>
      <c r="O52" s="50">
        <f t="shared" si="1"/>
        <v>19.108333296200087</v>
      </c>
      <c r="P52" s="50">
        <f t="shared" si="2"/>
        <v>43.583094439164419</v>
      </c>
      <c r="Q52" s="50">
        <f t="shared" si="3"/>
        <v>41.657196847688368</v>
      </c>
    </row>
    <row r="53" spans="1:24" ht="15.75" thickBot="1">
      <c r="B53" s="46" t="str">
        <f t="shared" si="31"/>
        <v>Z</v>
      </c>
      <c r="C53" s="79"/>
      <c r="D53" s="46">
        <f t="shared" si="33"/>
        <v>-0.45905440372394163</v>
      </c>
      <c r="E53" s="46">
        <f t="shared" si="33"/>
        <v>0.30665252946757887</v>
      </c>
      <c r="F53" s="46">
        <f t="shared" si="33"/>
        <v>1.0156717855041884</v>
      </c>
      <c r="J53" s="100"/>
      <c r="M53" s="46">
        <f t="shared" si="0"/>
        <v>26.465786907670605</v>
      </c>
      <c r="N53" s="46">
        <f t="shared" si="5"/>
        <v>50</v>
      </c>
      <c r="O53" s="50">
        <f t="shared" si="1"/>
        <v>17.032602253839954</v>
      </c>
      <c r="P53" s="50">
        <f t="shared" si="2"/>
        <v>43.498389161510559</v>
      </c>
      <c r="Q53" s="50">
        <f t="shared" si="3"/>
        <v>41.348716420794943</v>
      </c>
    </row>
    <row r="54" spans="1:24">
      <c r="B54" s="79" t="s">
        <v>14</v>
      </c>
      <c r="C54" s="79"/>
      <c r="D54" s="19">
        <f>I54/$H$55</f>
        <v>0.18274017636722781</v>
      </c>
      <c r="E54" s="20">
        <f>H54/$H$55</f>
        <v>1.0423312201999642</v>
      </c>
      <c r="F54" s="21">
        <f>G54/$H$55</f>
        <v>-0.41999699862450468</v>
      </c>
      <c r="G54" s="46">
        <f t="array" ref="G54:I54">LINEST(D$31:D$39,$G$31:$I$39,FALSE)</f>
        <v>-7.749558519464224</v>
      </c>
      <c r="H54" s="46">
        <v>19.2325345515764</v>
      </c>
      <c r="I54" s="46">
        <v>3.3718233588644022</v>
      </c>
      <c r="J54" s="98">
        <f>H55</f>
        <v>18.451461664831232</v>
      </c>
      <c r="M54" s="46">
        <f t="shared" si="0"/>
        <v>28.45681267237687</v>
      </c>
      <c r="N54" s="46">
        <f t="shared" si="5"/>
        <v>51</v>
      </c>
      <c r="O54" s="50">
        <f t="shared" si="1"/>
        <v>14.956871211479836</v>
      </c>
      <c r="P54" s="50">
        <f t="shared" si="2"/>
        <v>43.413683883856706</v>
      </c>
      <c r="Q54" s="50">
        <f t="shared" si="3"/>
        <v>41.040235993901518</v>
      </c>
    </row>
    <row r="55" spans="1:24" ht="15" customHeight="1">
      <c r="B55" s="79"/>
      <c r="C55" s="79"/>
      <c r="D55" s="22">
        <f>I55/$H$55</f>
        <v>4.2584624731148227E-2</v>
      </c>
      <c r="E55" s="18">
        <f>H55/$H$55</f>
        <v>1</v>
      </c>
      <c r="F55" s="23">
        <f>G55/$H$55</f>
        <v>-0.12569485371283609</v>
      </c>
      <c r="G55" s="46">
        <f t="array" ref="G55:I55">LINEST(E$31:E$39,$G$31:$I$39,FALSE)</f>
        <v>-2.3192537747489648</v>
      </c>
      <c r="H55" s="46">
        <v>18.451461664831232</v>
      </c>
      <c r="I55" s="46">
        <v>0.78574857073800553</v>
      </c>
      <c r="J55" s="98"/>
      <c r="M55" s="46">
        <f t="shared" si="0"/>
        <v>30.447838437083142</v>
      </c>
      <c r="N55" s="46">
        <f t="shared" si="5"/>
        <v>52</v>
      </c>
      <c r="O55" s="50">
        <f t="shared" si="1"/>
        <v>12.881140169119703</v>
      </c>
      <c r="P55" s="50">
        <f t="shared" si="2"/>
        <v>43.328978606202845</v>
      </c>
      <c r="Q55" s="50">
        <f t="shared" si="3"/>
        <v>40.731755567008094</v>
      </c>
    </row>
    <row r="56" spans="1:24" ht="15" customHeight="1" thickBot="1">
      <c r="B56" s="79"/>
      <c r="C56" s="79"/>
      <c r="D56" s="24">
        <f>I56/$H$55</f>
        <v>-0.44044009301872877</v>
      </c>
      <c r="E56" s="25">
        <f>H56/$H$55</f>
        <v>0.32480539680276937</v>
      </c>
      <c r="F56" s="26">
        <f>G56/$H$55</f>
        <v>0.98750860091051185</v>
      </c>
      <c r="G56" s="46">
        <f t="array" ref="G56:I56">LINEST(F$31:F$39,$G$31:$I$39,FALSE)</f>
        <v>18.220977093391433</v>
      </c>
      <c r="H56" s="46">
        <v>5.9931343276365956</v>
      </c>
      <c r="I56" s="46">
        <v>-8.1267634919897755</v>
      </c>
      <c r="J56" s="98"/>
      <c r="M56" s="46">
        <f t="shared" si="0"/>
        <v>32.438864201789414</v>
      </c>
      <c r="N56" s="46">
        <f t="shared" si="5"/>
        <v>53</v>
      </c>
      <c r="O56" s="50">
        <f t="shared" si="1"/>
        <v>10.805409126759571</v>
      </c>
      <c r="P56" s="50">
        <f t="shared" si="2"/>
        <v>43.244273328548985</v>
      </c>
      <c r="Q56" s="50">
        <f t="shared" si="3"/>
        <v>40.423275140114661</v>
      </c>
    </row>
    <row r="57" spans="1:24">
      <c r="M57" s="46">
        <f t="shared" si="0"/>
        <v>34.429889966495686</v>
      </c>
      <c r="N57" s="46">
        <f t="shared" si="5"/>
        <v>54</v>
      </c>
      <c r="O57" s="50">
        <f t="shared" si="1"/>
        <v>8.7296780843994384</v>
      </c>
      <c r="P57" s="50">
        <f t="shared" si="2"/>
        <v>43.159568050895125</v>
      </c>
      <c r="Q57" s="50">
        <f t="shared" si="3"/>
        <v>40.114794713221237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36.420915731201958</v>
      </c>
      <c r="N58" s="46">
        <f t="shared" si="5"/>
        <v>55</v>
      </c>
      <c r="O58" s="50">
        <f t="shared" si="1"/>
        <v>6.6539470420393059</v>
      </c>
      <c r="P58" s="50">
        <f t="shared" si="2"/>
        <v>43.074862773241264</v>
      </c>
      <c r="Q58" s="50">
        <f t="shared" si="3"/>
        <v>39.806314286327805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38.411941495908238</v>
      </c>
      <c r="N59" s="46">
        <f t="shared" si="5"/>
        <v>56</v>
      </c>
      <c r="O59" s="50">
        <f t="shared" si="1"/>
        <v>4.5782159996791734</v>
      </c>
      <c r="P59" s="50">
        <f t="shared" si="2"/>
        <v>42.990157495587411</v>
      </c>
      <c r="Q59" s="50">
        <f t="shared" si="3"/>
        <v>39.49783385943438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510.6</v>
      </c>
      <c r="E60" s="32">
        <f t="shared" ref="E60:E68" si="37">getCCTfromXY(D22/SUM(D22:F22),E22/SUM(D22:F22))</f>
        <v>2865</v>
      </c>
      <c r="F60" s="31">
        <f t="shared" ref="F60:F68" si="38">V60</f>
        <v>511.91441655552904</v>
      </c>
      <c r="G60" s="32">
        <f t="shared" ref="G60:G68" si="39">getCCTfromXY(U60/X60,V60/X60)</f>
        <v>3052</v>
      </c>
      <c r="H60" s="33">
        <f>F60/D60-1</f>
        <v>2.5742588239894282E-3</v>
      </c>
      <c r="I60" s="34">
        <f t="shared" ref="I60:I68" si="40">G60/E60-1</f>
        <v>6.5270506108202397E-2</v>
      </c>
      <c r="M60" s="46">
        <f t="shared" si="0"/>
        <v>40.402967260614496</v>
      </c>
      <c r="N60" s="46">
        <f t="shared" si="5"/>
        <v>57</v>
      </c>
      <c r="O60" s="50">
        <f t="shared" si="1"/>
        <v>2.5024849573190551</v>
      </c>
      <c r="P60" s="50">
        <f t="shared" si="2"/>
        <v>42.905452217933551</v>
      </c>
      <c r="Q60" s="50">
        <f t="shared" si="3"/>
        <v>39.189353432540955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544.02055183744585</v>
      </c>
      <c r="V60" s="50">
        <f>$J$54*$J$31*($D$55*G22+$E$55*H22+$F$55*I22)</f>
        <v>511.91441655552904</v>
      </c>
      <c r="W60" s="50">
        <f>$J$54*$J$31*($D$56*G22+$E$56*H22+$F$56*I22)</f>
        <v>185.09790253788242</v>
      </c>
      <c r="X60" s="29">
        <f>SUM(U60:W60)</f>
        <v>1241.0328709308574</v>
      </c>
    </row>
    <row r="61" spans="1:24">
      <c r="A61" s="87"/>
      <c r="B61" s="48" t="str">
        <f t="shared" si="35"/>
        <v>CWF</v>
      </c>
      <c r="C61" s="93"/>
      <c r="D61" s="31">
        <f t="shared" si="36"/>
        <v>1203.5</v>
      </c>
      <c r="E61" s="32">
        <f t="shared" si="37"/>
        <v>3851</v>
      </c>
      <c r="F61" s="31">
        <f t="shared" si="38"/>
        <v>1247.8374227339771</v>
      </c>
      <c r="G61" s="32">
        <f t="shared" si="39"/>
        <v>3816</v>
      </c>
      <c r="H61" s="33">
        <f t="shared" ref="H61:H68" si="41">F61/D61-1</f>
        <v>3.6840401108414689E-2</v>
      </c>
      <c r="I61" s="34">
        <f t="shared" si="40"/>
        <v>-9.0885484289794372E-3</v>
      </c>
      <c r="M61" s="46">
        <f t="shared" si="0"/>
        <v>42.393993025320768</v>
      </c>
      <c r="N61" s="46">
        <f t="shared" si="5"/>
        <v>58</v>
      </c>
      <c r="O61" s="50">
        <f t="shared" si="1"/>
        <v>0.42675391495892256</v>
      </c>
      <c r="P61" s="50">
        <f t="shared" si="2"/>
        <v>42.82074694027969</v>
      </c>
      <c r="Q61" s="50">
        <f t="shared" si="3"/>
        <v>38.88087300564753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1241.4740974416525</v>
      </c>
      <c r="V61" s="50">
        <f>$J$54*$J$31*($D$55*G23+$E$55*H23+$F$55*I23)</f>
        <v>1247.8374227339771</v>
      </c>
      <c r="W61" s="50">
        <f>$J$54*$J$31*($D$56*G23+$E$56*H23+$F$56*I23)</f>
        <v>658.88826523056503</v>
      </c>
      <c r="X61" s="29">
        <f t="shared" ref="X61:X68" si="43">SUM(U61:W61)</f>
        <v>3148.1997854061947</v>
      </c>
    </row>
    <row r="62" spans="1:24">
      <c r="A62" s="87"/>
      <c r="B62" s="48" t="str">
        <f t="shared" si="35"/>
        <v>D65</v>
      </c>
      <c r="C62" s="93"/>
      <c r="D62" s="31">
        <f t="shared" si="36"/>
        <v>578.45000000000005</v>
      </c>
      <c r="E62" s="32">
        <f t="shared" si="37"/>
        <v>6252</v>
      </c>
      <c r="F62" s="31">
        <f t="shared" si="38"/>
        <v>584.52919093073808</v>
      </c>
      <c r="G62" s="32">
        <f t="shared" si="39"/>
        <v>6045</v>
      </c>
      <c r="H62" s="33">
        <f t="shared" si="41"/>
        <v>1.0509449270875715E-2</v>
      </c>
      <c r="I62" s="34">
        <f t="shared" si="40"/>
        <v>-3.3109404990403046E-2</v>
      </c>
      <c r="M62" s="46">
        <f t="shared" si="0"/>
        <v>44.38501879002704</v>
      </c>
      <c r="N62" s="46">
        <f t="shared" si="5"/>
        <v>59</v>
      </c>
      <c r="O62" s="50">
        <f t="shared" si="1"/>
        <v>-1.6489771274012099</v>
      </c>
      <c r="P62" s="50">
        <f t="shared" si="2"/>
        <v>42.73604166262583</v>
      </c>
      <c r="Q62" s="50">
        <f t="shared" si="3"/>
        <v>38.572392578754105</v>
      </c>
      <c r="R62" s="78"/>
      <c r="S62" s="46" t="str">
        <f t="shared" si="42"/>
        <v>D65</v>
      </c>
      <c r="T62" s="79"/>
      <c r="U62" s="50">
        <f>$J$54*$J$31*($D$54*G24+$E$54*H24+$F$54*I24)</f>
        <v>522.26821242918345</v>
      </c>
      <c r="V62" s="50">
        <f>$J$54*$J$31*($D$55*G24+$E$55*H24+$F$55*I24)</f>
        <v>584.52919093073808</v>
      </c>
      <c r="W62" s="50">
        <f>$J$54*$J$31*($D$56*G24+$E$56*H24+$F$56*I24)</f>
        <v>518.21104218673531</v>
      </c>
      <c r="X62" s="29">
        <f t="shared" si="43"/>
        <v>1625.008445546657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510.6</v>
      </c>
      <c r="E63" s="32">
        <f t="shared" si="37"/>
        <v>2865</v>
      </c>
      <c r="F63" s="31">
        <f t="shared" si="38"/>
        <v>519.57935797634752</v>
      </c>
      <c r="G63" s="32">
        <f t="shared" si="39"/>
        <v>3193</v>
      </c>
      <c r="H63" s="33">
        <f t="shared" si="41"/>
        <v>1.7585894979137207E-2</v>
      </c>
      <c r="I63" s="34">
        <f t="shared" si="40"/>
        <v>0.11448516579406642</v>
      </c>
      <c r="M63" s="46">
        <f t="shared" si="0"/>
        <v>46.376044554733312</v>
      </c>
      <c r="N63" s="46">
        <f t="shared" si="5"/>
        <v>60</v>
      </c>
      <c r="O63" s="50">
        <f t="shared" si="1"/>
        <v>-3.7247081697613424</v>
      </c>
      <c r="P63" s="50">
        <f t="shared" si="2"/>
        <v>42.65133638497197</v>
      </c>
      <c r="Q63" s="50">
        <f t="shared" si="3"/>
        <v>38.263912151860673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545.66482435095895</v>
      </c>
      <c r="V63" s="50">
        <f>$J$54*$J$34*($D$55*G25+$E$55*H25+$F$55*I25)</f>
        <v>519.57935797634752</v>
      </c>
      <c r="W63" s="50">
        <f>$J$54*$J$34*($D$56*G25+$E$56*H25+$F$56*I25)</f>
        <v>209.20383769695906</v>
      </c>
      <c r="X63" s="29">
        <f t="shared" si="43"/>
        <v>1274.4480200242656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1203.5</v>
      </c>
      <c r="E64" s="32">
        <f t="shared" si="37"/>
        <v>3851</v>
      </c>
      <c r="F64" s="31">
        <f t="shared" si="38"/>
        <v>1226.0245916301317</v>
      </c>
      <c r="G64" s="32">
        <f t="shared" si="39"/>
        <v>3860</v>
      </c>
      <c r="H64" s="33">
        <f t="shared" si="41"/>
        <v>1.8715904968950259E-2</v>
      </c>
      <c r="I64" s="34">
        <f t="shared" si="40"/>
        <v>2.337055310309033E-3</v>
      </c>
      <c r="M64" s="46">
        <f t="shared" si="0"/>
        <v>48.367070319439591</v>
      </c>
      <c r="N64" s="46">
        <f t="shared" si="5"/>
        <v>61</v>
      </c>
      <c r="O64" s="50">
        <f t="shared" si="1"/>
        <v>-5.800439212121475</v>
      </c>
      <c r="P64" s="50">
        <f t="shared" si="2"/>
        <v>42.566631107318116</v>
      </c>
      <c r="Q64" s="50">
        <f t="shared" si="3"/>
        <v>37.955431724967248</v>
      </c>
      <c r="R64" s="78"/>
      <c r="S64" s="46" t="str">
        <f t="shared" si="42"/>
        <v>CWF</v>
      </c>
      <c r="T64" s="79"/>
      <c r="U64" s="50">
        <f>$J$54*$J$34*($D$54*G26+$E$54*H26+$F$54*I26)</f>
        <v>1216.5329938332566</v>
      </c>
      <c r="V64" s="50">
        <f>$J$54*$J$34*($D$55*G26+$E$55*H26+$F$55*I26)</f>
        <v>1226.0245916301317</v>
      </c>
      <c r="W64" s="50">
        <f>$J$54*$J$34*($D$56*G26+$E$56*H26+$F$56*I26)</f>
        <v>659.47567809820146</v>
      </c>
      <c r="X64" s="29">
        <f t="shared" si="43"/>
        <v>3102.0332635615896</v>
      </c>
    </row>
    <row r="65" spans="1:24">
      <c r="A65" s="87"/>
      <c r="B65" s="48" t="str">
        <f t="shared" si="35"/>
        <v>D65</v>
      </c>
      <c r="C65" s="93"/>
      <c r="D65" s="31">
        <f t="shared" si="36"/>
        <v>578.45000000000005</v>
      </c>
      <c r="E65" s="32">
        <f t="shared" si="37"/>
        <v>6252</v>
      </c>
      <c r="F65" s="31">
        <f t="shared" si="38"/>
        <v>592.45403913509006</v>
      </c>
      <c r="G65" s="32">
        <f t="shared" si="39"/>
        <v>6039</v>
      </c>
      <c r="H65" s="33">
        <f t="shared" si="41"/>
        <v>2.4209593111055527E-2</v>
      </c>
      <c r="I65" s="34">
        <f t="shared" si="40"/>
        <v>-3.4069097888675626E-2</v>
      </c>
      <c r="M65" s="46">
        <f t="shared" si="0"/>
        <v>50.358096084145849</v>
      </c>
      <c r="N65" s="46">
        <f t="shared" si="5"/>
        <v>62</v>
      </c>
      <c r="O65" s="50">
        <f t="shared" si="1"/>
        <v>-7.8761702544815932</v>
      </c>
      <c r="P65" s="50">
        <f t="shared" si="2"/>
        <v>42.481925829664256</v>
      </c>
      <c r="Q65" s="50">
        <f t="shared" si="3"/>
        <v>37.646951298073816</v>
      </c>
      <c r="R65" s="78"/>
      <c r="S65" s="46" t="str">
        <f t="shared" si="42"/>
        <v>D65</v>
      </c>
      <c r="T65" s="79"/>
      <c r="U65" s="50">
        <f>$J$54*$J$34*($D$54*G27+$E$54*H27+$F$54*I27)</f>
        <v>529.48189438430848</v>
      </c>
      <c r="V65" s="50">
        <f>$J$54*$J$34*($D$55*G27+$E$55*H27+$F$55*I27)</f>
        <v>592.45403913509006</v>
      </c>
      <c r="W65" s="50">
        <f>$J$54*$J$34*($D$56*G27+$E$56*H27+$F$56*I27)</f>
        <v>524.85358944847678</v>
      </c>
      <c r="X65" s="29">
        <f t="shared" si="43"/>
        <v>1646.7895229678752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510.6</v>
      </c>
      <c r="E66" s="32">
        <f t="shared" si="37"/>
        <v>2865</v>
      </c>
      <c r="F66" s="31">
        <f t="shared" si="38"/>
        <v>510.35374810736641</v>
      </c>
      <c r="G66" s="32">
        <f t="shared" si="39"/>
        <v>2513</v>
      </c>
      <c r="H66" s="33">
        <f t="shared" si="41"/>
        <v>-4.8227946070034111E-4</v>
      </c>
      <c r="I66" s="34">
        <f t="shared" si="40"/>
        <v>-0.12286212914485162</v>
      </c>
      <c r="M66" s="46">
        <f t="shared" si="0"/>
        <v>52.349121848852121</v>
      </c>
      <c r="N66" s="46">
        <f t="shared" si="5"/>
        <v>63</v>
      </c>
      <c r="O66" s="50">
        <f t="shared" si="1"/>
        <v>-9.9519012968417258</v>
      </c>
      <c r="P66" s="50">
        <f t="shared" si="2"/>
        <v>42.397220552010396</v>
      </c>
      <c r="Q66" s="50">
        <f t="shared" si="3"/>
        <v>37.338470871180391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572.57288495341686</v>
      </c>
      <c r="V66" s="50">
        <f>$J$54*$J$37*($D$55*G28+$E$55*H28+$F$55*I28)</f>
        <v>510.35374810736641</v>
      </c>
      <c r="W66" s="50">
        <f>$J$54*$J$37*($D$56*G28+$E$56*H28+$F$56*I28)</f>
        <v>84.749242776226978</v>
      </c>
      <c r="X66" s="29">
        <f t="shared" si="43"/>
        <v>1167.6758758370104</v>
      </c>
    </row>
    <row r="67" spans="1:24">
      <c r="A67" s="87"/>
      <c r="B67" s="48" t="str">
        <f t="shared" si="35"/>
        <v>CWF</v>
      </c>
      <c r="C67" s="93"/>
      <c r="D67" s="31">
        <f t="shared" si="36"/>
        <v>1203.5</v>
      </c>
      <c r="E67" s="32">
        <f t="shared" si="37"/>
        <v>3851</v>
      </c>
      <c r="F67" s="31">
        <f t="shared" si="38"/>
        <v>1116.540823882289</v>
      </c>
      <c r="G67" s="32">
        <f t="shared" si="39"/>
        <v>3942</v>
      </c>
      <c r="H67" s="33">
        <f t="shared" si="41"/>
        <v>-7.2255235660748651E-2</v>
      </c>
      <c r="I67" s="34">
        <f t="shared" si="40"/>
        <v>2.3630225915346692E-2</v>
      </c>
      <c r="R67" s="78"/>
      <c r="S67" s="46" t="str">
        <f t="shared" si="42"/>
        <v>CWF</v>
      </c>
      <c r="T67" s="79"/>
      <c r="U67" s="50">
        <f>$J$54*$J$37*($D$54*G29+$E$54*H29+$F$54*I29)</f>
        <v>1102.9215272715844</v>
      </c>
      <c r="V67" s="50">
        <f>$J$54*$J$37*($D$55*G29+$E$55*H29+$F$55*I29)</f>
        <v>1116.540823882289</v>
      </c>
      <c r="W67" s="50">
        <f>$J$54*$J$37*($D$56*G29+$E$56*H29+$F$56*I29)</f>
        <v>621.98009060548145</v>
      </c>
      <c r="X67" s="29">
        <f t="shared" si="43"/>
        <v>2841.442441759355</v>
      </c>
    </row>
    <row r="68" spans="1:24">
      <c r="A68" s="87"/>
      <c r="B68" s="48" t="str">
        <f t="shared" si="35"/>
        <v>D65</v>
      </c>
      <c r="C68" s="93"/>
      <c r="D68" s="31">
        <f t="shared" si="36"/>
        <v>578.45000000000005</v>
      </c>
      <c r="E68" s="32">
        <f t="shared" si="37"/>
        <v>6252</v>
      </c>
      <c r="F68" s="31">
        <f t="shared" si="38"/>
        <v>573.37298228283112</v>
      </c>
      <c r="G68" s="32">
        <f t="shared" si="39"/>
        <v>6051</v>
      </c>
      <c r="H68" s="33">
        <f t="shared" si="41"/>
        <v>-8.7769344233190605E-3</v>
      </c>
      <c r="I68" s="34">
        <f t="shared" si="40"/>
        <v>-3.2149712092130467E-2</v>
      </c>
      <c r="R68" s="78"/>
      <c r="S68" s="46" t="str">
        <f t="shared" si="42"/>
        <v>D65</v>
      </c>
      <c r="T68" s="79"/>
      <c r="U68" s="50">
        <f>$J$54*$J$37*($D$54*G30+$E$54*H30+$F$54*I30)</f>
        <v>512.14495989342254</v>
      </c>
      <c r="V68" s="50">
        <f>$J$54*$J$37*($D$55*G30+$E$55*H30+$F$55*I30)</f>
        <v>573.37298228283112</v>
      </c>
      <c r="W68" s="50">
        <f>$J$54*$J$37*($D$56*G30+$E$56*H30+$F$56*I30)</f>
        <v>508.61905586989724</v>
      </c>
      <c r="X68" s="29">
        <f t="shared" si="43"/>
        <v>1594.1369980461509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7.2255235660748651E-2</v>
      </c>
      <c r="G69" s="47"/>
      <c r="H69" s="36" t="str">
        <f>I59</f>
        <v>CCT</v>
      </c>
      <c r="I69" s="38">
        <f>MAX(MAX(I60:I68,-MIN(I60:I68)))</f>
        <v>0.12286212914485162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510.6</v>
      </c>
      <c r="E72" s="31">
        <f t="shared" ref="E72:E80" si="47">E60</f>
        <v>2865</v>
      </c>
      <c r="F72" s="31">
        <f t="shared" ref="F72:F80" si="48">V72</f>
        <v>512.59356606531628</v>
      </c>
      <c r="G72" s="32">
        <f t="shared" ref="G72:G80" si="49">getCCTfromXY(U72/X72,V72/X72)</f>
        <v>2978</v>
      </c>
      <c r="H72" s="33">
        <f>F72/D72-1</f>
        <v>3.9043597048888934E-3</v>
      </c>
      <c r="I72" s="34">
        <f t="shared" ref="I72:I80" si="50">G72/E72-1</f>
        <v>3.9441535776614245E-2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548.40583024337616</v>
      </c>
      <c r="V72" s="50">
        <f>$J$51*$J$31*($D$52*G22+$E$52*H22+$F$52*I22)</f>
        <v>512.59356606531628</v>
      </c>
      <c r="W72" s="50">
        <f>$J$51*$J$31*($D$53*G22+$E$53*H22+$F$53*I22)</f>
        <v>173.93924238954216</v>
      </c>
      <c r="X72" s="29">
        <f>SUM(U72:W72)</f>
        <v>1234.9386386982346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1203.5</v>
      </c>
      <c r="E73" s="31">
        <f t="shared" si="47"/>
        <v>3851</v>
      </c>
      <c r="F73" s="31">
        <f t="shared" si="48"/>
        <v>1272.8947555551147</v>
      </c>
      <c r="G73" s="32">
        <f t="shared" si="49"/>
        <v>3781</v>
      </c>
      <c r="H73" s="33">
        <f t="shared" ref="H73:H80" si="52">F73/D73-1</f>
        <v>5.7660785671054926E-2</v>
      </c>
      <c r="I73" s="34">
        <f t="shared" si="50"/>
        <v>-1.8177096857958985E-2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1269.2074944814917</v>
      </c>
      <c r="V73" s="50">
        <f t="shared" ref="V73:V74" si="55">$J$51*$J$31*($D$52*G23+$E$52*H23+$F$52*I23)</f>
        <v>1272.8947555551147</v>
      </c>
      <c r="W73" s="50">
        <f t="shared" ref="W73:W74" si="56">$J$51*$J$31*($D$53*G23+$E$53*H23+$F$53*I23)</f>
        <v>662.35745219329453</v>
      </c>
      <c r="X73" s="29">
        <f t="shared" ref="X73:X80" si="57">SUM(U73:W73)</f>
        <v>3204.4597022299008</v>
      </c>
    </row>
    <row r="74" spans="1:24">
      <c r="A74" s="87"/>
      <c r="B74" s="48" t="str">
        <f t="shared" si="46"/>
        <v>X</v>
      </c>
      <c r="C74" s="93"/>
      <c r="D74" s="31">
        <f t="shared" si="51"/>
        <v>578.45000000000005</v>
      </c>
      <c r="E74" s="31">
        <f t="shared" si="47"/>
        <v>6252</v>
      </c>
      <c r="F74" s="31">
        <f t="shared" si="48"/>
        <v>586.46472828955439</v>
      </c>
      <c r="G74" s="32">
        <f t="shared" si="49"/>
        <v>6257</v>
      </c>
      <c r="H74" s="33">
        <f t="shared" si="52"/>
        <v>1.3855524746398729E-2</v>
      </c>
      <c r="I74" s="34">
        <f t="shared" si="50"/>
        <v>7.9974408189387169E-4</v>
      </c>
      <c r="R74" s="78"/>
      <c r="S74" s="46" t="str">
        <f t="shared" si="53"/>
        <v>D65</v>
      </c>
      <c r="T74" s="79"/>
      <c r="U74" s="50">
        <f t="shared" si="54"/>
        <v>519.72203428373689</v>
      </c>
      <c r="V74" s="50">
        <f t="shared" si="55"/>
        <v>586.46472828955439</v>
      </c>
      <c r="W74" s="50">
        <f t="shared" si="56"/>
        <v>534.47405110150476</v>
      </c>
      <c r="X74" s="29">
        <f t="shared" si="57"/>
        <v>1640.6608136747959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510.6</v>
      </c>
      <c r="E75" s="31">
        <f t="shared" si="47"/>
        <v>2865</v>
      </c>
      <c r="F75" s="31">
        <f t="shared" si="48"/>
        <v>519.86785006952766</v>
      </c>
      <c r="G75" s="32">
        <f t="shared" si="49"/>
        <v>3126</v>
      </c>
      <c r="H75" s="33">
        <f t="shared" si="52"/>
        <v>1.8150901037069511E-2</v>
      </c>
      <c r="I75" s="34">
        <f t="shared" si="50"/>
        <v>9.109947643979055E-2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549.11891888544801</v>
      </c>
      <c r="V75" s="50">
        <f>$J$51*$J$34*($D$52*G25+$E$52*H25+$F$52*I25)</f>
        <v>519.86785006952766</v>
      </c>
      <c r="W75" s="50">
        <f>$J$51*$J$34*($D$53*G25+$E$53*H25+$F$53*I25)</f>
        <v>199.65967639222001</v>
      </c>
      <c r="X75" s="29">
        <f t="shared" si="57"/>
        <v>1268.6464453471956</v>
      </c>
    </row>
    <row r="76" spans="1:24">
      <c r="A76" s="87"/>
      <c r="B76" s="48" t="str">
        <f t="shared" si="46"/>
        <v>Z</v>
      </c>
      <c r="C76" s="93"/>
      <c r="D76" s="31">
        <f t="shared" si="51"/>
        <v>1203.5</v>
      </c>
      <c r="E76" s="31">
        <f t="shared" si="47"/>
        <v>3851</v>
      </c>
      <c r="F76" s="31">
        <f t="shared" si="48"/>
        <v>1249.8413192151463</v>
      </c>
      <c r="G76" s="32">
        <f t="shared" si="49"/>
        <v>3828</v>
      </c>
      <c r="H76" s="33">
        <f t="shared" si="52"/>
        <v>3.8505458425547312E-2</v>
      </c>
      <c r="I76" s="34">
        <f t="shared" si="50"/>
        <v>-5.9724746819007635E-3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1242.6525306493522</v>
      </c>
      <c r="V76" s="50">
        <f t="shared" ref="V76:V77" si="59">$J$51*$J$34*($D$52*G26+$E$52*H26+$F$52*I26)</f>
        <v>1249.8413192151463</v>
      </c>
      <c r="W76" s="50">
        <f t="shared" ref="W76:W77" si="60">$J$51*$J$34*($D$53*G26+$E$53*H26+$F$53*I26)</f>
        <v>663.61438429031034</v>
      </c>
      <c r="X76" s="29">
        <f t="shared" si="57"/>
        <v>3156.108234154809</v>
      </c>
    </row>
    <row r="77" spans="1:24">
      <c r="A77" s="87"/>
      <c r="B77" s="48" t="str">
        <f t="shared" si="46"/>
        <v>X</v>
      </c>
      <c r="C77" s="93"/>
      <c r="D77" s="31">
        <f t="shared" si="51"/>
        <v>578.45000000000005</v>
      </c>
      <c r="E77" s="31">
        <f t="shared" si="47"/>
        <v>6252</v>
      </c>
      <c r="F77" s="31">
        <f t="shared" si="48"/>
        <v>594.40231132482393</v>
      </c>
      <c r="G77" s="32">
        <f t="shared" si="49"/>
        <v>6251</v>
      </c>
      <c r="H77" s="33">
        <f t="shared" si="52"/>
        <v>2.7577684025972715E-2</v>
      </c>
      <c r="I77" s="34">
        <f t="shared" si="50"/>
        <v>-1.5994881637870773E-4</v>
      </c>
      <c r="R77" s="78"/>
      <c r="S77" s="46" t="str">
        <f t="shared" si="53"/>
        <v>D65</v>
      </c>
      <c r="T77" s="79"/>
      <c r="U77" s="50">
        <f t="shared" si="58"/>
        <v>526.89881574003834</v>
      </c>
      <c r="V77" s="50">
        <f t="shared" si="59"/>
        <v>594.40231132482393</v>
      </c>
      <c r="W77" s="50">
        <f t="shared" si="60"/>
        <v>541.29498314158434</v>
      </c>
      <c r="X77" s="29">
        <f t="shared" si="57"/>
        <v>1662.5961102064466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510.6</v>
      </c>
      <c r="E78" s="31">
        <f t="shared" si="47"/>
        <v>2865</v>
      </c>
      <c r="F78" s="31">
        <f t="shared" si="48"/>
        <v>513.15783622074491</v>
      </c>
      <c r="G78" s="32">
        <f t="shared" si="49"/>
        <v>2426</v>
      </c>
      <c r="H78" s="33">
        <f t="shared" si="52"/>
        <v>5.0094716426651864E-3</v>
      </c>
      <c r="I78" s="34">
        <f t="shared" si="50"/>
        <v>-0.15322862129144854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581.8543366775624</v>
      </c>
      <c r="V78" s="50">
        <f>$J$51*$J$37*($D$52*G28+$E$52*H28+$F$52*I28)</f>
        <v>513.15783622074491</v>
      </c>
      <c r="W78" s="50">
        <f>$J$51*$J$37*($D$53*G28+$E$53*H28+$F$53*I28)</f>
        <v>65.415021480092733</v>
      </c>
      <c r="X78" s="29">
        <f t="shared" si="57"/>
        <v>1160.4271943783999</v>
      </c>
    </row>
    <row r="79" spans="1:24">
      <c r="A79" s="87"/>
      <c r="B79" s="48" t="str">
        <f t="shared" si="46"/>
        <v>Z</v>
      </c>
      <c r="C79" s="93"/>
      <c r="D79" s="31">
        <f t="shared" si="51"/>
        <v>1203.5</v>
      </c>
      <c r="E79" s="31">
        <f t="shared" si="47"/>
        <v>3851</v>
      </c>
      <c r="F79" s="31">
        <f t="shared" si="48"/>
        <v>1135.8516477022117</v>
      </c>
      <c r="G79" s="32">
        <f t="shared" si="49"/>
        <v>3917</v>
      </c>
      <c r="H79" s="33">
        <f t="shared" si="52"/>
        <v>-5.6209682008964035E-2</v>
      </c>
      <c r="I79" s="34">
        <f t="shared" si="50"/>
        <v>1.7138405608932761E-2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1123.7720269737156</v>
      </c>
      <c r="V79" s="50">
        <f t="shared" ref="V79:V80" si="62">$J$51*$J$37*($D$52*G29+$E$52*H29+$F$52*I29)</f>
        <v>1135.8516477022117</v>
      </c>
      <c r="W79" s="50">
        <f t="shared" ref="W79:W80" si="63">$J$51*$J$37*($D$53*G29+$E$53*H29+$F$53*I29)</f>
        <v>626.57098507319654</v>
      </c>
      <c r="X79" s="29">
        <f t="shared" si="57"/>
        <v>2886.1946597491237</v>
      </c>
    </row>
    <row r="80" spans="1:24">
      <c r="A80" s="87"/>
      <c r="B80" s="48" t="str">
        <f t="shared" si="46"/>
        <v>X</v>
      </c>
      <c r="C80" s="93"/>
      <c r="D80" s="31">
        <f t="shared" si="51"/>
        <v>578.45000000000005</v>
      </c>
      <c r="E80" s="31">
        <f t="shared" si="47"/>
        <v>6252</v>
      </c>
      <c r="F80" s="31">
        <f t="shared" si="48"/>
        <v>575.34837807623705</v>
      </c>
      <c r="G80" s="32">
        <f t="shared" si="49"/>
        <v>6263</v>
      </c>
      <c r="H80" s="33">
        <f t="shared" si="52"/>
        <v>-5.3619533646175332E-3</v>
      </c>
      <c r="I80" s="34">
        <f t="shared" si="50"/>
        <v>1.7594369801663401E-3</v>
      </c>
      <c r="R80" s="78"/>
      <c r="S80" s="46" t="str">
        <f t="shared" si="53"/>
        <v>D65</v>
      </c>
      <c r="T80" s="79"/>
      <c r="U80" s="50">
        <f t="shared" si="61"/>
        <v>509.71416165869908</v>
      </c>
      <c r="V80" s="50">
        <f t="shared" si="62"/>
        <v>575.34837807623705</v>
      </c>
      <c r="W80" s="50">
        <f t="shared" si="63"/>
        <v>524.63681605204931</v>
      </c>
      <c r="X80" s="29">
        <f t="shared" si="57"/>
        <v>1609.6993557869855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5.7660785671054926E-2</v>
      </c>
      <c r="G81" s="47"/>
      <c r="H81" s="36" t="str">
        <f>I71</f>
        <v>CCT</v>
      </c>
      <c r="I81" s="38">
        <f>MAX(MAX(I72:I80,-MIN(I72:I80)))</f>
        <v>0.15322862129144854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510.6</v>
      </c>
      <c r="E84" s="31">
        <f t="shared" ref="E84:E92" si="67">E72</f>
        <v>2865</v>
      </c>
      <c r="F84" s="31">
        <f t="shared" ref="F84:F92" si="68">V84</f>
        <v>510.59999999999985</v>
      </c>
      <c r="G84" s="32">
        <f t="shared" ref="G84:G92" si="69">getCCTfromXY(U84/X84,V84/X84)</f>
        <v>2865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551.95000000000005</v>
      </c>
      <c r="V84" s="50">
        <f>$J$42*$J$31*($D$43*G22+$E$43*H22+$F$43*I22)</f>
        <v>510.59999999999985</v>
      </c>
      <c r="W84" s="50">
        <f>$J$42*$J$31*($D$44*G22+$E$44*H22+$F$44*I22)</f>
        <v>154.09999999999991</v>
      </c>
      <c r="X84" s="29">
        <f>SUM(U84:W84)</f>
        <v>1216.6499999999999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1203.5</v>
      </c>
      <c r="E85" s="31">
        <f t="shared" si="67"/>
        <v>3851</v>
      </c>
      <c r="F85" s="31">
        <f t="shared" si="68"/>
        <v>1203.4999999999998</v>
      </c>
      <c r="G85" s="32">
        <f t="shared" si="69"/>
        <v>3851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1195</v>
      </c>
      <c r="V85" s="50">
        <f t="shared" ref="V85:V86" si="75">$J$42*$J$31*($D$43*G23+$E$43*H23+$F$43*I23)</f>
        <v>1203.4999999999998</v>
      </c>
      <c r="W85" s="50">
        <f t="shared" ref="W85:W86" si="76">$J$42*$J$31*($D$44*G23+$E$44*H23+$F$44*I23)</f>
        <v>645.49999999999989</v>
      </c>
      <c r="X85" s="29">
        <f t="shared" ref="X85:X92" si="77">SUM(U85:W85)</f>
        <v>3044</v>
      </c>
    </row>
    <row r="86" spans="1:24">
      <c r="A86" s="87"/>
      <c r="B86" s="48">
        <f t="shared" si="66"/>
        <v>0</v>
      </c>
      <c r="C86" s="93"/>
      <c r="D86" s="31">
        <f t="shared" si="71"/>
        <v>578.45000000000005</v>
      </c>
      <c r="E86" s="31">
        <f t="shared" si="67"/>
        <v>6252</v>
      </c>
      <c r="F86" s="31">
        <f t="shared" si="68"/>
        <v>578.45000000000005</v>
      </c>
      <c r="G86" s="32">
        <f t="shared" si="69"/>
        <v>6252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512.70000000000005</v>
      </c>
      <c r="V86" s="50">
        <f t="shared" si="75"/>
        <v>578.45000000000005</v>
      </c>
      <c r="W86" s="50">
        <f t="shared" si="76"/>
        <v>526.84999999999991</v>
      </c>
      <c r="X86" s="29">
        <f t="shared" si="77"/>
        <v>1618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510.6</v>
      </c>
      <c r="E87" s="31">
        <f t="shared" si="67"/>
        <v>2865</v>
      </c>
      <c r="F87" s="31">
        <f t="shared" si="68"/>
        <v>510.59999999999991</v>
      </c>
      <c r="G87" s="32">
        <f t="shared" si="69"/>
        <v>2865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551.95000000000016</v>
      </c>
      <c r="V87" s="50">
        <f>$J$45*$J$34*($D$46*G25+$E$46*H25+$F$46*I25)</f>
        <v>510.59999999999991</v>
      </c>
      <c r="W87" s="50">
        <f>$J$45*$J$34*($D$47*G25+$E$47*H25+$F$47*I25)</f>
        <v>154.09999999999974</v>
      </c>
      <c r="X87" s="29">
        <f t="shared" si="77"/>
        <v>1216.6499999999999</v>
      </c>
    </row>
    <row r="88" spans="1:24">
      <c r="A88" s="87"/>
      <c r="B88" s="48">
        <f t="shared" si="66"/>
        <v>0</v>
      </c>
      <c r="C88" s="93"/>
      <c r="D88" s="31">
        <f t="shared" si="71"/>
        <v>1203.5</v>
      </c>
      <c r="E88" s="31">
        <f t="shared" si="67"/>
        <v>3851</v>
      </c>
      <c r="F88" s="31">
        <f t="shared" si="68"/>
        <v>1203.5000000000002</v>
      </c>
      <c r="G88" s="32">
        <f t="shared" si="69"/>
        <v>3851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1195</v>
      </c>
      <c r="V88" s="50">
        <f t="shared" ref="V88:V89" si="79">$J$45*$J$34*($D$46*G26+$E$46*H26+$F$46*I26)</f>
        <v>1203.5000000000002</v>
      </c>
      <c r="W88" s="50">
        <f t="shared" ref="W88:W89" si="80">$J$45*$J$34*($D$47*G26+$E$47*H26+$F$47*I26)</f>
        <v>645.49999999999977</v>
      </c>
      <c r="X88" s="29">
        <f t="shared" si="77"/>
        <v>3044</v>
      </c>
    </row>
    <row r="89" spans="1:24">
      <c r="A89" s="87"/>
      <c r="B89" s="48" t="str">
        <f t="shared" si="66"/>
        <v>A</v>
      </c>
      <c r="C89" s="93"/>
      <c r="D89" s="31">
        <f t="shared" si="71"/>
        <v>578.45000000000005</v>
      </c>
      <c r="E89" s="31">
        <f t="shared" si="67"/>
        <v>6252</v>
      </c>
      <c r="F89" s="31">
        <f t="shared" si="68"/>
        <v>578.45000000000005</v>
      </c>
      <c r="G89" s="32">
        <f t="shared" si="69"/>
        <v>6252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512.70000000000005</v>
      </c>
      <c r="V89" s="50">
        <f t="shared" si="79"/>
        <v>578.45000000000005</v>
      </c>
      <c r="W89" s="50">
        <f t="shared" si="80"/>
        <v>526.84999999999991</v>
      </c>
      <c r="X89" s="29">
        <f t="shared" si="77"/>
        <v>1618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510.6</v>
      </c>
      <c r="E90" s="31">
        <f t="shared" si="67"/>
        <v>2865</v>
      </c>
      <c r="F90" s="31">
        <f t="shared" si="68"/>
        <v>510.59999999999962</v>
      </c>
      <c r="G90" s="32">
        <f t="shared" si="69"/>
        <v>2865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551.95000000000005</v>
      </c>
      <c r="V90" s="50">
        <f>$J$48*$J$37*($D$49*G28+$E$49*H28+$F$49*I28)</f>
        <v>510.59999999999962</v>
      </c>
      <c r="W90" s="50">
        <f>$J$48*$J$37*($D$50*G28+$E$50*H28+$F$50*I28)</f>
        <v>154.1</v>
      </c>
      <c r="X90" s="29">
        <f t="shared" si="77"/>
        <v>1216.6499999999996</v>
      </c>
    </row>
    <row r="91" spans="1:24">
      <c r="A91" s="87"/>
      <c r="B91" s="48" t="str">
        <f t="shared" si="66"/>
        <v>D65</v>
      </c>
      <c r="C91" s="93"/>
      <c r="D91" s="31">
        <f t="shared" si="71"/>
        <v>1203.5</v>
      </c>
      <c r="E91" s="31">
        <f t="shared" si="67"/>
        <v>3851</v>
      </c>
      <c r="F91" s="31">
        <f t="shared" si="68"/>
        <v>1203.5000000000002</v>
      </c>
      <c r="G91" s="32">
        <f t="shared" si="69"/>
        <v>3851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1195.0000000000002</v>
      </c>
      <c r="V91" s="50">
        <f t="shared" ref="V91:V92" si="82">$J$48*$J$37*($D$49*G29+$E$49*H29+$F$49*I29)</f>
        <v>1203.5000000000002</v>
      </c>
      <c r="W91" s="50">
        <f t="shared" ref="W91:W92" si="83">$J$48*$J$37*($D$50*G29+$E$50*H29+$F$50*I29)</f>
        <v>645.50000000000011</v>
      </c>
      <c r="X91" s="29">
        <f t="shared" si="77"/>
        <v>3044.0000000000005</v>
      </c>
    </row>
    <row r="92" spans="1:24">
      <c r="A92" s="87"/>
      <c r="B92" s="48" t="str">
        <f t="shared" si="66"/>
        <v>A</v>
      </c>
      <c r="C92" s="93"/>
      <c r="D92" s="31">
        <f t="shared" si="71"/>
        <v>578.45000000000005</v>
      </c>
      <c r="E92" s="31">
        <f t="shared" si="67"/>
        <v>6252</v>
      </c>
      <c r="F92" s="31">
        <f t="shared" si="68"/>
        <v>578.44999999999993</v>
      </c>
      <c r="G92" s="32">
        <f t="shared" si="69"/>
        <v>6252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512.70000000000016</v>
      </c>
      <c r="V92" s="50">
        <f t="shared" si="82"/>
        <v>578.44999999999993</v>
      </c>
      <c r="W92" s="50">
        <f t="shared" si="83"/>
        <v>526.85</v>
      </c>
      <c r="X92" s="29">
        <f t="shared" si="77"/>
        <v>1618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10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2.1556287087434285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80.830980370164056</v>
      </c>
      <c r="N3" s="46">
        <v>0</v>
      </c>
      <c r="O3" s="50">
        <f>G$5-N3*G$7</f>
        <v>130.9682214637846</v>
      </c>
      <c r="P3" s="50">
        <f>H$5-N3*H$7</f>
        <v>50.137241093620545</v>
      </c>
      <c r="Q3" s="50">
        <f>I$5-N3*I$7</f>
        <v>60.786858032163238</v>
      </c>
    </row>
    <row r="4" spans="1:17">
      <c r="C4" s="46" t="s">
        <v>20</v>
      </c>
      <c r="D4" s="7">
        <v>527.4</v>
      </c>
      <c r="E4" s="7">
        <v>1207</v>
      </c>
      <c r="F4" s="7">
        <v>578.29999999999995</v>
      </c>
      <c r="G4" s="50">
        <f>AVERAGE(D4:F4)</f>
        <v>770.9</v>
      </c>
      <c r="H4" s="50">
        <f>G4</f>
        <v>770.9</v>
      </c>
      <c r="I4" s="50">
        <f>H4</f>
        <v>770.9</v>
      </c>
      <c r="K4" s="13" t="str">
        <f>linefmt("Compensation",B12)</f>
        <v>"Compensation",37,</v>
      </c>
      <c r="M4" s="46">
        <f t="shared" si="0"/>
        <v>78.69707942664698</v>
      </c>
      <c r="N4" s="46">
        <f>N3+1</f>
        <v>1</v>
      </c>
      <c r="O4" s="50">
        <f t="shared" ref="O4:O66" si="1">G$5-N4*G$7</f>
        <v>128.74577472679007</v>
      </c>
      <c r="P4" s="50">
        <f t="shared" ref="P4:P66" si="2">H$5-N4*H$7</f>
        <v>50.048695300143102</v>
      </c>
      <c r="Q4" s="50">
        <f t="shared" ref="Q4:Q66" si="3">I$5-N4*I$7</f>
        <v>60.468744989231759</v>
      </c>
    </row>
    <row r="5" spans="1:17">
      <c r="C5" s="46">
        <v>0</v>
      </c>
      <c r="D5" s="9">
        <v>89.6</v>
      </c>
      <c r="E5" s="9">
        <v>78.5</v>
      </c>
      <c r="F5" s="9">
        <v>45.6</v>
      </c>
      <c r="G5" s="50">
        <f>G$4/D$4*D5</f>
        <v>130.9682214637846</v>
      </c>
      <c r="H5" s="50">
        <f t="shared" ref="H5:I6" si="4">H$4/E$4*E5</f>
        <v>50.137241093620545</v>
      </c>
      <c r="I5" s="50">
        <f t="shared" si="4"/>
        <v>60.786858032163238</v>
      </c>
      <c r="K5" s="14" t="str">
        <f>linefmt("CardGain",J54)</f>
        <v>"CardGain",17.78718,</v>
      </c>
      <c r="M5" s="46">
        <f t="shared" si="0"/>
        <v>76.563178483129903</v>
      </c>
      <c r="N5" s="46">
        <f t="shared" ref="N5:N66" si="5">N4+1</f>
        <v>2</v>
      </c>
      <c r="O5" s="50">
        <f t="shared" si="1"/>
        <v>126.52332798979556</v>
      </c>
      <c r="P5" s="50">
        <f t="shared" si="2"/>
        <v>49.960149506665658</v>
      </c>
      <c r="Q5" s="50">
        <f t="shared" si="3"/>
        <v>60.150631946300287</v>
      </c>
    </row>
    <row r="6" spans="1:17">
      <c r="B6" s="50">
        <f>D5/4</f>
        <v>22.4</v>
      </c>
      <c r="C6" s="7">
        <v>44</v>
      </c>
      <c r="D6" s="9">
        <v>22.7</v>
      </c>
      <c r="E6" s="9">
        <v>72.400000000000006</v>
      </c>
      <c r="F6" s="9">
        <v>35.1</v>
      </c>
      <c r="G6" s="50">
        <f>G$4/D$4*D6</f>
        <v>33.18056503602579</v>
      </c>
      <c r="H6" s="50">
        <f t="shared" si="4"/>
        <v>46.24122618061309</v>
      </c>
      <c r="I6" s="50">
        <f t="shared" si="4"/>
        <v>46.789884143178284</v>
      </c>
      <c r="K6" s="14" t="str">
        <f>linefmt("Range",1,J34,J37)</f>
        <v>"Range",1,0.9262048,0.984,</v>
      </c>
      <c r="M6" s="46">
        <f t="shared" si="0"/>
        <v>74.429277539612826</v>
      </c>
      <c r="N6" s="46">
        <f t="shared" si="5"/>
        <v>3</v>
      </c>
      <c r="O6" s="50">
        <f t="shared" si="1"/>
        <v>124.30088125280105</v>
      </c>
      <c r="P6" s="50">
        <f t="shared" si="2"/>
        <v>49.871603713188222</v>
      </c>
      <c r="Q6" s="50">
        <f t="shared" si="3"/>
        <v>59.832518903368808</v>
      </c>
    </row>
    <row r="7" spans="1:17">
      <c r="C7" s="46">
        <f>C5</f>
        <v>0</v>
      </c>
      <c r="D7" s="46">
        <f t="shared" ref="D7:F8" si="6">D$4/D5</f>
        <v>5.8861607142857144</v>
      </c>
      <c r="E7" s="46">
        <f t="shared" si="6"/>
        <v>15.375796178343949</v>
      </c>
      <c r="F7" s="46">
        <f t="shared" si="6"/>
        <v>12.682017543859647</v>
      </c>
      <c r="G7" s="49">
        <f>(G5-G6)/($C6-$C5)</f>
        <v>2.2224467369945184</v>
      </c>
      <c r="H7" s="49">
        <f t="shared" ref="H7:I7" si="7">(H5-H6)/($C6-$C5)</f>
        <v>8.8545793477442167E-2</v>
      </c>
      <c r="I7" s="49">
        <f t="shared" si="7"/>
        <v>0.31811304293147624</v>
      </c>
      <c r="K7" s="14" t="str">
        <f>linefmt("CCM" )</f>
        <v>"CCM",</v>
      </c>
      <c r="M7" s="46">
        <f t="shared" si="0"/>
        <v>72.295376596095736</v>
      </c>
      <c r="N7" s="46">
        <f t="shared" si="5"/>
        <v>4</v>
      </c>
      <c r="O7" s="50">
        <f t="shared" si="1"/>
        <v>122.07843451580652</v>
      </c>
      <c r="P7" s="50">
        <f t="shared" si="2"/>
        <v>49.783057919710778</v>
      </c>
      <c r="Q7" s="50">
        <f t="shared" si="3"/>
        <v>59.514405860437336</v>
      </c>
    </row>
    <row r="8" spans="1:17">
      <c r="C8" s="46">
        <f>C6</f>
        <v>44</v>
      </c>
      <c r="D8" s="46">
        <f t="shared" si="6"/>
        <v>23.233480176211454</v>
      </c>
      <c r="E8" s="46">
        <f t="shared" si="6"/>
        <v>16.671270718232044</v>
      </c>
      <c r="F8" s="46">
        <f t="shared" si="6"/>
        <v>16.475783475783473</v>
      </c>
      <c r="K8" s="15" t="str">
        <f>linefmt("",D54,E54,F54)</f>
        <v>0.2130978,1.038393,-0.4845911,</v>
      </c>
      <c r="M8" s="46">
        <f t="shared" si="0"/>
        <v>70.161475652578673</v>
      </c>
      <c r="N8" s="46">
        <f t="shared" si="5"/>
        <v>5</v>
      </c>
      <c r="O8" s="50">
        <f t="shared" si="1"/>
        <v>119.85598777881201</v>
      </c>
      <c r="P8" s="50">
        <f t="shared" si="2"/>
        <v>49.694512126233334</v>
      </c>
      <c r="Q8" s="50">
        <f t="shared" si="3"/>
        <v>59.196292817505856</v>
      </c>
    </row>
    <row r="9" spans="1:17">
      <c r="C9" s="46" t="s">
        <v>23</v>
      </c>
      <c r="D9" s="46">
        <f>(D8-D7)/($C8-$C7)</f>
        <v>0.39425726049831228</v>
      </c>
      <c r="E9" s="46">
        <f>(E8-E7)/($C8-$C7)</f>
        <v>2.9442603179274898E-2</v>
      </c>
      <c r="F9" s="46">
        <f>(F8-F7)/($C8-$C7)</f>
        <v>8.6221952998268764E-2</v>
      </c>
      <c r="K9" s="15" t="str">
        <f>linefmt("",D55,E55,F55)</f>
        <v>6.398743E-02,1,-0.1900331,</v>
      </c>
      <c r="M9" s="46">
        <f t="shared" si="0"/>
        <v>68.027574709061611</v>
      </c>
      <c r="N9" s="46">
        <f t="shared" si="5"/>
        <v>6</v>
      </c>
      <c r="O9" s="50">
        <f t="shared" si="1"/>
        <v>117.63354104181749</v>
      </c>
      <c r="P9" s="50">
        <f t="shared" si="2"/>
        <v>49.605966332755891</v>
      </c>
      <c r="Q9" s="50">
        <f t="shared" si="3"/>
        <v>58.878179774574377</v>
      </c>
    </row>
    <row r="10" spans="1:17">
      <c r="K10" s="16" t="str">
        <f>linefmt("",D56,E56,F56)</f>
        <v>-0.4639169,0.3461897,0.9508277,</v>
      </c>
      <c r="M10" s="46">
        <f t="shared" si="0"/>
        <v>65.89367376554452</v>
      </c>
      <c r="N10" s="46">
        <f t="shared" si="5"/>
        <v>7</v>
      </c>
      <c r="O10" s="50">
        <f t="shared" si="1"/>
        <v>115.41109430482297</v>
      </c>
      <c r="P10" s="50">
        <f t="shared" si="2"/>
        <v>49.517420539278447</v>
      </c>
      <c r="Q10" s="50">
        <f t="shared" si="3"/>
        <v>58.560066731642905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63.759772822027443</v>
      </c>
      <c r="N11" s="46">
        <f t="shared" si="5"/>
        <v>8</v>
      </c>
      <c r="O11" s="50">
        <f t="shared" si="1"/>
        <v>113.18864756782845</v>
      </c>
      <c r="P11" s="50">
        <f t="shared" si="2"/>
        <v>49.428874745801011</v>
      </c>
      <c r="Q11" s="50">
        <f t="shared" si="3"/>
        <v>58.241953688711426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61.625871878510374</v>
      </c>
      <c r="N12" s="46">
        <f t="shared" si="5"/>
        <v>9</v>
      </c>
      <c r="O12" s="50">
        <f t="shared" si="1"/>
        <v>110.96620083083394</v>
      </c>
      <c r="P12" s="50">
        <f t="shared" si="2"/>
        <v>49.340328952323567</v>
      </c>
      <c r="Q12" s="50">
        <f t="shared" si="3"/>
        <v>57.923840645779954</v>
      </c>
    </row>
    <row r="13" spans="1:17">
      <c r="A13" s="78" t="s">
        <v>12</v>
      </c>
      <c r="B13" s="79" t="s">
        <v>0</v>
      </c>
      <c r="C13" s="46">
        <v>0</v>
      </c>
      <c r="D13" s="7">
        <v>554</v>
      </c>
      <c r="E13" s="7">
        <v>513</v>
      </c>
      <c r="F13" s="7">
        <v>154.4</v>
      </c>
      <c r="G13" s="8">
        <v>87.2</v>
      </c>
      <c r="H13" s="8">
        <v>31.2</v>
      </c>
      <c r="I13" s="8">
        <v>41.2</v>
      </c>
      <c r="M13" s="46">
        <f t="shared" si="0"/>
        <v>59.49197093499329</v>
      </c>
      <c r="N13" s="46">
        <f t="shared" si="5"/>
        <v>10</v>
      </c>
      <c r="O13" s="50">
        <f t="shared" si="1"/>
        <v>108.74375409383941</v>
      </c>
      <c r="P13" s="50">
        <f t="shared" si="2"/>
        <v>49.251783158846123</v>
      </c>
      <c r="Q13" s="50">
        <f t="shared" si="3"/>
        <v>57.605727602848475</v>
      </c>
    </row>
    <row r="14" spans="1:17">
      <c r="A14" s="78"/>
      <c r="B14" s="79"/>
      <c r="C14" s="46">
        <f>C13+1</f>
        <v>1</v>
      </c>
      <c r="D14" s="7">
        <v>561</v>
      </c>
      <c r="E14" s="7">
        <v>518.79999999999995</v>
      </c>
      <c r="F14" s="7">
        <v>154.4</v>
      </c>
      <c r="G14" s="8">
        <v>91.8</v>
      </c>
      <c r="H14" s="8">
        <v>34.299999999999997</v>
      </c>
      <c r="I14" s="8">
        <v>45.2</v>
      </c>
      <c r="M14" s="46">
        <f t="shared" si="0"/>
        <v>57.358069991476221</v>
      </c>
      <c r="N14" s="46">
        <f t="shared" si="5"/>
        <v>11</v>
      </c>
      <c r="O14" s="50">
        <f t="shared" si="1"/>
        <v>106.5213073568449</v>
      </c>
      <c r="P14" s="50">
        <f t="shared" si="2"/>
        <v>49.16323736536868</v>
      </c>
      <c r="Q14" s="50">
        <f t="shared" si="3"/>
        <v>57.287614559917003</v>
      </c>
    </row>
    <row r="15" spans="1:17">
      <c r="A15" s="78"/>
      <c r="B15" s="79"/>
      <c r="C15" s="46">
        <f>C14+1</f>
        <v>2</v>
      </c>
      <c r="D15" s="6">
        <f>2*(D13-D14)/(D13+D14)</f>
        <v>-1.2556053811659192E-2</v>
      </c>
      <c r="E15" s="6">
        <f t="shared" ref="E15:F15" si="8">2*(E13-E14)/(E13+E14)</f>
        <v>-1.1242488854429066E-2</v>
      </c>
      <c r="F15" s="6">
        <f t="shared" si="8"/>
        <v>0</v>
      </c>
      <c r="G15" s="8">
        <v>98.9</v>
      </c>
      <c r="H15" s="8">
        <v>31.1</v>
      </c>
      <c r="I15" s="8">
        <v>43.1</v>
      </c>
      <c r="M15" s="46">
        <f t="shared" si="0"/>
        <v>55.224169047959151</v>
      </c>
      <c r="N15" s="46">
        <f t="shared" si="5"/>
        <v>12</v>
      </c>
      <c r="O15" s="50">
        <f t="shared" si="1"/>
        <v>104.29886061985039</v>
      </c>
      <c r="P15" s="50">
        <f t="shared" si="2"/>
        <v>49.074691571891236</v>
      </c>
      <c r="Q15" s="50">
        <f t="shared" si="3"/>
        <v>56.969501516985524</v>
      </c>
    </row>
    <row r="16" spans="1:17">
      <c r="A16" s="78"/>
      <c r="B16" s="79" t="s">
        <v>1</v>
      </c>
      <c r="C16" s="46">
        <f>C13</f>
        <v>0</v>
      </c>
      <c r="D16" s="7">
        <v>1204</v>
      </c>
      <c r="E16" s="7">
        <v>1213</v>
      </c>
      <c r="F16" s="7">
        <v>652</v>
      </c>
      <c r="G16" s="8">
        <v>61.8</v>
      </c>
      <c r="H16" s="8">
        <v>73.5</v>
      </c>
      <c r="I16" s="8">
        <v>41</v>
      </c>
      <c r="M16" s="46">
        <f t="shared" si="0"/>
        <v>53.09026810444206</v>
      </c>
      <c r="N16" s="46">
        <f t="shared" si="5"/>
        <v>13</v>
      </c>
      <c r="O16" s="50">
        <f t="shared" si="1"/>
        <v>102.07641388285586</v>
      </c>
      <c r="P16" s="50">
        <f t="shared" si="2"/>
        <v>48.9861457784138</v>
      </c>
      <c r="Q16" s="50">
        <f t="shared" si="3"/>
        <v>56.651388474054045</v>
      </c>
    </row>
    <row r="17" spans="1:21">
      <c r="A17" s="78"/>
      <c r="B17" s="79"/>
      <c r="C17" s="46">
        <f t="shared" ref="C17:C21" si="9">C14</f>
        <v>1</v>
      </c>
      <c r="D17" s="7">
        <v>1205</v>
      </c>
      <c r="E17" s="7">
        <v>1214</v>
      </c>
      <c r="F17" s="7">
        <v>652</v>
      </c>
      <c r="G17" s="8">
        <v>66.3</v>
      </c>
      <c r="H17" s="8">
        <v>78.5</v>
      </c>
      <c r="I17" s="8">
        <v>45</v>
      </c>
      <c r="M17" s="46">
        <f t="shared" si="0"/>
        <v>50.956367160924991</v>
      </c>
      <c r="N17" s="46">
        <f t="shared" si="5"/>
        <v>14</v>
      </c>
      <c r="O17" s="50">
        <f t="shared" si="1"/>
        <v>99.853967145861347</v>
      </c>
      <c r="P17" s="50">
        <f t="shared" si="2"/>
        <v>48.897599984936356</v>
      </c>
      <c r="Q17" s="50">
        <f t="shared" si="3"/>
        <v>56.333275431122573</v>
      </c>
    </row>
    <row r="18" spans="1:21">
      <c r="A18" s="78"/>
      <c r="B18" s="79"/>
      <c r="C18" s="46">
        <f t="shared" si="9"/>
        <v>2</v>
      </c>
      <c r="D18" s="6">
        <f>2*(D16-D17)/(D16+D17)</f>
        <v>-8.3022000830220008E-4</v>
      </c>
      <c r="E18" s="6">
        <f t="shared" ref="E18:F18" si="10">2*(E16-E17)/(E16+E17)</f>
        <v>-8.2406262875978574E-4</v>
      </c>
      <c r="F18" s="6">
        <f t="shared" si="10"/>
        <v>0</v>
      </c>
      <c r="G18" s="8">
        <v>56.5</v>
      </c>
      <c r="H18" s="8">
        <v>71.400000000000006</v>
      </c>
      <c r="I18" s="8">
        <v>42.7</v>
      </c>
      <c r="M18" s="46">
        <f t="shared" si="0"/>
        <v>48.822466217407921</v>
      </c>
      <c r="N18" s="46">
        <f t="shared" si="5"/>
        <v>15</v>
      </c>
      <c r="O18" s="50">
        <f t="shared" si="1"/>
        <v>97.631520408866834</v>
      </c>
      <c r="P18" s="50">
        <f t="shared" si="2"/>
        <v>48.809054191458912</v>
      </c>
      <c r="Q18" s="50">
        <f t="shared" si="3"/>
        <v>56.015162388191094</v>
      </c>
    </row>
    <row r="19" spans="1:21">
      <c r="A19" s="78"/>
      <c r="B19" s="79" t="s">
        <v>2</v>
      </c>
      <c r="C19" s="46">
        <f t="shared" si="9"/>
        <v>0</v>
      </c>
      <c r="D19" s="7">
        <v>512.29999999999995</v>
      </c>
      <c r="E19" s="7">
        <v>579.20000000000005</v>
      </c>
      <c r="F19" s="7">
        <v>530.9</v>
      </c>
      <c r="G19" s="8">
        <v>27.2</v>
      </c>
      <c r="H19" s="8">
        <v>36.700000000000003</v>
      </c>
      <c r="I19" s="8">
        <v>30.7</v>
      </c>
      <c r="M19" s="46">
        <f t="shared" si="0"/>
        <v>46.688565273890838</v>
      </c>
      <c r="N19" s="46">
        <f t="shared" si="5"/>
        <v>16</v>
      </c>
      <c r="O19" s="50">
        <f t="shared" si="1"/>
        <v>95.409073671872306</v>
      </c>
      <c r="P19" s="50">
        <f t="shared" si="2"/>
        <v>48.720508397981469</v>
      </c>
      <c r="Q19" s="50">
        <f t="shared" si="3"/>
        <v>55.697049345259614</v>
      </c>
    </row>
    <row r="20" spans="1:21">
      <c r="A20" s="78"/>
      <c r="B20" s="79"/>
      <c r="C20" s="46">
        <f t="shared" si="9"/>
        <v>1</v>
      </c>
      <c r="D20" s="7">
        <v>513.29999999999995</v>
      </c>
      <c r="E20" s="7">
        <v>580.1</v>
      </c>
      <c r="F20" s="7">
        <v>531.20000000000005</v>
      </c>
      <c r="G20" s="8">
        <v>29.9</v>
      </c>
      <c r="H20" s="8">
        <v>40.200000000000003</v>
      </c>
      <c r="I20" s="8">
        <v>33.6</v>
      </c>
      <c r="M20" s="46">
        <f t="shared" si="0"/>
        <v>44.554664330373754</v>
      </c>
      <c r="N20" s="46">
        <f t="shared" si="5"/>
        <v>17</v>
      </c>
      <c r="O20" s="50">
        <f t="shared" si="1"/>
        <v>93.186626934877779</v>
      </c>
      <c r="P20" s="50">
        <f t="shared" si="2"/>
        <v>48.631962604504025</v>
      </c>
      <c r="Q20" s="50">
        <f t="shared" si="3"/>
        <v>55.378936302328142</v>
      </c>
    </row>
    <row r="21" spans="1:21">
      <c r="A21" s="78"/>
      <c r="B21" s="79"/>
      <c r="C21" s="46">
        <f t="shared" si="9"/>
        <v>2</v>
      </c>
      <c r="D21" s="6">
        <f>2*(D19-D20)/(D19+D20)</f>
        <v>-1.9500780031201249E-3</v>
      </c>
      <c r="E21" s="6">
        <f t="shared" ref="E21:F21" si="11">2*(E19-E20)/(E19+E20)</f>
        <v>-1.5526610885879014E-3</v>
      </c>
      <c r="F21" s="6">
        <f t="shared" si="11"/>
        <v>-5.6491855757474481E-4</v>
      </c>
      <c r="G21" s="8">
        <v>26.2</v>
      </c>
      <c r="H21" s="8">
        <v>37.4</v>
      </c>
      <c r="I21" s="8">
        <v>30.2</v>
      </c>
      <c r="M21" s="46">
        <f t="shared" si="0"/>
        <v>42.420763386856677</v>
      </c>
      <c r="N21" s="46">
        <f t="shared" si="5"/>
        <v>18</v>
      </c>
      <c r="O21" s="50">
        <f t="shared" si="1"/>
        <v>90.964180197883266</v>
      </c>
      <c r="P21" s="50">
        <f t="shared" si="2"/>
        <v>48.543416811026589</v>
      </c>
      <c r="Q21" s="50">
        <f t="shared" si="3"/>
        <v>55.060823259396663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557.5</v>
      </c>
      <c r="E22" s="46">
        <f t="shared" ref="E22:F22" si="12">(E13+E14)/2</f>
        <v>515.9</v>
      </c>
      <c r="F22" s="46">
        <f t="shared" si="12"/>
        <v>154.4</v>
      </c>
      <c r="G22" s="5">
        <f>G13</f>
        <v>87.2</v>
      </c>
      <c r="H22" s="5">
        <f t="shared" ref="H22:I22" si="13">H13</f>
        <v>31.2</v>
      </c>
      <c r="I22" s="5">
        <f t="shared" si="13"/>
        <v>41.2</v>
      </c>
      <c r="J22" s="99">
        <f>AVERAGE(G22:I24)</f>
        <v>47.833333333333336</v>
      </c>
      <c r="M22" s="46">
        <f t="shared" si="0"/>
        <v>40.286862443339608</v>
      </c>
      <c r="N22" s="46">
        <f t="shared" si="5"/>
        <v>19</v>
      </c>
      <c r="O22" s="50">
        <f t="shared" si="1"/>
        <v>88.741733460888753</v>
      </c>
      <c r="P22" s="50">
        <f t="shared" si="2"/>
        <v>48.454871017549145</v>
      </c>
      <c r="Q22" s="50">
        <f t="shared" si="3"/>
        <v>54.742710216465191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1204.5</v>
      </c>
      <c r="E23" s="46">
        <f>(E16+E17)/2</f>
        <v>1213.5</v>
      </c>
      <c r="F23" s="46">
        <f>(F16+F17)/2</f>
        <v>652</v>
      </c>
      <c r="G23" s="5">
        <f>G16</f>
        <v>61.8</v>
      </c>
      <c r="H23" s="5">
        <f>H16</f>
        <v>73.5</v>
      </c>
      <c r="I23" s="5">
        <f>I16</f>
        <v>41</v>
      </c>
      <c r="J23" s="99"/>
      <c r="M23" s="46">
        <f t="shared" si="0"/>
        <v>38.152961499822524</v>
      </c>
      <c r="N23" s="46">
        <f t="shared" si="5"/>
        <v>20</v>
      </c>
      <c r="O23" s="50">
        <f t="shared" si="1"/>
        <v>86.519286723894226</v>
      </c>
      <c r="P23" s="50">
        <f t="shared" si="2"/>
        <v>48.366325224071701</v>
      </c>
      <c r="Q23" s="50">
        <f t="shared" si="3"/>
        <v>54.424597173533712</v>
      </c>
    </row>
    <row r="24" spans="1:21">
      <c r="A24" s="78"/>
      <c r="B24" s="46" t="str">
        <f>B19</f>
        <v>D65</v>
      </c>
      <c r="C24" s="79"/>
      <c r="D24" s="46">
        <f>(D19+D20)/2</f>
        <v>512.79999999999995</v>
      </c>
      <c r="E24" s="46">
        <f>(E19+E20)/2</f>
        <v>579.65000000000009</v>
      </c>
      <c r="F24" s="46">
        <f>(F19+F20)/2</f>
        <v>531.04999999999995</v>
      </c>
      <c r="G24" s="5">
        <f>G19</f>
        <v>27.2</v>
      </c>
      <c r="H24" s="5">
        <f>H19</f>
        <v>36.700000000000003</v>
      </c>
      <c r="I24" s="5">
        <f>I19</f>
        <v>30.7</v>
      </c>
      <c r="J24" s="99"/>
      <c r="M24" s="46">
        <f t="shared" si="0"/>
        <v>36.019060556305455</v>
      </c>
      <c r="N24" s="46">
        <f t="shared" si="5"/>
        <v>21</v>
      </c>
      <c r="O24" s="50">
        <f t="shared" si="1"/>
        <v>84.296839986899712</v>
      </c>
      <c r="P24" s="50">
        <f t="shared" si="2"/>
        <v>48.277779430594258</v>
      </c>
      <c r="Q24" s="50">
        <f t="shared" si="3"/>
        <v>54.10648413060224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557.5</v>
      </c>
      <c r="E25" s="46">
        <f t="shared" ref="E25:F25" si="15">(E13+E14)/2</f>
        <v>515.9</v>
      </c>
      <c r="F25" s="46">
        <f t="shared" si="15"/>
        <v>154.4</v>
      </c>
      <c r="G25" s="5">
        <f t="shared" ref="G25:I25" si="16">G14</f>
        <v>91.8</v>
      </c>
      <c r="H25" s="5">
        <f t="shared" si="16"/>
        <v>34.299999999999997</v>
      </c>
      <c r="I25" s="5">
        <f t="shared" si="16"/>
        <v>45.2</v>
      </c>
      <c r="J25" s="99">
        <f>AVERAGE(G25:I27)</f>
        <v>51.644444444444446</v>
      </c>
      <c r="M25" s="46">
        <f t="shared" si="0"/>
        <v>33.885159612788385</v>
      </c>
      <c r="N25" s="46">
        <f t="shared" si="5"/>
        <v>22</v>
      </c>
      <c r="O25" s="50">
        <f t="shared" si="1"/>
        <v>82.074393249905199</v>
      </c>
      <c r="P25" s="50">
        <f t="shared" si="2"/>
        <v>48.189233637116814</v>
      </c>
      <c r="Q25" s="50">
        <f t="shared" si="3"/>
        <v>53.788371087670761</v>
      </c>
    </row>
    <row r="26" spans="1:21">
      <c r="A26" s="78"/>
      <c r="B26" s="46" t="str">
        <f>B16</f>
        <v>CWF</v>
      </c>
      <c r="C26" s="79"/>
      <c r="D26" s="46">
        <f>(D16+D17)/2</f>
        <v>1204.5</v>
      </c>
      <c r="E26" s="46">
        <f>(E16+E17)/2</f>
        <v>1213.5</v>
      </c>
      <c r="F26" s="46">
        <f>(F16+F17)/2</f>
        <v>652</v>
      </c>
      <c r="G26" s="5">
        <f>G17</f>
        <v>66.3</v>
      </c>
      <c r="H26" s="5">
        <f>H17</f>
        <v>78.5</v>
      </c>
      <c r="I26" s="5">
        <f>I17</f>
        <v>45</v>
      </c>
      <c r="J26" s="99"/>
      <c r="M26" s="46">
        <f t="shared" si="0"/>
        <v>31.751258669271294</v>
      </c>
      <c r="N26" s="46">
        <f t="shared" si="5"/>
        <v>23</v>
      </c>
      <c r="O26" s="50">
        <f t="shared" si="1"/>
        <v>79.851946512910672</v>
      </c>
      <c r="P26" s="50">
        <f t="shared" si="2"/>
        <v>48.100687843639378</v>
      </c>
      <c r="Q26" s="50">
        <f t="shared" si="3"/>
        <v>53.470258044739282</v>
      </c>
    </row>
    <row r="27" spans="1:21">
      <c r="A27" s="78"/>
      <c r="B27" s="46" t="str">
        <f>B19</f>
        <v>D65</v>
      </c>
      <c r="C27" s="79"/>
      <c r="D27" s="46">
        <f>(D19+D20)/2</f>
        <v>512.79999999999995</v>
      </c>
      <c r="E27" s="46">
        <f>(E19+E20)/2</f>
        <v>579.65000000000009</v>
      </c>
      <c r="F27" s="46">
        <f>(F19+F20)/2</f>
        <v>531.04999999999995</v>
      </c>
      <c r="G27" s="5">
        <f>G20</f>
        <v>29.9</v>
      </c>
      <c r="H27" s="5">
        <f>H20</f>
        <v>40.200000000000003</v>
      </c>
      <c r="I27" s="5">
        <f>I20</f>
        <v>33.6</v>
      </c>
      <c r="J27" s="99"/>
      <c r="M27" s="46">
        <f t="shared" si="0"/>
        <v>29.617357725754225</v>
      </c>
      <c r="N27" s="46">
        <f t="shared" si="5"/>
        <v>24</v>
      </c>
      <c r="O27" s="50">
        <f t="shared" si="1"/>
        <v>77.629499775916159</v>
      </c>
      <c r="P27" s="50">
        <f t="shared" si="2"/>
        <v>48.012142050161934</v>
      </c>
      <c r="Q27" s="50">
        <f t="shared" si="3"/>
        <v>53.15214500180781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557.5</v>
      </c>
      <c r="E28" s="46">
        <f t="shared" ref="E28:F28" si="17">(E13+E14)/2</f>
        <v>515.9</v>
      </c>
      <c r="F28" s="46">
        <f t="shared" si="17"/>
        <v>154.4</v>
      </c>
      <c r="G28" s="5">
        <f t="shared" ref="G28:I28" si="18">G15</f>
        <v>98.9</v>
      </c>
      <c r="H28" s="5">
        <f t="shared" si="18"/>
        <v>31.1</v>
      </c>
      <c r="I28" s="5">
        <f t="shared" si="18"/>
        <v>43.1</v>
      </c>
      <c r="J28" s="99">
        <f>AVERAGE(G28:I30)</f>
        <v>48.611111111111107</v>
      </c>
      <c r="M28" s="46">
        <f t="shared" si="0"/>
        <v>27.483456782237155</v>
      </c>
      <c r="N28" s="46">
        <f t="shared" si="5"/>
        <v>25</v>
      </c>
      <c r="O28" s="50">
        <f t="shared" si="1"/>
        <v>75.407053038921646</v>
      </c>
      <c r="P28" s="50">
        <f t="shared" si="2"/>
        <v>47.92359625668449</v>
      </c>
      <c r="Q28" s="50">
        <f t="shared" si="3"/>
        <v>52.834031958876331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1204.5</v>
      </c>
      <c r="E29" s="46">
        <f t="shared" si="20"/>
        <v>1213.5</v>
      </c>
      <c r="F29" s="46">
        <f t="shared" si="20"/>
        <v>652</v>
      </c>
      <c r="G29" s="5">
        <f t="shared" ref="G29:I29" si="21">G18</f>
        <v>56.5</v>
      </c>
      <c r="H29" s="5">
        <f t="shared" si="21"/>
        <v>71.400000000000006</v>
      </c>
      <c r="I29" s="5">
        <f t="shared" si="21"/>
        <v>42.7</v>
      </c>
      <c r="J29" s="99"/>
      <c r="M29" s="46">
        <f t="shared" si="0"/>
        <v>25.349555838720072</v>
      </c>
      <c r="N29" s="46">
        <f t="shared" si="5"/>
        <v>26</v>
      </c>
      <c r="O29" s="50">
        <f t="shared" si="1"/>
        <v>73.184606301927118</v>
      </c>
      <c r="P29" s="50">
        <f t="shared" si="2"/>
        <v>47.835050463207047</v>
      </c>
      <c r="Q29" s="50">
        <f t="shared" si="3"/>
        <v>52.515918915944852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512.79999999999995</v>
      </c>
      <c r="E30" s="46">
        <f t="shared" si="23"/>
        <v>579.65000000000009</v>
      </c>
      <c r="F30" s="46">
        <f t="shared" si="23"/>
        <v>531.04999999999995</v>
      </c>
      <c r="G30" s="5">
        <f t="shared" ref="G30:I30" si="24">G21</f>
        <v>26.2</v>
      </c>
      <c r="H30" s="5">
        <f t="shared" si="24"/>
        <v>37.4</v>
      </c>
      <c r="I30" s="5">
        <f t="shared" si="24"/>
        <v>30.2</v>
      </c>
      <c r="J30" s="99"/>
      <c r="M30" s="46">
        <f t="shared" si="0"/>
        <v>23.215654895202995</v>
      </c>
      <c r="N30" s="46">
        <f t="shared" si="5"/>
        <v>27</v>
      </c>
      <c r="O30" s="50">
        <f t="shared" si="1"/>
        <v>70.962159564932605</v>
      </c>
      <c r="P30" s="50">
        <f t="shared" si="2"/>
        <v>47.74650466972961</v>
      </c>
      <c r="Q30" s="50">
        <f t="shared" si="3"/>
        <v>52.19780587301338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557.5</v>
      </c>
      <c r="E31" s="46">
        <f t="shared" si="25"/>
        <v>515.9</v>
      </c>
      <c r="F31" s="46">
        <f t="shared" si="25"/>
        <v>154.4</v>
      </c>
      <c r="G31" s="5">
        <f t="shared" ref="G31:I33" si="26">G22*$J$31</f>
        <v>87.2</v>
      </c>
      <c r="H31" s="5">
        <f t="shared" si="26"/>
        <v>31.2</v>
      </c>
      <c r="I31" s="5">
        <f t="shared" si="26"/>
        <v>41.2</v>
      </c>
      <c r="J31" s="96">
        <f>J$22/J22</f>
        <v>1</v>
      </c>
      <c r="M31" s="46">
        <f t="shared" si="0"/>
        <v>21.081753951685926</v>
      </c>
      <c r="N31" s="46">
        <f t="shared" si="5"/>
        <v>28</v>
      </c>
      <c r="O31" s="50">
        <f t="shared" si="1"/>
        <v>68.739712827938092</v>
      </c>
      <c r="P31" s="50">
        <f t="shared" si="2"/>
        <v>47.657958876252167</v>
      </c>
      <c r="Q31" s="50">
        <f t="shared" si="3"/>
        <v>51.879692830081908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1204.5</v>
      </c>
      <c r="E32" s="46">
        <f t="shared" si="27"/>
        <v>1213.5</v>
      </c>
      <c r="F32" s="46">
        <f t="shared" si="27"/>
        <v>652</v>
      </c>
      <c r="G32" s="5">
        <f t="shared" si="26"/>
        <v>61.8</v>
      </c>
      <c r="H32" s="5">
        <f t="shared" si="26"/>
        <v>73.5</v>
      </c>
      <c r="I32" s="5">
        <f t="shared" si="26"/>
        <v>41</v>
      </c>
      <c r="J32" s="96"/>
      <c r="M32" s="46">
        <f t="shared" si="0"/>
        <v>18.947853008168842</v>
      </c>
      <c r="N32" s="46">
        <f t="shared" si="5"/>
        <v>29</v>
      </c>
      <c r="O32" s="50">
        <f t="shared" si="1"/>
        <v>66.517266090943565</v>
      </c>
      <c r="P32" s="50">
        <f t="shared" si="2"/>
        <v>47.569413082774723</v>
      </c>
      <c r="Q32" s="50">
        <f t="shared" si="3"/>
        <v>51.561579787150428</v>
      </c>
    </row>
    <row r="33" spans="1:17">
      <c r="A33" s="78"/>
      <c r="B33" s="46" t="str">
        <f t="shared" si="27"/>
        <v>D65</v>
      </c>
      <c r="C33" s="79"/>
      <c r="D33" s="46">
        <f t="shared" si="27"/>
        <v>512.79999999999995</v>
      </c>
      <c r="E33" s="46">
        <f t="shared" si="27"/>
        <v>579.65000000000009</v>
      </c>
      <c r="F33" s="46">
        <f t="shared" si="27"/>
        <v>531.04999999999995</v>
      </c>
      <c r="G33" s="5">
        <f t="shared" si="26"/>
        <v>27.2</v>
      </c>
      <c r="H33" s="5">
        <f t="shared" si="26"/>
        <v>36.700000000000003</v>
      </c>
      <c r="I33" s="5">
        <f t="shared" si="26"/>
        <v>30.7</v>
      </c>
      <c r="J33" s="96"/>
      <c r="M33" s="46">
        <f t="shared" si="0"/>
        <v>16.813952064651772</v>
      </c>
      <c r="N33" s="46">
        <f t="shared" si="5"/>
        <v>30</v>
      </c>
      <c r="O33" s="50">
        <f t="shared" si="1"/>
        <v>64.294819353949052</v>
      </c>
      <c r="P33" s="50">
        <f t="shared" si="2"/>
        <v>47.480867289297279</v>
      </c>
      <c r="Q33" s="50">
        <f t="shared" si="3"/>
        <v>51.243466744218949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557.5</v>
      </c>
      <c r="E34" s="46">
        <f t="shared" si="27"/>
        <v>515.9</v>
      </c>
      <c r="F34" s="46">
        <f t="shared" si="27"/>
        <v>154.4</v>
      </c>
      <c r="G34" s="5">
        <f t="shared" ref="G34:I36" si="28">G25*$J$34</f>
        <v>85.025602409638552</v>
      </c>
      <c r="H34" s="5">
        <f t="shared" si="28"/>
        <v>31.768825301204817</v>
      </c>
      <c r="I34" s="5">
        <f t="shared" si="28"/>
        <v>41.864457831325304</v>
      </c>
      <c r="J34" s="96">
        <f>J$22/J25</f>
        <v>0.9262048192771084</v>
      </c>
      <c r="M34" s="46">
        <f t="shared" si="0"/>
        <v>14.680051121134689</v>
      </c>
      <c r="N34" s="46">
        <f t="shared" si="5"/>
        <v>31</v>
      </c>
      <c r="O34" s="50">
        <f t="shared" si="1"/>
        <v>62.072372616954524</v>
      </c>
      <c r="P34" s="50">
        <f t="shared" si="2"/>
        <v>47.392321495819836</v>
      </c>
      <c r="Q34" s="50">
        <f t="shared" si="3"/>
        <v>50.925353701287477</v>
      </c>
    </row>
    <row r="35" spans="1:17">
      <c r="A35" s="78"/>
      <c r="B35" s="46" t="str">
        <f t="shared" si="27"/>
        <v>CWF</v>
      </c>
      <c r="C35" s="79"/>
      <c r="D35" s="46">
        <f t="shared" si="27"/>
        <v>1204.5</v>
      </c>
      <c r="E35" s="46">
        <f t="shared" si="27"/>
        <v>1213.5</v>
      </c>
      <c r="F35" s="46">
        <f t="shared" si="27"/>
        <v>652</v>
      </c>
      <c r="G35" s="5">
        <f t="shared" si="28"/>
        <v>61.407379518072283</v>
      </c>
      <c r="H35" s="5">
        <f t="shared" si="28"/>
        <v>72.707078313253007</v>
      </c>
      <c r="I35" s="5">
        <f t="shared" si="28"/>
        <v>41.679216867469876</v>
      </c>
      <c r="J35" s="96"/>
      <c r="M35" s="46">
        <f t="shared" si="0"/>
        <v>12.546150177617612</v>
      </c>
      <c r="N35" s="46">
        <f t="shared" si="5"/>
        <v>32</v>
      </c>
      <c r="O35" s="50">
        <f t="shared" si="1"/>
        <v>59.849925879960011</v>
      </c>
      <c r="P35" s="50">
        <f t="shared" si="2"/>
        <v>47.303775702342399</v>
      </c>
      <c r="Q35" s="50">
        <f t="shared" si="3"/>
        <v>50.607240658355998</v>
      </c>
    </row>
    <row r="36" spans="1:17">
      <c r="A36" s="78"/>
      <c r="B36" s="46" t="str">
        <f t="shared" si="27"/>
        <v>D65</v>
      </c>
      <c r="C36" s="79"/>
      <c r="D36" s="46">
        <f t="shared" si="27"/>
        <v>512.79999999999995</v>
      </c>
      <c r="E36" s="46">
        <f t="shared" si="27"/>
        <v>579.65000000000009</v>
      </c>
      <c r="F36" s="46">
        <f t="shared" si="27"/>
        <v>531.04999999999995</v>
      </c>
      <c r="G36" s="5">
        <f t="shared" si="28"/>
        <v>27.693524096385541</v>
      </c>
      <c r="H36" s="5">
        <f t="shared" si="28"/>
        <v>37.233433734939759</v>
      </c>
      <c r="I36" s="5">
        <f t="shared" si="28"/>
        <v>31.120481927710845</v>
      </c>
      <c r="J36" s="96"/>
      <c r="M36" s="46">
        <f t="shared" si="0"/>
        <v>10.412249234100543</v>
      </c>
      <c r="N36" s="46">
        <f t="shared" si="5"/>
        <v>33</v>
      </c>
      <c r="O36" s="50">
        <f t="shared" si="1"/>
        <v>57.627479142965498</v>
      </c>
      <c r="P36" s="50">
        <f t="shared" si="2"/>
        <v>47.215229908864956</v>
      </c>
      <c r="Q36" s="50">
        <f t="shared" si="3"/>
        <v>50.289127615424519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557.5</v>
      </c>
      <c r="E37" s="46">
        <f t="shared" si="27"/>
        <v>515.9</v>
      </c>
      <c r="F37" s="46">
        <f t="shared" si="27"/>
        <v>154.4</v>
      </c>
      <c r="G37" s="5">
        <f t="shared" ref="G37:I39" si="29">G28*$J$37</f>
        <v>97.317600000000013</v>
      </c>
      <c r="H37" s="5">
        <f t="shared" si="29"/>
        <v>30.602400000000003</v>
      </c>
      <c r="I37" s="5">
        <f t="shared" si="29"/>
        <v>42.410400000000003</v>
      </c>
      <c r="J37" s="96">
        <f>J$22/J28</f>
        <v>0.9840000000000001</v>
      </c>
      <c r="K37" s="51" t="str">
        <f>CHAR(34) &amp; "EEpromVersion" &amp;CHAR(34)  &amp; ",3,"</f>
        <v>"EEpromVersion",3,</v>
      </c>
      <c r="M37" s="46">
        <f t="shared" si="0"/>
        <v>8.2783482905834589</v>
      </c>
      <c r="N37" s="46">
        <f t="shared" si="5"/>
        <v>34</v>
      </c>
      <c r="O37" s="50">
        <f t="shared" si="1"/>
        <v>55.405032405970971</v>
      </c>
      <c r="P37" s="50">
        <f t="shared" si="2"/>
        <v>47.126684115387512</v>
      </c>
      <c r="Q37" s="50">
        <f t="shared" si="3"/>
        <v>49.971014572493047</v>
      </c>
    </row>
    <row r="38" spans="1:17">
      <c r="A38" s="78"/>
      <c r="B38" s="46" t="str">
        <f t="shared" si="27"/>
        <v>CWF</v>
      </c>
      <c r="C38" s="79"/>
      <c r="D38" s="46">
        <f t="shared" si="27"/>
        <v>1204.5</v>
      </c>
      <c r="E38" s="46">
        <f t="shared" si="27"/>
        <v>1213.5</v>
      </c>
      <c r="F38" s="46">
        <f t="shared" si="27"/>
        <v>652</v>
      </c>
      <c r="G38" s="5">
        <f t="shared" si="29"/>
        <v>55.596000000000004</v>
      </c>
      <c r="H38" s="5">
        <f t="shared" si="29"/>
        <v>70.257600000000011</v>
      </c>
      <c r="I38" s="5">
        <f t="shared" si="29"/>
        <v>42.016800000000003</v>
      </c>
      <c r="J38" s="96"/>
      <c r="K38" s="52" t="str">
        <f>K4</f>
        <v>"Compensation",37,</v>
      </c>
      <c r="M38" s="46">
        <f t="shared" si="0"/>
        <v>6.1444473470663894</v>
      </c>
      <c r="N38" s="46">
        <f t="shared" si="5"/>
        <v>35</v>
      </c>
      <c r="O38" s="50">
        <f t="shared" si="1"/>
        <v>53.182585668976458</v>
      </c>
      <c r="P38" s="50">
        <f t="shared" si="2"/>
        <v>47.038138321910068</v>
      </c>
      <c r="Q38" s="50">
        <f t="shared" si="3"/>
        <v>49.652901529561568</v>
      </c>
    </row>
    <row r="39" spans="1:17">
      <c r="A39" s="78"/>
      <c r="B39" s="46" t="str">
        <f t="shared" si="27"/>
        <v>D65</v>
      </c>
      <c r="C39" s="79"/>
      <c r="D39" s="46">
        <f t="shared" si="27"/>
        <v>512.79999999999995</v>
      </c>
      <c r="E39" s="46">
        <f t="shared" si="27"/>
        <v>579.65000000000009</v>
      </c>
      <c r="F39" s="46">
        <f t="shared" si="27"/>
        <v>531.04999999999995</v>
      </c>
      <c r="G39" s="5">
        <f t="shared" si="29"/>
        <v>25.780800000000003</v>
      </c>
      <c r="H39" s="5">
        <f t="shared" si="29"/>
        <v>36.801600000000001</v>
      </c>
      <c r="I39" s="5">
        <f t="shared" si="29"/>
        <v>29.716800000000003</v>
      </c>
      <c r="J39" s="96"/>
      <c r="K39" s="53" t="str">
        <f>linefmt("CardGain",J42,J45,J48)</f>
        <v>"CardGain",17.01617,17.76727,19.57372,</v>
      </c>
      <c r="M39" s="46">
        <f t="shared" si="0"/>
        <v>4.0105464035493057</v>
      </c>
      <c r="N39" s="46">
        <f t="shared" si="5"/>
        <v>36</v>
      </c>
      <c r="O39" s="50">
        <f t="shared" si="1"/>
        <v>50.96013893198193</v>
      </c>
      <c r="P39" s="50">
        <f t="shared" si="2"/>
        <v>46.949592528432625</v>
      </c>
      <c r="Q39" s="50">
        <f t="shared" si="3"/>
        <v>49.334788486630089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"Range",1,0.9262048,0.984,</v>
      </c>
      <c r="M40" s="46">
        <f t="shared" si="0"/>
        <v>2.1556287087434285</v>
      </c>
      <c r="N40" s="46">
        <f t="shared" si="5"/>
        <v>37</v>
      </c>
      <c r="O40" s="50">
        <f t="shared" si="1"/>
        <v>48.737692194987417</v>
      </c>
      <c r="P40" s="50">
        <f t="shared" si="2"/>
        <v>46.861046734955188</v>
      </c>
      <c r="Q40" s="50">
        <f t="shared" si="3"/>
        <v>49.016675443698617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2.1833169427742405</v>
      </c>
      <c r="N41" s="46">
        <f t="shared" si="5"/>
        <v>38</v>
      </c>
      <c r="O41" s="50">
        <f t="shared" si="1"/>
        <v>46.515245457992904</v>
      </c>
      <c r="P41" s="50">
        <f t="shared" si="2"/>
        <v>46.772500941477745</v>
      </c>
      <c r="Q41" s="50">
        <f t="shared" si="3"/>
        <v>48.698562400767145</v>
      </c>
    </row>
    <row r="42" spans="1:17">
      <c r="A42" s="4"/>
      <c r="B42" s="46" t="s">
        <v>3</v>
      </c>
      <c r="C42" s="79">
        <f>C31</f>
        <v>0</v>
      </c>
      <c r="D42" s="46">
        <f>I42/$H$43</f>
        <v>0.21350063490189286</v>
      </c>
      <c r="E42" s="46">
        <f>H42/$H$43</f>
        <v>1.0250353732501101</v>
      </c>
      <c r="F42" s="46">
        <f>G42/$H$43</f>
        <v>-0.43289812007762313</v>
      </c>
      <c r="G42" s="46">
        <f t="array" ref="G42:I42">LINEST($D31:$D33,$G31:$I33,FALSE)</f>
        <v>-7.3662675169674721</v>
      </c>
      <c r="H42" s="46">
        <v>17.442175014206569</v>
      </c>
      <c r="I42" s="46">
        <v>3.6329628584382467</v>
      </c>
      <c r="J42" s="97">
        <f>H43</f>
        <v>17.016168875130766</v>
      </c>
      <c r="K42" s="53" t="str">
        <f t="shared" ref="K42:K50" si="30">linefmt("",D42,E42,F42)</f>
        <v>0.2135006,1.025035,-0.4328981,</v>
      </c>
      <c r="M42" s="46">
        <f t="shared" si="0"/>
        <v>4.0876506368372887</v>
      </c>
      <c r="N42" s="46">
        <f t="shared" si="5"/>
        <v>39</v>
      </c>
      <c r="O42" s="50">
        <f t="shared" si="1"/>
        <v>44.292798720998377</v>
      </c>
      <c r="P42" s="50">
        <f t="shared" si="2"/>
        <v>46.683955148000301</v>
      </c>
      <c r="Q42" s="50">
        <f t="shared" si="3"/>
        <v>48.380449357835666</v>
      </c>
    </row>
    <row r="43" spans="1:17">
      <c r="A43" s="4"/>
      <c r="B43" s="46" t="s">
        <v>4</v>
      </c>
      <c r="C43" s="79"/>
      <c r="D43" s="46">
        <f>I43/$H$43</f>
        <v>5.2367943326197021E-2</v>
      </c>
      <c r="E43" s="46">
        <f>H43/$H$43</f>
        <v>1</v>
      </c>
      <c r="F43" s="46">
        <f>G43/$H$43</f>
        <v>-0.13223936428639907</v>
      </c>
      <c r="G43" s="46">
        <f t="array" ref="G43:I43">LINEST($E31:$E33,$G31:$I33,FALSE)</f>
        <v>-2.2502073546373027</v>
      </c>
      <c r="H43" s="46">
        <v>17.016168875130766</v>
      </c>
      <c r="I43" s="46">
        <v>0.89110176728184565</v>
      </c>
      <c r="J43" s="97"/>
      <c r="K43" s="53" t="str">
        <f t="shared" si="30"/>
        <v>5.236794E-02,1,-0.1322394,</v>
      </c>
      <c r="M43" s="46">
        <f t="shared" si="0"/>
        <v>5.9919843309003227</v>
      </c>
      <c r="N43" s="46">
        <f t="shared" si="5"/>
        <v>40</v>
      </c>
      <c r="O43" s="50">
        <f t="shared" si="1"/>
        <v>42.070351984003864</v>
      </c>
      <c r="P43" s="50">
        <f t="shared" si="2"/>
        <v>46.595409354522857</v>
      </c>
      <c r="Q43" s="50">
        <f t="shared" si="3"/>
        <v>48.062336314904186</v>
      </c>
    </row>
    <row r="44" spans="1:17">
      <c r="A44" s="4"/>
      <c r="B44" s="46" t="s">
        <v>5</v>
      </c>
      <c r="C44" s="79"/>
      <c r="D44" s="46">
        <f>I44/$H$43</f>
        <v>-0.50790559270519009</v>
      </c>
      <c r="E44" s="46">
        <f>H44/$H$43</f>
        <v>0.39105883866776847</v>
      </c>
      <c r="F44" s="46">
        <f>G44/$H$43</f>
        <v>0.99907899872270256</v>
      </c>
      <c r="G44" s="46">
        <f t="array" ref="G44:I44">LINEST($F$31:$F$33,$G31:$I33,FALSE)</f>
        <v>17.000496961862062</v>
      </c>
      <c r="H44" s="46">
        <v>6.6543232388832658</v>
      </c>
      <c r="I44" s="46">
        <v>-8.6426073380948996</v>
      </c>
      <c r="J44" s="97"/>
      <c r="K44" s="53" t="str">
        <f t="shared" si="30"/>
        <v>-0.5079056,0.3910588,0.999079,</v>
      </c>
      <c r="M44" s="46">
        <f t="shared" si="0"/>
        <v>7.8963180249633638</v>
      </c>
      <c r="N44" s="46">
        <f t="shared" si="5"/>
        <v>41</v>
      </c>
      <c r="O44" s="50">
        <f t="shared" si="1"/>
        <v>39.847905247009351</v>
      </c>
      <c r="P44" s="50">
        <f t="shared" si="2"/>
        <v>46.506863561045414</v>
      </c>
      <c r="Q44" s="50">
        <f t="shared" si="3"/>
        <v>47.744223271972714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0.23666490928501432</v>
      </c>
      <c r="E45" s="46">
        <f>H45/$H$46</f>
        <v>1.0237559179413691</v>
      </c>
      <c r="F45" s="46">
        <f>G45/$H$46</f>
        <v>-0.50802453313429907</v>
      </c>
      <c r="G45" s="46">
        <f t="array" ref="G45:I45">LINEST($D34:$D36,$G34:$I36,FALSE)</f>
        <v>-9.0262071965735746</v>
      </c>
      <c r="H45" s="46">
        <v>18.189344079598534</v>
      </c>
      <c r="I45" s="46">
        <v>4.2048884808484557</v>
      </c>
      <c r="J45" s="97">
        <f>H46</f>
        <v>17.767266357956473</v>
      </c>
      <c r="K45" s="53" t="str">
        <f t="shared" si="30"/>
        <v>0.2366649,1.023756,-0.5080245,</v>
      </c>
      <c r="M45" s="46">
        <f t="shared" si="0"/>
        <v>9.800651719026412</v>
      </c>
      <c r="N45" s="46">
        <f t="shared" si="5"/>
        <v>42</v>
      </c>
      <c r="O45" s="50">
        <f t="shared" si="1"/>
        <v>37.625458510014823</v>
      </c>
      <c r="P45" s="50">
        <f t="shared" si="2"/>
        <v>46.418317767567977</v>
      </c>
      <c r="Q45" s="50">
        <f t="shared" si="3"/>
        <v>47.426110229041235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7.2589598561886612E-2</v>
      </c>
      <c r="E46" s="46">
        <f>H46/$H$46</f>
        <v>1</v>
      </c>
      <c r="F46" s="46">
        <f>G46/$H$46</f>
        <v>-0.2126925021458283</v>
      </c>
      <c r="G46" s="46">
        <f t="array" ref="G46:I46">LINEST($E34:$E36,$G34:$I36,FALSE)</f>
        <v>-3.7789643379651601</v>
      </c>
      <c r="H46" s="46">
        <v>17.767266357956473</v>
      </c>
      <c r="I46" s="46">
        <v>1.2897187324661736</v>
      </c>
      <c r="J46" s="97"/>
      <c r="K46" s="53" t="str">
        <f t="shared" si="30"/>
        <v>0.0725896,1,-0.2126925,</v>
      </c>
      <c r="M46" s="46">
        <f t="shared" si="0"/>
        <v>11.704985413089446</v>
      </c>
      <c r="N46" s="46">
        <f t="shared" si="5"/>
        <v>43</v>
      </c>
      <c r="O46" s="50">
        <f t="shared" si="1"/>
        <v>35.40301177302031</v>
      </c>
      <c r="P46" s="50">
        <f t="shared" si="2"/>
        <v>46.329771974090534</v>
      </c>
      <c r="Q46" s="50">
        <f t="shared" si="3"/>
        <v>47.107997186109756</v>
      </c>
    </row>
    <row r="47" spans="1:17">
      <c r="A47" s="4"/>
      <c r="B47" s="46" t="str">
        <f t="shared" si="31"/>
        <v>Z</v>
      </c>
      <c r="C47" s="79"/>
      <c r="D47" s="46">
        <f>I47/$H$46</f>
        <v>-0.50823760811235663</v>
      </c>
      <c r="E47" s="46">
        <f>H47/$H$46</f>
        <v>0.3951561871101153</v>
      </c>
      <c r="F47" s="46">
        <f>G47/$H$46</f>
        <v>0.93993093797248517</v>
      </c>
      <c r="G47" s="46">
        <f t="array" ref="G47:I47">LINEST($F$31:$F$33,$G34:$I36,FALSE)</f>
        <v>16.700003333041007</v>
      </c>
      <c r="H47" s="46">
        <v>7.0208452293799049</v>
      </c>
      <c r="I47" s="46">
        <v>-9.0299929564629391</v>
      </c>
      <c r="J47" s="97"/>
      <c r="K47" s="53" t="str">
        <f t="shared" si="30"/>
        <v>-0.5082376,0.3951562,0.9399309,</v>
      </c>
      <c r="M47" s="46">
        <f t="shared" si="0"/>
        <v>13.609319107152487</v>
      </c>
      <c r="N47" s="46">
        <f t="shared" si="5"/>
        <v>44</v>
      </c>
      <c r="O47" s="50">
        <f t="shared" si="1"/>
        <v>33.180565036025797</v>
      </c>
      <c r="P47" s="50">
        <f t="shared" si="2"/>
        <v>46.24122618061309</v>
      </c>
      <c r="Q47" s="50">
        <f t="shared" si="3"/>
        <v>46.789884143178284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0.24601337005990989</v>
      </c>
      <c r="E48" s="46">
        <f>H48/$H$49</f>
        <v>1.0856682690454063</v>
      </c>
      <c r="F48" s="46">
        <f>G48/$H$49</f>
        <v>-0.67632982530039654</v>
      </c>
      <c r="G48" s="46">
        <f t="array" ref="G48:I48">LINEST($D37:$D39,$G37:$I39,FALSE)</f>
        <v>-13.238290542232846</v>
      </c>
      <c r="H48" s="46">
        <v>21.2505665733764</v>
      </c>
      <c r="I48" s="46">
        <v>4.8153967905827688</v>
      </c>
      <c r="J48" s="97">
        <f>H49</f>
        <v>19.573719873070758</v>
      </c>
      <c r="K48" s="53" t="str">
        <f t="shared" si="30"/>
        <v>0.2460134,1.085668,-0.6763299,</v>
      </c>
      <c r="M48" s="46">
        <f t="shared" si="0"/>
        <v>15.513652801215535</v>
      </c>
      <c r="N48" s="46">
        <f t="shared" si="5"/>
        <v>45</v>
      </c>
      <c r="O48" s="50">
        <f t="shared" si="1"/>
        <v>30.95811829903127</v>
      </c>
      <c r="P48" s="50">
        <f t="shared" si="2"/>
        <v>46.152680387135646</v>
      </c>
      <c r="Q48" s="50">
        <f t="shared" si="3"/>
        <v>46.471771100246805</v>
      </c>
    </row>
    <row r="49" spans="1:24">
      <c r="A49" s="4"/>
      <c r="B49" s="46" t="str">
        <f t="shared" si="31"/>
        <v>Y</v>
      </c>
      <c r="C49" s="79"/>
      <c r="D49" s="46">
        <f>I49/$H$49</f>
        <v>9.9341900508409256E-2</v>
      </c>
      <c r="E49" s="46">
        <f>H49/$H$49</f>
        <v>1</v>
      </c>
      <c r="F49" s="46">
        <f>G49/$H$49</f>
        <v>-0.32806450798659548</v>
      </c>
      <c r="G49" s="46">
        <f t="array" ref="G49:I49">LINEST($E37:$E39,$G37:$I39,FALSE)</f>
        <v>-6.4214427796264042</v>
      </c>
      <c r="H49" s="46">
        <v>19.573719873070758</v>
      </c>
      <c r="I49" s="46">
        <v>1.9444905322100683</v>
      </c>
      <c r="J49" s="97"/>
      <c r="K49" s="53" t="str">
        <f t="shared" si="30"/>
        <v>0.0993419,1,-0.3280645,</v>
      </c>
      <c r="M49" s="46">
        <f t="shared" si="0"/>
        <v>17.417986495278576</v>
      </c>
      <c r="N49" s="46">
        <f t="shared" si="5"/>
        <v>46</v>
      </c>
      <c r="O49" s="50">
        <f t="shared" si="1"/>
        <v>28.735671562036757</v>
      </c>
      <c r="P49" s="50">
        <f t="shared" si="2"/>
        <v>46.064134593658203</v>
      </c>
      <c r="Q49" s="50">
        <f t="shared" si="3"/>
        <v>46.153658057315333</v>
      </c>
    </row>
    <row r="50" spans="1:24">
      <c r="A50" s="4"/>
      <c r="B50" s="46" t="str">
        <f t="shared" si="31"/>
        <v>Z</v>
      </c>
      <c r="C50" s="79"/>
      <c r="D50" s="46">
        <f>I50/$H$49</f>
        <v>-0.44172016501022704</v>
      </c>
      <c r="E50" s="46">
        <f>H50/$H$49</f>
        <v>0.18690226986309369</v>
      </c>
      <c r="F50" s="46">
        <f>G50/$H$49</f>
        <v>1.0647297811128085</v>
      </c>
      <c r="G50" s="46">
        <f t="array" ref="G50:I50">LINEST($F$31:$F$33,$G37:$I39,FALSE)</f>
        <v>20.840722476018058</v>
      </c>
      <c r="H50" s="46">
        <v>3.6583726739412707</v>
      </c>
      <c r="I50" s="46">
        <v>-8.6461067721967755</v>
      </c>
      <c r="J50" s="97"/>
      <c r="K50" s="54" t="str">
        <f t="shared" si="30"/>
        <v>-0.4417202,0.1869023,1.06473,</v>
      </c>
      <c r="M50" s="46">
        <f t="shared" si="0"/>
        <v>19.462363975138537</v>
      </c>
      <c r="N50" s="46">
        <f t="shared" si="5"/>
        <v>47</v>
      </c>
      <c r="O50" s="50">
        <f t="shared" si="1"/>
        <v>26.513224825042229</v>
      </c>
      <c r="P50" s="50">
        <f t="shared" si="2"/>
        <v>45.975588800180766</v>
      </c>
      <c r="Q50" s="50">
        <f t="shared" si="3"/>
        <v>45.835545014383854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0.23205963808227237</v>
      </c>
      <c r="E51" s="46">
        <f t="shared" ref="E51:F51" si="32">(E42+E45+E48)/3</f>
        <v>1.0448198534122952</v>
      </c>
      <c r="F51" s="46">
        <f t="shared" si="32"/>
        <v>-0.53908415950410626</v>
      </c>
      <c r="J51" s="97">
        <f>(J42+J45+J48)/3</f>
        <v>18.119051702052666</v>
      </c>
      <c r="M51" s="46">
        <f t="shared" si="0"/>
        <v>21.596264918655606</v>
      </c>
      <c r="N51" s="46">
        <f t="shared" si="5"/>
        <v>48</v>
      </c>
      <c r="O51" s="50">
        <f t="shared" si="1"/>
        <v>24.290778088047716</v>
      </c>
      <c r="P51" s="50">
        <f t="shared" si="2"/>
        <v>45.887043006703323</v>
      </c>
      <c r="Q51" s="50">
        <f t="shared" si="3"/>
        <v>45.517431971452382</v>
      </c>
    </row>
    <row r="52" spans="1:24">
      <c r="B52" s="46" t="str">
        <f t="shared" si="31"/>
        <v>Y</v>
      </c>
      <c r="C52" s="79"/>
      <c r="D52" s="46">
        <f t="shared" ref="D52:F53" si="33">(D43+D46+D49)/3</f>
        <v>7.476648079883097E-2</v>
      </c>
      <c r="E52" s="46">
        <f t="shared" si="33"/>
        <v>1</v>
      </c>
      <c r="F52" s="46">
        <f t="shared" si="33"/>
        <v>-0.22433212480627429</v>
      </c>
      <c r="J52" s="97"/>
      <c r="M52" s="46">
        <f t="shared" si="0"/>
        <v>23.730165862172676</v>
      </c>
      <c r="N52" s="46">
        <f t="shared" si="5"/>
        <v>49</v>
      </c>
      <c r="O52" s="50">
        <f t="shared" si="1"/>
        <v>22.068331351053203</v>
      </c>
      <c r="P52" s="50">
        <f t="shared" si="2"/>
        <v>45.798497213225879</v>
      </c>
      <c r="Q52" s="50">
        <f t="shared" si="3"/>
        <v>45.199318928520903</v>
      </c>
    </row>
    <row r="53" spans="1:24" ht="15.75" thickBot="1">
      <c r="B53" s="46" t="str">
        <f t="shared" si="31"/>
        <v>Z</v>
      </c>
      <c r="C53" s="79"/>
      <c r="D53" s="46">
        <f t="shared" si="33"/>
        <v>-0.48595445527592451</v>
      </c>
      <c r="E53" s="46">
        <f t="shared" si="33"/>
        <v>0.32437243188032577</v>
      </c>
      <c r="F53" s="46">
        <f t="shared" si="33"/>
        <v>1.0012465726026654</v>
      </c>
      <c r="J53" s="100"/>
      <c r="M53" s="46">
        <f t="shared" si="0"/>
        <v>25.86406680568976</v>
      </c>
      <c r="N53" s="46">
        <f t="shared" si="5"/>
        <v>50</v>
      </c>
      <c r="O53" s="50">
        <f t="shared" si="1"/>
        <v>19.845884614058676</v>
      </c>
      <c r="P53" s="50">
        <f t="shared" si="2"/>
        <v>45.709951419748435</v>
      </c>
      <c r="Q53" s="50">
        <f t="shared" si="3"/>
        <v>44.881205885589424</v>
      </c>
    </row>
    <row r="54" spans="1:24">
      <c r="B54" s="79" t="s">
        <v>14</v>
      </c>
      <c r="C54" s="79"/>
      <c r="D54" s="19">
        <f>I54/$H$55</f>
        <v>0.21309775581125476</v>
      </c>
      <c r="E54" s="20">
        <f>H54/$H$55</f>
        <v>1.0383928536520817</v>
      </c>
      <c r="F54" s="21">
        <f>G54/$H$55</f>
        <v>-0.48459110700836838</v>
      </c>
      <c r="G54" s="46">
        <f t="array" ref="G54:I54">LINEST(D$31:D$39,$G$31:$I$39,FALSE)</f>
        <v>-8.6195104592243883</v>
      </c>
      <c r="H54" s="46">
        <v>18.470083196725714</v>
      </c>
      <c r="I54" s="46">
        <v>3.7904086733903588</v>
      </c>
      <c r="J54" s="98">
        <f>H55</f>
        <v>17.787182502041951</v>
      </c>
      <c r="M54" s="46">
        <f t="shared" si="0"/>
        <v>27.997967749206836</v>
      </c>
      <c r="N54" s="46">
        <f t="shared" si="5"/>
        <v>51</v>
      </c>
      <c r="O54" s="50">
        <f t="shared" si="1"/>
        <v>17.623437877064163</v>
      </c>
      <c r="P54" s="50">
        <f t="shared" si="2"/>
        <v>45.621405626270999</v>
      </c>
      <c r="Q54" s="50">
        <f t="shared" si="3"/>
        <v>44.563092842657952</v>
      </c>
    </row>
    <row r="55" spans="1:24" ht="15" customHeight="1">
      <c r="B55" s="79"/>
      <c r="C55" s="79"/>
      <c r="D55" s="22">
        <f>I55/$H$55</f>
        <v>6.3987429297808013E-2</v>
      </c>
      <c r="E55" s="18">
        <f>H55/$H$55</f>
        <v>1</v>
      </c>
      <c r="F55" s="23">
        <f>G55/$H$55</f>
        <v>-0.19003310026789247</v>
      </c>
      <c r="G55" s="46">
        <f t="array" ref="G55:I55">LINEST(E$31:E$39,$G$31:$I$39,FALSE)</f>
        <v>-3.3801534358938405</v>
      </c>
      <c r="H55" s="46">
        <v>17.787182502041951</v>
      </c>
      <c r="I55" s="46">
        <v>1.1381560827566171</v>
      </c>
      <c r="J55" s="98"/>
      <c r="M55" s="46">
        <f t="shared" si="0"/>
        <v>30.13186869272392</v>
      </c>
      <c r="N55" s="46">
        <f t="shared" si="5"/>
        <v>52</v>
      </c>
      <c r="O55" s="50">
        <f t="shared" si="1"/>
        <v>15.400991140069635</v>
      </c>
      <c r="P55" s="50">
        <f t="shared" si="2"/>
        <v>45.532859832793555</v>
      </c>
      <c r="Q55" s="50">
        <f t="shared" si="3"/>
        <v>44.244979799726472</v>
      </c>
    </row>
    <row r="56" spans="1:24" ht="15" customHeight="1" thickBot="1">
      <c r="B56" s="79"/>
      <c r="C56" s="79"/>
      <c r="D56" s="24">
        <f>I56/$H$55</f>
        <v>-0.46391690073437913</v>
      </c>
      <c r="E56" s="25">
        <f>H56/$H$55</f>
        <v>0.34618969874369349</v>
      </c>
      <c r="F56" s="26">
        <f>G56/$H$55</f>
        <v>0.95082764373925754</v>
      </c>
      <c r="G56" s="46">
        <f t="array" ref="G56:I56">LINEST(F$31:F$39,$G$31:$I$39,FALSE)</f>
        <v>16.912544827176699</v>
      </c>
      <c r="H56" s="46">
        <v>6.1577393518809993</v>
      </c>
      <c r="I56" s="46">
        <v>-8.2517745791440813</v>
      </c>
      <c r="J56" s="98"/>
      <c r="M56" s="46">
        <f t="shared" si="0"/>
        <v>32.265769636240989</v>
      </c>
      <c r="N56" s="46">
        <f t="shared" si="5"/>
        <v>53</v>
      </c>
      <c r="O56" s="50">
        <f t="shared" si="1"/>
        <v>13.178544403075122</v>
      </c>
      <c r="P56" s="50">
        <f t="shared" si="2"/>
        <v>45.444314039316112</v>
      </c>
      <c r="Q56" s="50">
        <f t="shared" si="3"/>
        <v>43.926866756794993</v>
      </c>
    </row>
    <row r="57" spans="1:24">
      <c r="M57" s="46">
        <f t="shared" si="0"/>
        <v>34.399670579758059</v>
      </c>
      <c r="N57" s="46">
        <f t="shared" si="5"/>
        <v>54</v>
      </c>
      <c r="O57" s="50">
        <f t="shared" si="1"/>
        <v>10.956097666080609</v>
      </c>
      <c r="P57" s="50">
        <f t="shared" si="2"/>
        <v>45.355768245838668</v>
      </c>
      <c r="Q57" s="50">
        <f t="shared" si="3"/>
        <v>43.608753713863521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36.533571523275143</v>
      </c>
      <c r="N58" s="46">
        <f t="shared" si="5"/>
        <v>55</v>
      </c>
      <c r="O58" s="50">
        <f t="shared" si="1"/>
        <v>8.7336509290860818</v>
      </c>
      <c r="P58" s="50">
        <f t="shared" si="2"/>
        <v>45.267222452361224</v>
      </c>
      <c r="Q58" s="50">
        <f t="shared" si="3"/>
        <v>43.290640670932049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38.667472466792219</v>
      </c>
      <c r="N59" s="46">
        <f t="shared" si="5"/>
        <v>56</v>
      </c>
      <c r="O59" s="50">
        <f t="shared" si="1"/>
        <v>6.5112041920915686</v>
      </c>
      <c r="P59" s="50">
        <f t="shared" si="2"/>
        <v>45.178676658883788</v>
      </c>
      <c r="Q59" s="50">
        <f t="shared" si="3"/>
        <v>42.97252762800057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515.9</v>
      </c>
      <c r="E60" s="32">
        <f t="shared" ref="E60:E68" si="37">getCCTfromXY(D22/SUM(D22:F22),E22/SUM(D22:F22))</f>
        <v>2863</v>
      </c>
      <c r="F60" s="31">
        <f t="shared" ref="F60:F68" si="38">V60</f>
        <v>514.94498292125968</v>
      </c>
      <c r="G60" s="32">
        <f t="shared" ref="G60:G68" si="39">getCCTfromXY(U60/X60,V60/X60)</f>
        <v>2954</v>
      </c>
      <c r="H60" s="33">
        <f>F60/D60-1</f>
        <v>-1.8511670454357532E-3</v>
      </c>
      <c r="I60" s="34">
        <f t="shared" ref="I60:I68" si="40">G60/E60-1</f>
        <v>3.1784841075794601E-2</v>
      </c>
      <c r="M60" s="46">
        <f t="shared" si="0"/>
        <v>40.801373410309289</v>
      </c>
      <c r="N60" s="46">
        <f t="shared" si="5"/>
        <v>57</v>
      </c>
      <c r="O60" s="50">
        <f t="shared" si="1"/>
        <v>4.2887574550970555</v>
      </c>
      <c r="P60" s="50">
        <f t="shared" si="2"/>
        <v>45.090130865406344</v>
      </c>
      <c r="Q60" s="50">
        <f t="shared" si="3"/>
        <v>42.654414585069091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551.66640113743688</v>
      </c>
      <c r="V60" s="50">
        <f>$J$54*$J$31*($D$55*G22+$E$55*H22+$F$55*I22)</f>
        <v>514.94498292125968</v>
      </c>
      <c r="W60" s="50">
        <f>$J$54*$J$31*($D$56*G22+$E$56*H22+$F$56*I22)</f>
        <v>169.36357135700328</v>
      </c>
      <c r="X60" s="29">
        <f>SUM(U60:W60)</f>
        <v>1235.9749554156999</v>
      </c>
    </row>
    <row r="61" spans="1:24">
      <c r="A61" s="87"/>
      <c r="B61" s="48" t="str">
        <f t="shared" si="35"/>
        <v>CWF</v>
      </c>
      <c r="C61" s="93"/>
      <c r="D61" s="31">
        <f t="shared" si="36"/>
        <v>1213.5</v>
      </c>
      <c r="E61" s="32">
        <f t="shared" si="37"/>
        <v>3856</v>
      </c>
      <c r="F61" s="31">
        <f t="shared" si="38"/>
        <v>1239.1096689427948</v>
      </c>
      <c r="G61" s="32">
        <f t="shared" si="39"/>
        <v>3747</v>
      </c>
      <c r="H61" s="33">
        <f t="shared" ref="H61:H68" si="41">F61/D61-1</f>
        <v>2.1103971110667308E-2</v>
      </c>
      <c r="I61" s="34">
        <f t="shared" si="40"/>
        <v>-2.8267634854771795E-2</v>
      </c>
      <c r="M61" s="46">
        <f t="shared" si="0"/>
        <v>42.935274353826372</v>
      </c>
      <c r="N61" s="46">
        <f t="shared" si="5"/>
        <v>58</v>
      </c>
      <c r="O61" s="50">
        <f t="shared" si="1"/>
        <v>2.0663107181025282</v>
      </c>
      <c r="P61" s="50">
        <f t="shared" si="2"/>
        <v>45.001585071928901</v>
      </c>
      <c r="Q61" s="50">
        <f t="shared" si="3"/>
        <v>42.336301542137619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1238.3984421466644</v>
      </c>
      <c r="V61" s="50">
        <f>$J$54*$J$31*($D$55*G23+$E$55*H23+$F$55*I23)</f>
        <v>1239.1096689427948</v>
      </c>
      <c r="W61" s="50">
        <f>$J$54*$J$31*($D$56*G23+$E$56*H23+$F$56*I23)</f>
        <v>636.04851128639382</v>
      </c>
      <c r="X61" s="29">
        <f t="shared" ref="X61:X68" si="43">SUM(U61:W61)</f>
        <v>3113.5566223758528</v>
      </c>
    </row>
    <row r="62" spans="1:24">
      <c r="A62" s="87"/>
      <c r="B62" s="48" t="str">
        <f t="shared" si="35"/>
        <v>D65</v>
      </c>
      <c r="C62" s="93"/>
      <c r="D62" s="31">
        <f t="shared" si="36"/>
        <v>579.65000000000009</v>
      </c>
      <c r="E62" s="32">
        <f t="shared" si="37"/>
        <v>6300</v>
      </c>
      <c r="F62" s="31">
        <f t="shared" si="38"/>
        <v>579.97673279397884</v>
      </c>
      <c r="G62" s="32">
        <f t="shared" si="39"/>
        <v>6140</v>
      </c>
      <c r="H62" s="33">
        <f t="shared" si="41"/>
        <v>5.6367255064038169E-4</v>
      </c>
      <c r="I62" s="34">
        <f t="shared" si="40"/>
        <v>-2.5396825396825418E-2</v>
      </c>
      <c r="M62" s="46">
        <f t="shared" si="0"/>
        <v>45.069175297343456</v>
      </c>
      <c r="N62" s="46">
        <f t="shared" si="5"/>
        <v>59</v>
      </c>
      <c r="O62" s="50">
        <f t="shared" si="1"/>
        <v>-0.15613601889199913</v>
      </c>
      <c r="P62" s="50">
        <f t="shared" si="2"/>
        <v>44.913039278451457</v>
      </c>
      <c r="Q62" s="50">
        <f t="shared" si="3"/>
        <v>42.01818849920614</v>
      </c>
      <c r="R62" s="78"/>
      <c r="S62" s="46" t="str">
        <f t="shared" si="42"/>
        <v>D65</v>
      </c>
      <c r="T62" s="79"/>
      <c r="U62" s="50">
        <f>$J$54*$J$31*($D$54*G24+$E$54*H24+$F$54*I24)</f>
        <v>516.33219813786275</v>
      </c>
      <c r="V62" s="50">
        <f>$J$54*$J$31*($D$55*G24+$E$55*H24+$F$55*I24)</f>
        <v>579.97673279397884</v>
      </c>
      <c r="W62" s="50">
        <f>$J$54*$J$31*($D$56*G24+$E$56*H24+$F$56*I24)</f>
        <v>520.75589185563842</v>
      </c>
      <c r="X62" s="29">
        <f t="shared" si="43"/>
        <v>1617.0648227874799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515.9</v>
      </c>
      <c r="E63" s="32">
        <f t="shared" si="37"/>
        <v>2863</v>
      </c>
      <c r="F63" s="31">
        <f t="shared" si="38"/>
        <v>520.34200910020661</v>
      </c>
      <c r="G63" s="32">
        <f t="shared" si="39"/>
        <v>3148</v>
      </c>
      <c r="H63" s="33">
        <f t="shared" si="41"/>
        <v>8.6102134138528186E-3</v>
      </c>
      <c r="I63" s="34">
        <f t="shared" si="40"/>
        <v>9.9545930841774322E-2</v>
      </c>
      <c r="M63" s="46">
        <f t="shared" si="0"/>
        <v>47.203076240860511</v>
      </c>
      <c r="N63" s="46">
        <f t="shared" si="5"/>
        <v>60</v>
      </c>
      <c r="O63" s="50">
        <f t="shared" si="1"/>
        <v>-2.378582755886498</v>
      </c>
      <c r="P63" s="50">
        <f t="shared" si="2"/>
        <v>44.824493484974013</v>
      </c>
      <c r="Q63" s="50">
        <f t="shared" si="3"/>
        <v>41.700075456274661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548.20349506236516</v>
      </c>
      <c r="V63" s="50">
        <f>$J$54*$J$34*($D$55*G25+$E$55*H25+$F$55*I25)</f>
        <v>520.34200910020661</v>
      </c>
      <c r="W63" s="50">
        <f>$J$54*$J$34*($D$56*G25+$E$56*H25+$F$56*I25)</f>
        <v>202.04656091773225</v>
      </c>
      <c r="X63" s="29">
        <f t="shared" si="43"/>
        <v>1270.5920650803041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1213.5</v>
      </c>
      <c r="E64" s="32">
        <f t="shared" si="37"/>
        <v>3856</v>
      </c>
      <c r="F64" s="31">
        <f t="shared" si="38"/>
        <v>1222.2631055727829</v>
      </c>
      <c r="G64" s="32">
        <f t="shared" si="39"/>
        <v>3815</v>
      </c>
      <c r="H64" s="33">
        <f t="shared" si="41"/>
        <v>7.2213478144069754E-3</v>
      </c>
      <c r="I64" s="34">
        <f t="shared" si="40"/>
        <v>-1.0632780082987514E-2</v>
      </c>
      <c r="M64" s="46">
        <f t="shared" si="0"/>
        <v>49.336977184377602</v>
      </c>
      <c r="N64" s="46">
        <f t="shared" si="5"/>
        <v>61</v>
      </c>
      <c r="O64" s="50">
        <f t="shared" si="1"/>
        <v>-4.6010294928810254</v>
      </c>
      <c r="P64" s="50">
        <f t="shared" si="2"/>
        <v>44.735947691496577</v>
      </c>
      <c r="Q64" s="50">
        <f t="shared" si="3"/>
        <v>41.381962413343189</v>
      </c>
      <c r="R64" s="78"/>
      <c r="S64" s="46" t="str">
        <f t="shared" si="42"/>
        <v>CWF</v>
      </c>
      <c r="T64" s="79"/>
      <c r="U64" s="50">
        <f>$J$54*$J$34*($D$54*G26+$E$54*H26+$F$54*I26)</f>
        <v>1216.4104036506715</v>
      </c>
      <c r="V64" s="50">
        <f>$J$54*$J$34*($D$55*G26+$E$55*H26+$F$55*I26)</f>
        <v>1222.2631055727829</v>
      </c>
      <c r="W64" s="50">
        <f>$J$54*$J$34*($D$56*G26+$E$56*H26+$F$56*I26)</f>
        <v>645.89300764343329</v>
      </c>
      <c r="X64" s="29">
        <f t="shared" si="43"/>
        <v>3084.5665168668875</v>
      </c>
    </row>
    <row r="65" spans="1:24">
      <c r="A65" s="87"/>
      <c r="B65" s="48" t="str">
        <f t="shared" si="35"/>
        <v>D65</v>
      </c>
      <c r="C65" s="93"/>
      <c r="D65" s="31">
        <f t="shared" si="36"/>
        <v>579.65000000000009</v>
      </c>
      <c r="E65" s="32">
        <f t="shared" si="37"/>
        <v>6300</v>
      </c>
      <c r="F65" s="31">
        <f t="shared" si="38"/>
        <v>588.60543000970313</v>
      </c>
      <c r="G65" s="32">
        <f t="shared" si="39"/>
        <v>6119</v>
      </c>
      <c r="H65" s="33">
        <f t="shared" si="41"/>
        <v>1.5449719675153961E-2</v>
      </c>
      <c r="I65" s="34">
        <f t="shared" si="40"/>
        <v>-2.8730158730158717E-2</v>
      </c>
      <c r="M65" s="46">
        <f t="shared" si="0"/>
        <v>51.470878127894686</v>
      </c>
      <c r="N65" s="46">
        <f t="shared" si="5"/>
        <v>62</v>
      </c>
      <c r="O65" s="50">
        <f t="shared" si="1"/>
        <v>-6.8234762298755527</v>
      </c>
      <c r="P65" s="50">
        <f t="shared" si="2"/>
        <v>44.647401898019133</v>
      </c>
      <c r="Q65" s="50">
        <f t="shared" si="3"/>
        <v>41.06384937041171</v>
      </c>
      <c r="R65" s="78"/>
      <c r="S65" s="46" t="str">
        <f t="shared" si="42"/>
        <v>D65</v>
      </c>
      <c r="T65" s="79"/>
      <c r="U65" s="50">
        <f>$J$54*$J$34*($D$54*G27+$E$54*H27+$F$54*I27)</f>
        <v>524.43107324378866</v>
      </c>
      <c r="V65" s="50">
        <f>$J$54*$J$34*($D$55*G27+$E$55*H27+$F$55*I27)</f>
        <v>588.60543000970313</v>
      </c>
      <c r="W65" s="50">
        <f>$J$54*$J$34*($D$56*G27+$E$56*H27+$F$56*I27)</f>
        <v>527.07960761557581</v>
      </c>
      <c r="X65" s="29">
        <f t="shared" si="43"/>
        <v>1640.1161108690676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515.9</v>
      </c>
      <c r="E66" s="32">
        <f t="shared" si="37"/>
        <v>2863</v>
      </c>
      <c r="F66" s="31">
        <f t="shared" si="38"/>
        <v>511.73943292213193</v>
      </c>
      <c r="G66" s="32">
        <f t="shared" si="39"/>
        <v>2597</v>
      </c>
      <c r="H66" s="33">
        <f t="shared" si="41"/>
        <v>-8.0646774139717659E-3</v>
      </c>
      <c r="I66" s="34">
        <f t="shared" si="40"/>
        <v>-9.2909535452322722E-2</v>
      </c>
      <c r="M66" s="46">
        <f t="shared" si="0"/>
        <v>53.604779071411741</v>
      </c>
      <c r="N66" s="46">
        <f t="shared" si="5"/>
        <v>63</v>
      </c>
      <c r="O66" s="50">
        <f t="shared" si="1"/>
        <v>-9.0459229668700516</v>
      </c>
      <c r="P66" s="50">
        <f t="shared" si="2"/>
        <v>44.55885610454169</v>
      </c>
      <c r="Q66" s="50">
        <f t="shared" si="3"/>
        <v>40.74573632748023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568.54546275312259</v>
      </c>
      <c r="V66" s="50">
        <f>$J$54*$J$37*($D$55*G28+$E$55*H28+$F$55*I28)</f>
        <v>511.73943292213193</v>
      </c>
      <c r="W66" s="50">
        <f>$J$54*$J$37*($D$56*G28+$E$56*H28+$F$56*I28)</f>
        <v>102.66649609718583</v>
      </c>
      <c r="X66" s="29">
        <f t="shared" si="43"/>
        <v>1182.9513917724405</v>
      </c>
    </row>
    <row r="67" spans="1:24">
      <c r="A67" s="87"/>
      <c r="B67" s="48" t="str">
        <f t="shared" si="35"/>
        <v>CWF</v>
      </c>
      <c r="C67" s="93"/>
      <c r="D67" s="31">
        <f t="shared" si="36"/>
        <v>1213.5</v>
      </c>
      <c r="E67" s="32">
        <f t="shared" si="37"/>
        <v>3856</v>
      </c>
      <c r="F67" s="31">
        <f t="shared" si="38"/>
        <v>1170.9384480471354</v>
      </c>
      <c r="G67" s="32">
        <f t="shared" si="39"/>
        <v>4085</v>
      </c>
      <c r="H67" s="33">
        <f t="shared" si="41"/>
        <v>-3.5073384386373863E-2</v>
      </c>
      <c r="I67" s="34">
        <f t="shared" si="40"/>
        <v>5.9387966804979264E-2</v>
      </c>
      <c r="R67" s="78"/>
      <c r="S67" s="46" t="str">
        <f t="shared" si="42"/>
        <v>CWF</v>
      </c>
      <c r="T67" s="79"/>
      <c r="U67" s="50">
        <f>$J$54*$J$37*($D$54*G29+$E$54*H29+$F$54*I29)</f>
        <v>1146.2310307449477</v>
      </c>
      <c r="V67" s="50">
        <f>$J$54*$J$37*($D$55*G29+$E$55*H29+$F$55*I29)</f>
        <v>1170.9384480471354</v>
      </c>
      <c r="W67" s="50">
        <f>$J$54*$J$37*($D$56*G29+$E$56*H29+$F$56*I29)</f>
        <v>684.47334228113823</v>
      </c>
      <c r="X67" s="29">
        <f t="shared" si="43"/>
        <v>3001.6428210732215</v>
      </c>
    </row>
    <row r="68" spans="1:24">
      <c r="A68" s="87"/>
      <c r="B68" s="48" t="str">
        <f t="shared" si="35"/>
        <v>D65</v>
      </c>
      <c r="C68" s="93"/>
      <c r="D68" s="31">
        <f t="shared" si="36"/>
        <v>579.65000000000009</v>
      </c>
      <c r="E68" s="32">
        <f t="shared" si="37"/>
        <v>6300</v>
      </c>
      <c r="F68" s="31">
        <f t="shared" si="38"/>
        <v>583.49200628170877</v>
      </c>
      <c r="G68" s="32">
        <f t="shared" si="39"/>
        <v>6038</v>
      </c>
      <c r="H68" s="33">
        <f t="shared" si="41"/>
        <v>6.6281485063550694E-3</v>
      </c>
      <c r="I68" s="34">
        <f t="shared" si="40"/>
        <v>-4.1587301587301617E-2</v>
      </c>
      <c r="R68" s="78"/>
      <c r="S68" s="46" t="str">
        <f t="shared" si="42"/>
        <v>D65</v>
      </c>
      <c r="T68" s="79"/>
      <c r="U68" s="50">
        <f>$J$54*$J$37*($D$54*G30+$E$54*H30+$F$54*I30)</f>
        <v>521.30411328488401</v>
      </c>
      <c r="V68" s="50">
        <f>$J$54*$J$37*($D$55*G30+$E$55*H30+$F$55*I30)</f>
        <v>583.49200628170877</v>
      </c>
      <c r="W68" s="50">
        <f>$J$54*$J$37*($D$56*G30+$E$56*H30+$F$56*I30)</f>
        <v>516.46402258243052</v>
      </c>
      <c r="X68" s="29">
        <f t="shared" si="43"/>
        <v>1621.2601421490233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3.5073384386373863E-2</v>
      </c>
      <c r="G69" s="47"/>
      <c r="H69" s="36" t="str">
        <f>I59</f>
        <v>CCT</v>
      </c>
      <c r="I69" s="38">
        <f>MAX(MAX(I60:I68,-MIN(I60:I68)))</f>
        <v>9.9545930841774322E-2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515.9</v>
      </c>
      <c r="E72" s="31">
        <f t="shared" ref="E72:E80" si="47">E60</f>
        <v>2863</v>
      </c>
      <c r="F72" s="31">
        <f t="shared" ref="F72:F80" si="48">V72</f>
        <v>515.97901810925953</v>
      </c>
      <c r="G72" s="32">
        <f t="shared" ref="G72:G80" si="49">getCCTfromXY(U72/X72,V72/X72)</f>
        <v>2914</v>
      </c>
      <c r="H72" s="33">
        <f>F72/D72-1</f>
        <v>1.5316555390487707E-4</v>
      </c>
      <c r="I72" s="34">
        <f t="shared" ref="I72:I80" si="50">G72/E72-1</f>
        <v>1.7813482361159538E-2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554.87263001781525</v>
      </c>
      <c r="V72" s="50">
        <f>$J$51*$J$31*($D$52*G22+$E$52*H22+$F$52*I22)</f>
        <v>515.97901810925953</v>
      </c>
      <c r="W72" s="50">
        <f>$J$51*$J$31*($D$53*G22+$E$53*H22+$F$53*I22)</f>
        <v>163.00895759488134</v>
      </c>
      <c r="X72" s="29">
        <f>SUM(U72:W72)</f>
        <v>1233.8606057219563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1213.5</v>
      </c>
      <c r="E73" s="31">
        <f t="shared" si="47"/>
        <v>3856</v>
      </c>
      <c r="F73" s="31">
        <f t="shared" si="48"/>
        <v>1248.8185198078131</v>
      </c>
      <c r="G73" s="32">
        <f t="shared" si="49"/>
        <v>3714</v>
      </c>
      <c r="H73" s="33">
        <f t="shared" ref="H73:H80" si="52">F73/D73-1</f>
        <v>2.910467227673097E-2</v>
      </c>
      <c r="I73" s="34">
        <f t="shared" si="50"/>
        <v>-3.6825726141078818E-2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1250.8142051298689</v>
      </c>
      <c r="V73" s="50">
        <f t="shared" ref="V73:V74" si="55">$J$51*$J$31*($D$52*G23+$E$52*H23+$F$52*I23)</f>
        <v>1248.8185198078131</v>
      </c>
      <c r="W73" s="50">
        <f t="shared" ref="W73:W74" si="56">$J$51*$J$31*($D$53*G23+$E$53*H23+$F$53*I23)</f>
        <v>631.63916351697651</v>
      </c>
      <c r="X73" s="29">
        <f t="shared" ref="X73:X80" si="57">SUM(U73:W73)</f>
        <v>3131.2718884546584</v>
      </c>
    </row>
    <row r="74" spans="1:24">
      <c r="A74" s="87"/>
      <c r="B74" s="48" t="str">
        <f t="shared" si="46"/>
        <v>X</v>
      </c>
      <c r="C74" s="93"/>
      <c r="D74" s="31">
        <f t="shared" si="51"/>
        <v>579.65000000000009</v>
      </c>
      <c r="E74" s="31">
        <f t="shared" si="47"/>
        <v>6300</v>
      </c>
      <c r="F74" s="31">
        <f t="shared" si="48"/>
        <v>577.03113496193669</v>
      </c>
      <c r="G74" s="32">
        <f t="shared" si="49"/>
        <v>6367</v>
      </c>
      <c r="H74" s="33">
        <f t="shared" si="52"/>
        <v>-4.5180109342938257E-3</v>
      </c>
      <c r="I74" s="34">
        <f t="shared" si="50"/>
        <v>1.0634920634920553E-2</v>
      </c>
      <c r="R74" s="78"/>
      <c r="S74" s="46" t="str">
        <f t="shared" si="53"/>
        <v>D65</v>
      </c>
      <c r="T74" s="79"/>
      <c r="U74" s="50">
        <f t="shared" si="54"/>
        <v>509.27267684070398</v>
      </c>
      <c r="V74" s="50">
        <f t="shared" si="55"/>
        <v>577.03113496193669</v>
      </c>
      <c r="W74" s="50">
        <f t="shared" si="56"/>
        <v>533.14905298324879</v>
      </c>
      <c r="X74" s="29">
        <f t="shared" si="57"/>
        <v>1619.4528647858895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515.9</v>
      </c>
      <c r="E75" s="31">
        <f t="shared" si="47"/>
        <v>2863</v>
      </c>
      <c r="F75" s="31">
        <f t="shared" si="48"/>
        <v>520.63912964438566</v>
      </c>
      <c r="G75" s="32">
        <f t="shared" si="49"/>
        <v>3117</v>
      </c>
      <c r="H75" s="33">
        <f t="shared" si="52"/>
        <v>9.1861400356381129E-3</v>
      </c>
      <c r="I75" s="34">
        <f t="shared" si="50"/>
        <v>8.8718127837932315E-2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550.00823282082604</v>
      </c>
      <c r="V75" s="50">
        <f>$J$51*$J$34*($D$52*G25+$E$52*H25+$F$52*I25)</f>
        <v>520.63912964438566</v>
      </c>
      <c r="W75" s="50">
        <f>$J$51*$J$34*($D$53*G25+$E$53*H25+$F$53*I25)</f>
        <v>197.55212461902889</v>
      </c>
      <c r="X75" s="29">
        <f t="shared" si="57"/>
        <v>1268.1994870842407</v>
      </c>
    </row>
    <row r="76" spans="1:24">
      <c r="A76" s="87"/>
      <c r="B76" s="48" t="str">
        <f t="shared" si="46"/>
        <v>Z</v>
      </c>
      <c r="C76" s="93"/>
      <c r="D76" s="31">
        <f t="shared" si="51"/>
        <v>1213.5</v>
      </c>
      <c r="E76" s="31">
        <f t="shared" si="47"/>
        <v>3856</v>
      </c>
      <c r="F76" s="31">
        <f t="shared" si="48"/>
        <v>1231.1588458311203</v>
      </c>
      <c r="G76" s="32">
        <f t="shared" si="49"/>
        <v>3786</v>
      </c>
      <c r="H76" s="33">
        <f t="shared" si="52"/>
        <v>1.4551994916456756E-2</v>
      </c>
      <c r="I76" s="34">
        <f t="shared" si="50"/>
        <v>-1.8153526970954403E-2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1227.5180558245549</v>
      </c>
      <c r="V76" s="50">
        <f t="shared" ref="V76:V77" si="59">$J$51*$J$34*($D$52*G26+$E$52*H26+$F$52*I26)</f>
        <v>1231.1588458311203</v>
      </c>
      <c r="W76" s="50">
        <f t="shared" ref="W76:W77" si="60">$J$51*$J$34*($D$53*G26+$E$53*H26+$F$53*I26)</f>
        <v>642.75805181251565</v>
      </c>
      <c r="X76" s="29">
        <f t="shared" si="57"/>
        <v>3101.434953468191</v>
      </c>
    </row>
    <row r="77" spans="1:24">
      <c r="A77" s="87"/>
      <c r="B77" s="48" t="str">
        <f t="shared" si="46"/>
        <v>X</v>
      </c>
      <c r="C77" s="93"/>
      <c r="D77" s="31">
        <f t="shared" si="51"/>
        <v>579.65000000000009</v>
      </c>
      <c r="E77" s="31">
        <f t="shared" si="47"/>
        <v>6300</v>
      </c>
      <c r="F77" s="31">
        <f t="shared" si="48"/>
        <v>585.6558976195937</v>
      </c>
      <c r="G77" s="32">
        <f t="shared" si="49"/>
        <v>6344</v>
      </c>
      <c r="H77" s="33">
        <f t="shared" si="52"/>
        <v>1.0361248373317755E-2</v>
      </c>
      <c r="I77" s="34">
        <f t="shared" si="50"/>
        <v>6.9841269841270925E-3</v>
      </c>
      <c r="R77" s="78"/>
      <c r="S77" s="46" t="str">
        <f t="shared" si="53"/>
        <v>D65</v>
      </c>
      <c r="T77" s="79"/>
      <c r="U77" s="50">
        <f t="shared" si="58"/>
        <v>517.33917054842459</v>
      </c>
      <c r="V77" s="50">
        <f t="shared" si="59"/>
        <v>585.6558976195937</v>
      </c>
      <c r="W77" s="50">
        <f t="shared" si="60"/>
        <v>539.56694889679375</v>
      </c>
      <c r="X77" s="29">
        <f t="shared" si="57"/>
        <v>1642.5620170648122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515.9</v>
      </c>
      <c r="E78" s="31">
        <f t="shared" si="47"/>
        <v>2863</v>
      </c>
      <c r="F78" s="31">
        <f t="shared" si="48"/>
        <v>513.93746740786401</v>
      </c>
      <c r="G78" s="32">
        <f t="shared" si="49"/>
        <v>2546</v>
      </c>
      <c r="H78" s="33">
        <f t="shared" si="52"/>
        <v>-3.8040949644039257E-3</v>
      </c>
      <c r="I78" s="34">
        <f t="shared" si="50"/>
        <v>-0.11072301781348237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574.27803986721301</v>
      </c>
      <c r="V78" s="50">
        <f>$J$51*$J$37*($D$52*G28+$E$52*H28+$F$52*I28)</f>
        <v>513.93746740786401</v>
      </c>
      <c r="W78" s="50">
        <f>$J$51*$J$37*($D$53*G28+$E$53*H28+$F$53*I28)</f>
        <v>92.369498798177176</v>
      </c>
      <c r="X78" s="29">
        <f t="shared" si="57"/>
        <v>1180.5850060732541</v>
      </c>
    </row>
    <row r="79" spans="1:24">
      <c r="A79" s="87"/>
      <c r="B79" s="48" t="str">
        <f t="shared" si="46"/>
        <v>Z</v>
      </c>
      <c r="C79" s="93"/>
      <c r="D79" s="31">
        <f t="shared" si="51"/>
        <v>1213.5</v>
      </c>
      <c r="E79" s="31">
        <f t="shared" si="47"/>
        <v>3856</v>
      </c>
      <c r="F79" s="31">
        <f t="shared" si="48"/>
        <v>1177.5317897628956</v>
      </c>
      <c r="G79" s="32">
        <f t="shared" si="49"/>
        <v>4073</v>
      </c>
      <c r="H79" s="33">
        <f t="shared" si="52"/>
        <v>-2.9640057879772863E-2</v>
      </c>
      <c r="I79" s="34">
        <f t="shared" si="50"/>
        <v>5.6275933609958528E-2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1153.4141073521123</v>
      </c>
      <c r="V79" s="50">
        <f t="shared" ref="V79:V80" si="62">$J$51*$J$37*($D$52*G29+$E$52*H29+$F$52*I29)</f>
        <v>1177.5317897628956</v>
      </c>
      <c r="W79" s="50">
        <f t="shared" ref="W79:W80" si="63">$J$51*$J$37*($D$53*G29+$E$53*H29+$F$53*I29)</f>
        <v>685.65538660406457</v>
      </c>
      <c r="X79" s="29">
        <f t="shared" si="57"/>
        <v>3016.6012837190724</v>
      </c>
    </row>
    <row r="80" spans="1:24">
      <c r="A80" s="87"/>
      <c r="B80" s="48" t="str">
        <f t="shared" si="46"/>
        <v>X</v>
      </c>
      <c r="C80" s="93"/>
      <c r="D80" s="31">
        <f t="shared" si="51"/>
        <v>579.65000000000009</v>
      </c>
      <c r="E80" s="31">
        <f t="shared" si="47"/>
        <v>6300</v>
      </c>
      <c r="F80" s="31">
        <f t="shared" si="48"/>
        <v>580.94584224839957</v>
      </c>
      <c r="G80" s="32">
        <f t="shared" si="49"/>
        <v>6247</v>
      </c>
      <c r="H80" s="33">
        <f t="shared" si="52"/>
        <v>2.2355598178203095E-3</v>
      </c>
      <c r="I80" s="34">
        <f t="shared" si="50"/>
        <v>-8.4126984126984272E-3</v>
      </c>
      <c r="R80" s="78"/>
      <c r="S80" s="46" t="str">
        <f t="shared" si="53"/>
        <v>D65</v>
      </c>
      <c r="T80" s="79"/>
      <c r="U80" s="50">
        <f t="shared" si="61"/>
        <v>514.83236660596071</v>
      </c>
      <c r="V80" s="50">
        <f t="shared" si="62"/>
        <v>580.94584224839957</v>
      </c>
      <c r="W80" s="50">
        <f t="shared" si="63"/>
        <v>528.40543400377862</v>
      </c>
      <c r="X80" s="29">
        <f t="shared" si="57"/>
        <v>1624.1836428581391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2.9640057879772863E-2</v>
      </c>
      <c r="G81" s="47"/>
      <c r="H81" s="36" t="str">
        <f>I71</f>
        <v>CCT</v>
      </c>
      <c r="I81" s="38">
        <f>MAX(MAX(I72:I80,-MIN(I72:I80)))</f>
        <v>0.11072301781348237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515.9</v>
      </c>
      <c r="E84" s="31">
        <f t="shared" ref="E84:E92" si="67">E72</f>
        <v>2863</v>
      </c>
      <c r="F84" s="31">
        <f t="shared" ref="F84:F92" si="68">V84</f>
        <v>515.89999999999986</v>
      </c>
      <c r="G84" s="32">
        <f t="shared" ref="G84:G92" si="69">getCCTfromXY(U84/X84,V84/X84)</f>
        <v>2863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557.50000000000023</v>
      </c>
      <c r="V84" s="50">
        <f>$J$42*$J$31*($D$43*G22+$E$43*H22+$F$43*I22)</f>
        <v>515.89999999999986</v>
      </c>
      <c r="W84" s="50">
        <f>$J$42*$J$31*($D$44*G22+$E$44*H22+$F$44*I22)</f>
        <v>154.39999999999958</v>
      </c>
      <c r="X84" s="29">
        <f>SUM(U84:W84)</f>
        <v>1227.7999999999997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1213.5</v>
      </c>
      <c r="E85" s="31">
        <f t="shared" si="67"/>
        <v>3856</v>
      </c>
      <c r="F85" s="31">
        <f t="shared" si="68"/>
        <v>1213.5</v>
      </c>
      <c r="G85" s="32">
        <f t="shared" si="69"/>
        <v>3856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1204.5000000000005</v>
      </c>
      <c r="V85" s="50">
        <f t="shared" ref="V85:V86" si="75">$J$42*$J$31*($D$43*G23+$E$43*H23+$F$43*I23)</f>
        <v>1213.5</v>
      </c>
      <c r="W85" s="50">
        <f t="shared" ref="W85:W86" si="76">$J$42*$J$31*($D$44*G23+$E$44*H23+$F$44*I23)</f>
        <v>651.99999999999977</v>
      </c>
      <c r="X85" s="29">
        <f t="shared" ref="X85:X92" si="77">SUM(U85:W85)</f>
        <v>3070</v>
      </c>
    </row>
    <row r="86" spans="1:24">
      <c r="A86" s="87"/>
      <c r="B86" s="48">
        <f t="shared" si="66"/>
        <v>0</v>
      </c>
      <c r="C86" s="93"/>
      <c r="D86" s="31">
        <f t="shared" si="71"/>
        <v>579.65000000000009</v>
      </c>
      <c r="E86" s="31">
        <f t="shared" si="67"/>
        <v>6300</v>
      </c>
      <c r="F86" s="31">
        <f t="shared" si="68"/>
        <v>579.6500000000002</v>
      </c>
      <c r="G86" s="32">
        <f t="shared" si="69"/>
        <v>6300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512.80000000000018</v>
      </c>
      <c r="V86" s="50">
        <f t="shared" si="75"/>
        <v>579.6500000000002</v>
      </c>
      <c r="W86" s="50">
        <f t="shared" si="76"/>
        <v>531.04999999999984</v>
      </c>
      <c r="X86" s="29">
        <f t="shared" si="77"/>
        <v>1623.5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515.9</v>
      </c>
      <c r="E87" s="31">
        <f t="shared" si="67"/>
        <v>2863</v>
      </c>
      <c r="F87" s="31">
        <f t="shared" si="68"/>
        <v>515.9</v>
      </c>
      <c r="G87" s="32">
        <f t="shared" si="69"/>
        <v>2863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557.50000000000045</v>
      </c>
      <c r="V87" s="50">
        <f>$J$45*$J$34*($D$46*G25+$E$46*H25+$F$46*I25)</f>
        <v>515.9</v>
      </c>
      <c r="W87" s="50">
        <f>$J$45*$J$34*($D$47*G25+$E$47*H25+$F$47*I25)</f>
        <v>154.40000000000018</v>
      </c>
      <c r="X87" s="29">
        <f t="shared" si="77"/>
        <v>1227.8000000000006</v>
      </c>
    </row>
    <row r="88" spans="1:24">
      <c r="A88" s="87"/>
      <c r="B88" s="48">
        <f t="shared" si="66"/>
        <v>0</v>
      </c>
      <c r="C88" s="93"/>
      <c r="D88" s="31">
        <f t="shared" si="71"/>
        <v>1213.5</v>
      </c>
      <c r="E88" s="31">
        <f t="shared" si="67"/>
        <v>3856</v>
      </c>
      <c r="F88" s="31">
        <f t="shared" si="68"/>
        <v>1213.4999999999995</v>
      </c>
      <c r="G88" s="32">
        <f t="shared" si="69"/>
        <v>3856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1204.4999999999998</v>
      </c>
      <c r="V88" s="50">
        <f t="shared" ref="V88:V89" si="79">$J$45*$J$34*($D$46*G26+$E$46*H26+$F$46*I26)</f>
        <v>1213.4999999999995</v>
      </c>
      <c r="W88" s="50">
        <f t="shared" ref="W88:W89" si="80">$J$45*$J$34*($D$47*G26+$E$47*H26+$F$47*I26)</f>
        <v>652.00000000000011</v>
      </c>
      <c r="X88" s="29">
        <f t="shared" si="77"/>
        <v>3069.9999999999991</v>
      </c>
    </row>
    <row r="89" spans="1:24">
      <c r="A89" s="87"/>
      <c r="B89" s="48" t="str">
        <f t="shared" si="66"/>
        <v>A</v>
      </c>
      <c r="C89" s="93"/>
      <c r="D89" s="31">
        <f t="shared" si="71"/>
        <v>579.65000000000009</v>
      </c>
      <c r="E89" s="31">
        <f t="shared" si="67"/>
        <v>6300</v>
      </c>
      <c r="F89" s="31">
        <f t="shared" si="68"/>
        <v>579.65000000000009</v>
      </c>
      <c r="G89" s="32">
        <f t="shared" si="69"/>
        <v>6300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512.80000000000007</v>
      </c>
      <c r="V89" s="50">
        <f t="shared" si="79"/>
        <v>579.65000000000009</v>
      </c>
      <c r="W89" s="50">
        <f t="shared" si="80"/>
        <v>531.05000000000007</v>
      </c>
      <c r="X89" s="29">
        <f t="shared" si="77"/>
        <v>1623.5000000000005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515.9</v>
      </c>
      <c r="E90" s="31">
        <f t="shared" si="67"/>
        <v>2863</v>
      </c>
      <c r="F90" s="31">
        <f t="shared" si="68"/>
        <v>515.89999999999964</v>
      </c>
      <c r="G90" s="32">
        <f t="shared" si="69"/>
        <v>2863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557.49999999999977</v>
      </c>
      <c r="V90" s="50">
        <f>$J$48*$J$37*($D$49*G28+$E$49*H28+$F$49*I28)</f>
        <v>515.89999999999964</v>
      </c>
      <c r="W90" s="50">
        <f>$J$48*$J$37*($D$50*G28+$E$50*H28+$F$50*I28)</f>
        <v>154.39999999999966</v>
      </c>
      <c r="X90" s="29">
        <f t="shared" si="77"/>
        <v>1227.799999999999</v>
      </c>
    </row>
    <row r="91" spans="1:24">
      <c r="A91" s="87"/>
      <c r="B91" s="48" t="str">
        <f t="shared" si="66"/>
        <v>D65</v>
      </c>
      <c r="C91" s="93"/>
      <c r="D91" s="31">
        <f t="shared" si="71"/>
        <v>1213.5</v>
      </c>
      <c r="E91" s="31">
        <f t="shared" si="67"/>
        <v>3856</v>
      </c>
      <c r="F91" s="31">
        <f t="shared" si="68"/>
        <v>1213.5000000000007</v>
      </c>
      <c r="G91" s="32">
        <f t="shared" si="69"/>
        <v>3856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1204.5000000000002</v>
      </c>
      <c r="V91" s="50">
        <f t="shared" ref="V91:V92" si="82">$J$48*$J$37*($D$49*G29+$E$49*H29+$F$49*I29)</f>
        <v>1213.5000000000007</v>
      </c>
      <c r="W91" s="50">
        <f t="shared" ref="W91:W92" si="83">$J$48*$J$37*($D$50*G29+$E$50*H29+$F$50*I29)</f>
        <v>652</v>
      </c>
      <c r="X91" s="29">
        <f t="shared" si="77"/>
        <v>3070.0000000000009</v>
      </c>
    </row>
    <row r="92" spans="1:24">
      <c r="A92" s="87"/>
      <c r="B92" s="48" t="str">
        <f t="shared" si="66"/>
        <v>A</v>
      </c>
      <c r="C92" s="93"/>
      <c r="D92" s="31">
        <f t="shared" si="71"/>
        <v>579.65000000000009</v>
      </c>
      <c r="E92" s="31">
        <f t="shared" si="67"/>
        <v>6300</v>
      </c>
      <c r="F92" s="31">
        <f t="shared" si="68"/>
        <v>579.6500000000002</v>
      </c>
      <c r="G92" s="32">
        <f t="shared" si="69"/>
        <v>6300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512.80000000000007</v>
      </c>
      <c r="V92" s="50">
        <f t="shared" si="82"/>
        <v>579.6500000000002</v>
      </c>
      <c r="W92" s="50">
        <f t="shared" si="83"/>
        <v>531.04999999999984</v>
      </c>
      <c r="X92" s="29">
        <f t="shared" si="77"/>
        <v>1623.5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9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1.3092634516445969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81.541918074369917</v>
      </c>
      <c r="N3" s="46">
        <v>0</v>
      </c>
      <c r="O3" s="50">
        <f>G$5-N3*G$7</f>
        <v>131.95144188389372</v>
      </c>
      <c r="P3" s="50">
        <f>H$5-N3*H$7</f>
        <v>50.409523809523805</v>
      </c>
      <c r="Q3" s="50">
        <f>I$5-N3*I$7</f>
        <v>60.716672435675541</v>
      </c>
    </row>
    <row r="4" spans="1:17">
      <c r="C4" s="46" t="s">
        <v>20</v>
      </c>
      <c r="D4" s="7">
        <v>529.4</v>
      </c>
      <c r="E4" s="7">
        <v>1211</v>
      </c>
      <c r="F4" s="7">
        <v>577.79999999999995</v>
      </c>
      <c r="G4" s="50">
        <f>AVERAGE(D4:F4)</f>
        <v>772.73333333333323</v>
      </c>
      <c r="H4" s="50">
        <f>G4</f>
        <v>772.73333333333323</v>
      </c>
      <c r="I4" s="50">
        <f>H4</f>
        <v>772.73333333333323</v>
      </c>
      <c r="K4" s="13" t="str">
        <f>linefmt("Compensation",B12)</f>
        <v>"Compensation",40,</v>
      </c>
      <c r="M4" s="46">
        <f t="shared" si="0"/>
        <v>79.511843244549681</v>
      </c>
      <c r="N4" s="46">
        <f>N3+1</f>
        <v>1</v>
      </c>
      <c r="O4" s="50">
        <f t="shared" ref="O4:O66" si="1">G$5-N4*G$7</f>
        <v>129.83813724040888</v>
      </c>
      <c r="P4" s="50">
        <f t="shared" ref="P4:P66" si="2">H$5-N4*H$7</f>
        <v>50.32629399585921</v>
      </c>
      <c r="Q4" s="50">
        <f t="shared" ref="Q4:Q66" si="3">I$5-N4*I$7</f>
        <v>60.408495492648264</v>
      </c>
    </row>
    <row r="5" spans="1:17">
      <c r="C5" s="46">
        <v>0</v>
      </c>
      <c r="D5" s="9">
        <v>90.4</v>
      </c>
      <c r="E5" s="9">
        <v>79</v>
      </c>
      <c r="F5" s="9">
        <v>45.4</v>
      </c>
      <c r="G5" s="50">
        <f>G$4/D$4*D5</f>
        <v>131.95144188389372</v>
      </c>
      <c r="H5" s="50">
        <f t="shared" ref="H5:I6" si="4">H$4/E$4*E5</f>
        <v>50.409523809523805</v>
      </c>
      <c r="I5" s="50">
        <f t="shared" si="4"/>
        <v>60.716672435675541</v>
      </c>
      <c r="K5" s="14" t="str">
        <f>linefmt("CardGain",J54)</f>
        <v>"CardGain",15.42334,</v>
      </c>
      <c r="M5" s="46">
        <f t="shared" si="0"/>
        <v>77.481768414729444</v>
      </c>
      <c r="N5" s="46">
        <f t="shared" ref="N5:N66" si="5">N4+1</f>
        <v>2</v>
      </c>
      <c r="O5" s="50">
        <f t="shared" si="1"/>
        <v>127.72483259692406</v>
      </c>
      <c r="P5" s="50">
        <f t="shared" si="2"/>
        <v>50.243064182194615</v>
      </c>
      <c r="Q5" s="50">
        <f t="shared" si="3"/>
        <v>60.100318549620994</v>
      </c>
    </row>
    <row r="6" spans="1:17">
      <c r="B6" s="50">
        <f>D5/4</f>
        <v>22.6</v>
      </c>
      <c r="C6" s="7">
        <v>46</v>
      </c>
      <c r="D6" s="9">
        <v>23.8</v>
      </c>
      <c r="E6" s="9">
        <v>73</v>
      </c>
      <c r="F6" s="9">
        <v>34.799999999999997</v>
      </c>
      <c r="G6" s="50">
        <f>G$4/D$4*D6</f>
        <v>34.739428283591486</v>
      </c>
      <c r="H6" s="50">
        <f t="shared" si="4"/>
        <v>46.580952380952375</v>
      </c>
      <c r="I6" s="50">
        <f t="shared" si="4"/>
        <v>46.540533056420898</v>
      </c>
      <c r="K6" s="14" t="str">
        <f>linefmt("Range",1,J34,J37)</f>
        <v>"Range",1,0.9335555,0.9863818,</v>
      </c>
      <c r="M6" s="46">
        <f t="shared" si="0"/>
        <v>75.451693584909208</v>
      </c>
      <c r="N6" s="46">
        <f t="shared" si="5"/>
        <v>3</v>
      </c>
      <c r="O6" s="50">
        <f t="shared" si="1"/>
        <v>125.61152795343922</v>
      </c>
      <c r="P6" s="50">
        <f t="shared" si="2"/>
        <v>50.159834368530014</v>
      </c>
      <c r="Q6" s="50">
        <f t="shared" si="3"/>
        <v>59.792141606593717</v>
      </c>
    </row>
    <row r="7" spans="1:17">
      <c r="C7" s="46">
        <f>C5</f>
        <v>0</v>
      </c>
      <c r="D7" s="46">
        <f t="shared" ref="D7:F8" si="6">D$4/D5</f>
        <v>5.856194690265486</v>
      </c>
      <c r="E7" s="46">
        <f t="shared" si="6"/>
        <v>15.329113924050633</v>
      </c>
      <c r="F7" s="46">
        <f t="shared" si="6"/>
        <v>12.726872246696034</v>
      </c>
      <c r="G7" s="49">
        <f>(G5-G6)/($C6-$C5)</f>
        <v>2.1133046434848315</v>
      </c>
      <c r="H7" s="49">
        <f t="shared" ref="H7:I7" si="7">(H5-H6)/($C6-$C5)</f>
        <v>8.322981366459628E-2</v>
      </c>
      <c r="I7" s="49">
        <f t="shared" si="7"/>
        <v>0.30817694302727483</v>
      </c>
      <c r="K7" s="14" t="str">
        <f>linefmt("CCM" )</f>
        <v>"CCM",</v>
      </c>
      <c r="M7" s="46">
        <f t="shared" si="0"/>
        <v>73.421618755088986</v>
      </c>
      <c r="N7" s="46">
        <f t="shared" si="5"/>
        <v>4</v>
      </c>
      <c r="O7" s="50">
        <f t="shared" si="1"/>
        <v>123.4982233099544</v>
      </c>
      <c r="P7" s="50">
        <f t="shared" si="2"/>
        <v>50.076604554865419</v>
      </c>
      <c r="Q7" s="50">
        <f t="shared" si="3"/>
        <v>59.483964663566439</v>
      </c>
    </row>
    <row r="8" spans="1:17">
      <c r="C8" s="46">
        <f>C6</f>
        <v>46</v>
      </c>
      <c r="D8" s="46">
        <f t="shared" si="6"/>
        <v>22.243697478991596</v>
      </c>
      <c r="E8" s="46">
        <f t="shared" si="6"/>
        <v>16.589041095890412</v>
      </c>
      <c r="F8" s="46">
        <f t="shared" si="6"/>
        <v>16.603448275862068</v>
      </c>
      <c r="K8" s="15" t="str">
        <f>linefmt("",D54,E54,F54)</f>
        <v>0.2918863,1.038168,-0.3499994,</v>
      </c>
      <c r="M8" s="46">
        <f t="shared" si="0"/>
        <v>71.391543925268735</v>
      </c>
      <c r="N8" s="46">
        <f t="shared" si="5"/>
        <v>5</v>
      </c>
      <c r="O8" s="50">
        <f t="shared" si="1"/>
        <v>121.38491866646956</v>
      </c>
      <c r="P8" s="50">
        <f t="shared" si="2"/>
        <v>49.993374741200824</v>
      </c>
      <c r="Q8" s="50">
        <f t="shared" si="3"/>
        <v>59.175787720539169</v>
      </c>
    </row>
    <row r="9" spans="1:17">
      <c r="C9" s="46" t="s">
        <v>23</v>
      </c>
      <c r="D9" s="46">
        <f>(D8-D7)/($C8-$C7)</f>
        <v>0.35625006062448067</v>
      </c>
      <c r="E9" s="46">
        <f>(E8-E7)/($C8-$C7)</f>
        <v>2.7389721126951719E-2</v>
      </c>
      <c r="F9" s="46">
        <f>(F8-F7)/($C8-$C7)</f>
        <v>8.427339193839202E-2</v>
      </c>
      <c r="K9" s="15" t="str">
        <f>linefmt("",D55,E55,F55)</f>
        <v>0.1275379,1,-1.764535E-02,</v>
      </c>
      <c r="M9" s="46">
        <f t="shared" si="0"/>
        <v>69.361469095448513</v>
      </c>
      <c r="N9" s="46">
        <f t="shared" si="5"/>
        <v>6</v>
      </c>
      <c r="O9" s="50">
        <f t="shared" si="1"/>
        <v>119.27161402298474</v>
      </c>
      <c r="P9" s="50">
        <f t="shared" si="2"/>
        <v>49.91014492753623</v>
      </c>
      <c r="Q9" s="50">
        <f t="shared" si="3"/>
        <v>58.867610777511892</v>
      </c>
    </row>
    <row r="10" spans="1:17">
      <c r="K10" s="16" t="str">
        <f>linefmt("",D56,E56,F56)</f>
        <v>-0.4839441,0.3406573,1.17675,</v>
      </c>
      <c r="M10" s="46">
        <f t="shared" si="0"/>
        <v>67.331394265628262</v>
      </c>
      <c r="N10" s="46">
        <f t="shared" si="5"/>
        <v>7</v>
      </c>
      <c r="O10" s="50">
        <f t="shared" si="1"/>
        <v>117.1583093794999</v>
      </c>
      <c r="P10" s="50">
        <f t="shared" si="2"/>
        <v>49.826915113871628</v>
      </c>
      <c r="Q10" s="50">
        <f t="shared" si="3"/>
        <v>58.559433834484615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65.30131943580804</v>
      </c>
      <c r="N11" s="46">
        <f t="shared" si="5"/>
        <v>8</v>
      </c>
      <c r="O11" s="50">
        <f t="shared" si="1"/>
        <v>115.04500473601507</v>
      </c>
      <c r="P11" s="50">
        <f t="shared" si="2"/>
        <v>49.743685300207034</v>
      </c>
      <c r="Q11" s="50">
        <f t="shared" si="3"/>
        <v>58.251256891457345</v>
      </c>
    </row>
    <row r="12" spans="1:17">
      <c r="A12" s="46" t="s">
        <v>16</v>
      </c>
      <c r="B12" s="10">
        <f>MATCH(M2,M3:M66,0)-1</f>
        <v>40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Compensation=40</v>
      </c>
      <c r="M12" s="46">
        <f t="shared" si="0"/>
        <v>63.271244605987796</v>
      </c>
      <c r="N12" s="46">
        <f t="shared" si="5"/>
        <v>9</v>
      </c>
      <c r="O12" s="50">
        <f t="shared" si="1"/>
        <v>112.93170009253024</v>
      </c>
      <c r="P12" s="50">
        <f t="shared" si="2"/>
        <v>49.660455486542439</v>
      </c>
      <c r="Q12" s="50">
        <f t="shared" si="3"/>
        <v>57.943079948430068</v>
      </c>
    </row>
    <row r="13" spans="1:17">
      <c r="A13" s="78" t="s">
        <v>12</v>
      </c>
      <c r="B13" s="79" t="s">
        <v>0</v>
      </c>
      <c r="C13" s="46">
        <v>0</v>
      </c>
      <c r="D13" s="7">
        <v>556</v>
      </c>
      <c r="E13" s="7">
        <v>514.1</v>
      </c>
      <c r="F13" s="7">
        <v>154.4</v>
      </c>
      <c r="G13" s="8">
        <v>86.5</v>
      </c>
      <c r="H13" s="8">
        <v>22.9</v>
      </c>
      <c r="I13" s="8">
        <v>39</v>
      </c>
      <c r="M13" s="46">
        <f t="shared" si="0"/>
        <v>61.241169776167567</v>
      </c>
      <c r="N13" s="46">
        <f t="shared" si="5"/>
        <v>10</v>
      </c>
      <c r="O13" s="50">
        <f t="shared" si="1"/>
        <v>110.81839544904541</v>
      </c>
      <c r="P13" s="50">
        <f t="shared" si="2"/>
        <v>49.577225672877844</v>
      </c>
      <c r="Q13" s="50">
        <f t="shared" si="3"/>
        <v>57.634903005402791</v>
      </c>
    </row>
    <row r="14" spans="1:17">
      <c r="A14" s="78"/>
      <c r="B14" s="79"/>
      <c r="C14" s="46">
        <f>C13+1</f>
        <v>1</v>
      </c>
      <c r="D14" s="7">
        <v>562.1</v>
      </c>
      <c r="E14" s="7">
        <v>519.79999999999995</v>
      </c>
      <c r="F14" s="7">
        <v>154.30000000000001</v>
      </c>
      <c r="G14" s="8">
        <v>91</v>
      </c>
      <c r="H14" s="8">
        <v>25</v>
      </c>
      <c r="I14" s="8">
        <v>42.2</v>
      </c>
      <c r="M14" s="46">
        <f t="shared" si="0"/>
        <v>59.21109494634733</v>
      </c>
      <c r="N14" s="46">
        <f t="shared" si="5"/>
        <v>11</v>
      </c>
      <c r="O14" s="50">
        <f t="shared" si="1"/>
        <v>108.70509080556057</v>
      </c>
      <c r="P14" s="50">
        <f t="shared" si="2"/>
        <v>49.493995859213243</v>
      </c>
      <c r="Q14" s="50">
        <f t="shared" si="3"/>
        <v>57.326726062375521</v>
      </c>
    </row>
    <row r="15" spans="1:17">
      <c r="A15" s="78"/>
      <c r="B15" s="79"/>
      <c r="C15" s="46">
        <f>C14+1</f>
        <v>2</v>
      </c>
      <c r="D15" s="6">
        <f>2*(D13-D14)/(D13+D14)</f>
        <v>-1.0911367498434887E-2</v>
      </c>
      <c r="E15" s="6">
        <f t="shared" ref="E15:F15" si="8">2*(E13-E14)/(E13+E14)</f>
        <v>-1.1026211432440142E-2</v>
      </c>
      <c r="F15" s="6">
        <f t="shared" si="8"/>
        <v>6.4787819889857009E-4</v>
      </c>
      <c r="G15" s="8">
        <v>101.1</v>
      </c>
      <c r="H15" s="8">
        <v>22</v>
      </c>
      <c r="I15" s="8">
        <v>40.299999999999997</v>
      </c>
      <c r="M15" s="46">
        <f t="shared" si="0"/>
        <v>57.181020116527101</v>
      </c>
      <c r="N15" s="46">
        <f t="shared" si="5"/>
        <v>12</v>
      </c>
      <c r="O15" s="50">
        <f t="shared" si="1"/>
        <v>106.59178616207575</v>
      </c>
      <c r="P15" s="50">
        <f t="shared" si="2"/>
        <v>49.410766045548648</v>
      </c>
      <c r="Q15" s="50">
        <f t="shared" si="3"/>
        <v>57.018549119348243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650</v>
      </c>
      <c r="G16" s="8">
        <v>64.7</v>
      </c>
      <c r="H16" s="8">
        <v>72.8</v>
      </c>
      <c r="I16" s="8">
        <v>40.799999999999997</v>
      </c>
      <c r="M16" s="46">
        <f t="shared" si="0"/>
        <v>55.150945286706857</v>
      </c>
      <c r="N16" s="46">
        <f t="shared" si="5"/>
        <v>13</v>
      </c>
      <c r="O16" s="50">
        <f t="shared" si="1"/>
        <v>104.47848151859091</v>
      </c>
      <c r="P16" s="50">
        <f t="shared" si="2"/>
        <v>49.327536231884054</v>
      </c>
      <c r="Q16" s="50">
        <f t="shared" si="3"/>
        <v>56.710372176320966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1211</v>
      </c>
      <c r="F17" s="7">
        <v>649</v>
      </c>
      <c r="G17" s="8">
        <v>69.099999999999994</v>
      </c>
      <c r="H17" s="8">
        <v>77.099999999999994</v>
      </c>
      <c r="I17" s="8">
        <v>44.1</v>
      </c>
      <c r="M17" s="46">
        <f t="shared" si="0"/>
        <v>53.120870456886614</v>
      </c>
      <c r="N17" s="46">
        <f t="shared" si="5"/>
        <v>14</v>
      </c>
      <c r="O17" s="50">
        <f t="shared" si="1"/>
        <v>102.36517687510607</v>
      </c>
      <c r="P17" s="50">
        <f t="shared" si="2"/>
        <v>49.244306418219459</v>
      </c>
      <c r="Q17" s="50">
        <f t="shared" si="3"/>
        <v>56.402195233293696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-8.2610491532424622E-4</v>
      </c>
      <c r="F18" s="6">
        <f t="shared" si="10"/>
        <v>1.539645881447267E-3</v>
      </c>
      <c r="G18" s="8">
        <v>59.2</v>
      </c>
      <c r="H18" s="8">
        <v>69</v>
      </c>
      <c r="I18" s="8">
        <v>42.3</v>
      </c>
      <c r="M18" s="46">
        <f t="shared" si="0"/>
        <v>51.090795627066392</v>
      </c>
      <c r="N18" s="46">
        <f t="shared" si="5"/>
        <v>15</v>
      </c>
      <c r="O18" s="50">
        <f t="shared" si="1"/>
        <v>100.25187223162125</v>
      </c>
      <c r="P18" s="50">
        <f t="shared" si="2"/>
        <v>49.161076604554857</v>
      </c>
      <c r="Q18" s="50">
        <f t="shared" si="3"/>
        <v>56.094018290266419</v>
      </c>
    </row>
    <row r="19" spans="1:21">
      <c r="A19" s="78"/>
      <c r="B19" s="79" t="s">
        <v>2</v>
      </c>
      <c r="C19" s="46">
        <f t="shared" si="9"/>
        <v>0</v>
      </c>
      <c r="D19" s="7">
        <v>511.5</v>
      </c>
      <c r="E19" s="7">
        <v>578.5</v>
      </c>
      <c r="F19" s="7">
        <v>531.20000000000005</v>
      </c>
      <c r="G19" s="8">
        <v>28.3</v>
      </c>
      <c r="H19" s="8">
        <v>34.9</v>
      </c>
      <c r="I19" s="8">
        <v>30.2</v>
      </c>
      <c r="M19" s="46">
        <f t="shared" si="0"/>
        <v>49.060720797246162</v>
      </c>
      <c r="N19" s="46">
        <f t="shared" si="5"/>
        <v>16</v>
      </c>
      <c r="O19" s="50">
        <f t="shared" si="1"/>
        <v>98.138567588136425</v>
      </c>
      <c r="P19" s="50">
        <f t="shared" si="2"/>
        <v>49.077846790890263</v>
      </c>
      <c r="Q19" s="50">
        <f t="shared" si="3"/>
        <v>55.785841347239142</v>
      </c>
    </row>
    <row r="20" spans="1:21">
      <c r="A20" s="78"/>
      <c r="B20" s="79"/>
      <c r="C20" s="46">
        <f t="shared" si="9"/>
        <v>1</v>
      </c>
      <c r="D20" s="7">
        <v>512.79999999999995</v>
      </c>
      <c r="E20" s="7">
        <v>579.6</v>
      </c>
      <c r="F20" s="7">
        <v>531.5</v>
      </c>
      <c r="G20" s="8">
        <v>30.8</v>
      </c>
      <c r="H20" s="8">
        <v>37.9</v>
      </c>
      <c r="I20" s="8">
        <v>32.799999999999997</v>
      </c>
      <c r="M20" s="46">
        <f t="shared" si="0"/>
        <v>47.030645967425919</v>
      </c>
      <c r="N20" s="46">
        <f t="shared" si="5"/>
        <v>17</v>
      </c>
      <c r="O20" s="50">
        <f t="shared" si="1"/>
        <v>96.025262944651587</v>
      </c>
      <c r="P20" s="50">
        <f t="shared" si="2"/>
        <v>48.994616977225668</v>
      </c>
      <c r="Q20" s="50">
        <f t="shared" si="3"/>
        <v>55.477664404211872</v>
      </c>
    </row>
    <row r="21" spans="1:21">
      <c r="A21" s="78"/>
      <c r="B21" s="79"/>
      <c r="C21" s="46">
        <f t="shared" si="9"/>
        <v>2</v>
      </c>
      <c r="D21" s="6">
        <f>2*(D19-D20)/(D19+D20)</f>
        <v>-2.5383188518987689E-3</v>
      </c>
      <c r="E21" s="6">
        <f t="shared" ref="E21:F21" si="11">2*(E19-E20)/(E19+E20)</f>
        <v>-1.8996632415163161E-3</v>
      </c>
      <c r="F21" s="6">
        <f t="shared" si="11"/>
        <v>-5.6459960478019103E-4</v>
      </c>
      <c r="G21" s="8">
        <v>27.4</v>
      </c>
      <c r="H21" s="8">
        <v>35.1</v>
      </c>
      <c r="I21" s="8">
        <v>29.5</v>
      </c>
      <c r="M21" s="46">
        <f t="shared" si="0"/>
        <v>45.000571137605675</v>
      </c>
      <c r="N21" s="46">
        <f t="shared" si="5"/>
        <v>18</v>
      </c>
      <c r="O21" s="50">
        <f t="shared" si="1"/>
        <v>93.911958301166749</v>
      </c>
      <c r="P21" s="50">
        <f t="shared" si="2"/>
        <v>48.911387163561074</v>
      </c>
      <c r="Q21" s="50">
        <f t="shared" si="3"/>
        <v>55.169487461184595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559.04999999999995</v>
      </c>
      <c r="E22" s="46">
        <f t="shared" ref="E22:F22" si="12">(E13+E14)/2</f>
        <v>516.95000000000005</v>
      </c>
      <c r="F22" s="46">
        <f t="shared" si="12"/>
        <v>154.35000000000002</v>
      </c>
      <c r="G22" s="5">
        <f>G13</f>
        <v>86.5</v>
      </c>
      <c r="H22" s="5">
        <f t="shared" ref="H22:I22" si="13">H13</f>
        <v>22.9</v>
      </c>
      <c r="I22" s="5">
        <f t="shared" si="13"/>
        <v>39</v>
      </c>
      <c r="J22" s="99">
        <f>AVERAGE(G22:I24)</f>
        <v>46.677777777777777</v>
      </c>
      <c r="M22" s="46">
        <f t="shared" si="0"/>
        <v>42.970496307785453</v>
      </c>
      <c r="N22" s="46">
        <f t="shared" si="5"/>
        <v>19</v>
      </c>
      <c r="O22" s="50">
        <f t="shared" si="1"/>
        <v>91.798653657681925</v>
      </c>
      <c r="P22" s="50">
        <f t="shared" si="2"/>
        <v>48.828157349896472</v>
      </c>
      <c r="Q22" s="50">
        <f t="shared" si="3"/>
        <v>54.861310518157318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1210.5</v>
      </c>
      <c r="F23" s="46">
        <f>(F16+F17)/2</f>
        <v>649.5</v>
      </c>
      <c r="G23" s="5">
        <f>G16</f>
        <v>64.7</v>
      </c>
      <c r="H23" s="5">
        <f>H16</f>
        <v>72.8</v>
      </c>
      <c r="I23" s="5">
        <f>I16</f>
        <v>40.799999999999997</v>
      </c>
      <c r="J23" s="99"/>
      <c r="M23" s="46">
        <f t="shared" si="0"/>
        <v>40.940421477965224</v>
      </c>
      <c r="N23" s="46">
        <f t="shared" si="5"/>
        <v>20</v>
      </c>
      <c r="O23" s="50">
        <f t="shared" si="1"/>
        <v>89.685349014197101</v>
      </c>
      <c r="P23" s="50">
        <f t="shared" si="2"/>
        <v>48.744927536231877</v>
      </c>
      <c r="Q23" s="50">
        <f t="shared" si="3"/>
        <v>54.553133575130047</v>
      </c>
    </row>
    <row r="24" spans="1:21">
      <c r="A24" s="78"/>
      <c r="B24" s="46" t="str">
        <f>B19</f>
        <v>D65</v>
      </c>
      <c r="C24" s="79"/>
      <c r="D24" s="46">
        <f>(D19+D20)/2</f>
        <v>512.15</v>
      </c>
      <c r="E24" s="46">
        <f>(E19+E20)/2</f>
        <v>579.04999999999995</v>
      </c>
      <c r="F24" s="46">
        <f>(F19+F20)/2</f>
        <v>531.35</v>
      </c>
      <c r="G24" s="5">
        <f>G19</f>
        <v>28.3</v>
      </c>
      <c r="H24" s="5">
        <f>H19</f>
        <v>34.9</v>
      </c>
      <c r="I24" s="5">
        <f>I19</f>
        <v>30.2</v>
      </c>
      <c r="J24" s="99"/>
      <c r="M24" s="46">
        <f t="shared" si="0"/>
        <v>38.91034664814498</v>
      </c>
      <c r="N24" s="46">
        <f t="shared" si="5"/>
        <v>21</v>
      </c>
      <c r="O24" s="50">
        <f t="shared" si="1"/>
        <v>87.572044370712263</v>
      </c>
      <c r="P24" s="50">
        <f t="shared" si="2"/>
        <v>48.661697722567283</v>
      </c>
      <c r="Q24" s="50">
        <f t="shared" si="3"/>
        <v>54.24495663210277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559.04999999999995</v>
      </c>
      <c r="E25" s="46">
        <f t="shared" ref="E25:F25" si="15">(E13+E14)/2</f>
        <v>516.95000000000005</v>
      </c>
      <c r="F25" s="46">
        <f t="shared" si="15"/>
        <v>154.35000000000002</v>
      </c>
      <c r="G25" s="5">
        <f t="shared" ref="G25:I25" si="16">G14</f>
        <v>91</v>
      </c>
      <c r="H25" s="5">
        <f t="shared" si="16"/>
        <v>25</v>
      </c>
      <c r="I25" s="5">
        <f t="shared" si="16"/>
        <v>42.2</v>
      </c>
      <c r="J25" s="99">
        <f>AVERAGE(G25:I27)</f>
        <v>50</v>
      </c>
      <c r="M25" s="46">
        <f t="shared" si="0"/>
        <v>36.880271818324736</v>
      </c>
      <c r="N25" s="46">
        <f t="shared" si="5"/>
        <v>22</v>
      </c>
      <c r="O25" s="50">
        <f t="shared" si="1"/>
        <v>85.458739727227425</v>
      </c>
      <c r="P25" s="50">
        <f t="shared" si="2"/>
        <v>48.578467908902688</v>
      </c>
      <c r="Q25" s="50">
        <f t="shared" si="3"/>
        <v>53.936779689075493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1210.5</v>
      </c>
      <c r="F26" s="46">
        <f>(F16+F17)/2</f>
        <v>649.5</v>
      </c>
      <c r="G26" s="5">
        <f>G17</f>
        <v>69.099999999999994</v>
      </c>
      <c r="H26" s="5">
        <f>H17</f>
        <v>77.099999999999994</v>
      </c>
      <c r="I26" s="5">
        <f>I17</f>
        <v>44.1</v>
      </c>
      <c r="J26" s="99"/>
      <c r="M26" s="46">
        <f t="shared" si="0"/>
        <v>34.850196988504507</v>
      </c>
      <c r="N26" s="46">
        <f t="shared" si="5"/>
        <v>23</v>
      </c>
      <c r="O26" s="50">
        <f t="shared" si="1"/>
        <v>83.345435083742601</v>
      </c>
      <c r="P26" s="50">
        <f t="shared" si="2"/>
        <v>48.495238095238093</v>
      </c>
      <c r="Q26" s="50">
        <f t="shared" si="3"/>
        <v>53.628602746048216</v>
      </c>
    </row>
    <row r="27" spans="1:21">
      <c r="A27" s="78"/>
      <c r="B27" s="46" t="str">
        <f>B19</f>
        <v>D65</v>
      </c>
      <c r="C27" s="79"/>
      <c r="D27" s="46">
        <f>(D19+D20)/2</f>
        <v>512.15</v>
      </c>
      <c r="E27" s="46">
        <f>(E19+E20)/2</f>
        <v>579.04999999999995</v>
      </c>
      <c r="F27" s="46">
        <f>(F19+F20)/2</f>
        <v>531.35</v>
      </c>
      <c r="G27" s="5">
        <f>G20</f>
        <v>30.8</v>
      </c>
      <c r="H27" s="5">
        <f>H20</f>
        <v>37.9</v>
      </c>
      <c r="I27" s="5">
        <f>I20</f>
        <v>32.799999999999997</v>
      </c>
      <c r="J27" s="99"/>
      <c r="M27" s="46">
        <f t="shared" si="0"/>
        <v>32.820122158684271</v>
      </c>
      <c r="N27" s="46">
        <f t="shared" si="5"/>
        <v>24</v>
      </c>
      <c r="O27" s="50">
        <f t="shared" si="1"/>
        <v>81.232130440257762</v>
      </c>
      <c r="P27" s="50">
        <f t="shared" si="2"/>
        <v>48.412008281573492</v>
      </c>
      <c r="Q27" s="50">
        <f t="shared" si="3"/>
        <v>53.320425803020946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559.04999999999995</v>
      </c>
      <c r="E28" s="46">
        <f t="shared" ref="E28:F28" si="17">(E13+E14)/2</f>
        <v>516.95000000000005</v>
      </c>
      <c r="F28" s="46">
        <f t="shared" si="17"/>
        <v>154.35000000000002</v>
      </c>
      <c r="G28" s="5">
        <f t="shared" ref="G28:I28" si="18">G15</f>
        <v>101.1</v>
      </c>
      <c r="H28" s="5">
        <f t="shared" si="18"/>
        <v>22</v>
      </c>
      <c r="I28" s="5">
        <f t="shared" si="18"/>
        <v>40.299999999999997</v>
      </c>
      <c r="J28" s="99">
        <f>AVERAGE(G28:I30)</f>
        <v>47.322222222222223</v>
      </c>
      <c r="M28" s="46">
        <f t="shared" si="0"/>
        <v>30.790047328864041</v>
      </c>
      <c r="N28" s="46">
        <f t="shared" si="5"/>
        <v>25</v>
      </c>
      <c r="O28" s="50">
        <f t="shared" si="1"/>
        <v>79.118825796772938</v>
      </c>
      <c r="P28" s="50">
        <f t="shared" si="2"/>
        <v>48.328778467908897</v>
      </c>
      <c r="Q28" s="50">
        <f t="shared" si="3"/>
        <v>53.012248859993669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1210.5</v>
      </c>
      <c r="F29" s="46">
        <f t="shared" si="20"/>
        <v>649.5</v>
      </c>
      <c r="G29" s="5">
        <f t="shared" ref="G29:I29" si="21">G18</f>
        <v>59.2</v>
      </c>
      <c r="H29" s="5">
        <f t="shared" si="21"/>
        <v>69</v>
      </c>
      <c r="I29" s="5">
        <f t="shared" si="21"/>
        <v>42.3</v>
      </c>
      <c r="J29" s="99"/>
      <c r="M29" s="46">
        <f t="shared" si="0"/>
        <v>28.759972499043798</v>
      </c>
      <c r="N29" s="46">
        <f t="shared" si="5"/>
        <v>26</v>
      </c>
      <c r="O29" s="50">
        <f t="shared" si="1"/>
        <v>77.0055211532881</v>
      </c>
      <c r="P29" s="50">
        <f t="shared" si="2"/>
        <v>48.245548654244303</v>
      </c>
      <c r="Q29" s="50">
        <f t="shared" si="3"/>
        <v>52.704071916966399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512.15</v>
      </c>
      <c r="E30" s="46">
        <f t="shared" si="23"/>
        <v>579.04999999999995</v>
      </c>
      <c r="F30" s="46">
        <f t="shared" si="23"/>
        <v>531.35</v>
      </c>
      <c r="G30" s="5">
        <f t="shared" ref="G30:I30" si="24">G21</f>
        <v>27.4</v>
      </c>
      <c r="H30" s="5">
        <f t="shared" si="24"/>
        <v>35.1</v>
      </c>
      <c r="I30" s="5">
        <f t="shared" si="24"/>
        <v>29.5</v>
      </c>
      <c r="J30" s="99"/>
      <c r="M30" s="46">
        <f t="shared" si="0"/>
        <v>26.729897669223554</v>
      </c>
      <c r="N30" s="46">
        <f t="shared" si="5"/>
        <v>27</v>
      </c>
      <c r="O30" s="50">
        <f t="shared" si="1"/>
        <v>74.892216509803262</v>
      </c>
      <c r="P30" s="50">
        <f t="shared" si="2"/>
        <v>48.162318840579708</v>
      </c>
      <c r="Q30" s="50">
        <f t="shared" si="3"/>
        <v>52.395894973939122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559.04999999999995</v>
      </c>
      <c r="E31" s="46">
        <f t="shared" si="25"/>
        <v>516.95000000000005</v>
      </c>
      <c r="F31" s="46">
        <f t="shared" si="25"/>
        <v>154.35000000000002</v>
      </c>
      <c r="G31" s="5">
        <f t="shared" ref="G31:I33" si="26">G22*$J$31</f>
        <v>86.5</v>
      </c>
      <c r="H31" s="5">
        <f t="shared" si="26"/>
        <v>22.9</v>
      </c>
      <c r="I31" s="5">
        <f t="shared" si="26"/>
        <v>39</v>
      </c>
      <c r="J31" s="96">
        <f>J$22/J22</f>
        <v>1</v>
      </c>
      <c r="M31" s="46">
        <f t="shared" si="0"/>
        <v>24.699822839403332</v>
      </c>
      <c r="N31" s="46">
        <f t="shared" si="5"/>
        <v>28</v>
      </c>
      <c r="O31" s="50">
        <f t="shared" si="1"/>
        <v>72.778911866318438</v>
      </c>
      <c r="P31" s="50">
        <f t="shared" si="2"/>
        <v>48.079089026915106</v>
      </c>
      <c r="Q31" s="50">
        <f t="shared" si="3"/>
        <v>52.087718030911844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1210.5</v>
      </c>
      <c r="F32" s="46">
        <f t="shared" si="27"/>
        <v>649.5</v>
      </c>
      <c r="G32" s="5">
        <f t="shared" si="26"/>
        <v>64.7</v>
      </c>
      <c r="H32" s="5">
        <f t="shared" si="26"/>
        <v>72.8</v>
      </c>
      <c r="I32" s="5">
        <f t="shared" si="26"/>
        <v>40.799999999999997</v>
      </c>
      <c r="J32" s="96"/>
      <c r="M32" s="46">
        <f t="shared" si="0"/>
        <v>22.669748009583103</v>
      </c>
      <c r="N32" s="46">
        <f t="shared" si="5"/>
        <v>29</v>
      </c>
      <c r="O32" s="50">
        <f t="shared" si="1"/>
        <v>70.665607222833614</v>
      </c>
      <c r="P32" s="50">
        <f t="shared" si="2"/>
        <v>47.995859213250512</v>
      </c>
      <c r="Q32" s="50">
        <f t="shared" si="3"/>
        <v>51.779541087884567</v>
      </c>
    </row>
    <row r="33" spans="1:17">
      <c r="A33" s="78"/>
      <c r="B33" s="46" t="str">
        <f t="shared" si="27"/>
        <v>D65</v>
      </c>
      <c r="C33" s="79"/>
      <c r="D33" s="46">
        <f t="shared" si="27"/>
        <v>512.15</v>
      </c>
      <c r="E33" s="46">
        <f t="shared" si="27"/>
        <v>579.04999999999995</v>
      </c>
      <c r="F33" s="46">
        <f t="shared" si="27"/>
        <v>531.35</v>
      </c>
      <c r="G33" s="5">
        <f t="shared" si="26"/>
        <v>28.3</v>
      </c>
      <c r="H33" s="5">
        <f t="shared" si="26"/>
        <v>34.9</v>
      </c>
      <c r="I33" s="5">
        <f t="shared" si="26"/>
        <v>30.2</v>
      </c>
      <c r="J33" s="96"/>
      <c r="M33" s="46">
        <f t="shared" si="0"/>
        <v>20.639673179762859</v>
      </c>
      <c r="N33" s="46">
        <f t="shared" si="5"/>
        <v>30</v>
      </c>
      <c r="O33" s="50">
        <f t="shared" si="1"/>
        <v>68.552302579348776</v>
      </c>
      <c r="P33" s="50">
        <f t="shared" si="2"/>
        <v>47.912629399585917</v>
      </c>
      <c r="Q33" s="50">
        <f t="shared" si="3"/>
        <v>51.471364144857297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559.04999999999995</v>
      </c>
      <c r="E34" s="46">
        <f t="shared" si="27"/>
        <v>516.95000000000005</v>
      </c>
      <c r="F34" s="46">
        <f t="shared" si="27"/>
        <v>154.35000000000002</v>
      </c>
      <c r="G34" s="5">
        <f t="shared" ref="G34:I36" si="28">G25*$J$34</f>
        <v>84.953555555555553</v>
      </c>
      <c r="H34" s="5">
        <f t="shared" si="28"/>
        <v>23.338888888888889</v>
      </c>
      <c r="I34" s="5">
        <f t="shared" si="28"/>
        <v>39.396044444444449</v>
      </c>
      <c r="J34" s="96">
        <f>J$22/J25</f>
        <v>0.93355555555555558</v>
      </c>
      <c r="M34" s="46">
        <f t="shared" si="0"/>
        <v>18.60959834994263</v>
      </c>
      <c r="N34" s="46">
        <f t="shared" si="5"/>
        <v>31</v>
      </c>
      <c r="O34" s="50">
        <f t="shared" si="1"/>
        <v>66.438997935863952</v>
      </c>
      <c r="P34" s="50">
        <f t="shared" si="2"/>
        <v>47.829399585921323</v>
      </c>
      <c r="Q34" s="50">
        <f t="shared" si="3"/>
        <v>51.16318720183002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1210.5</v>
      </c>
      <c r="F35" s="46">
        <f t="shared" si="27"/>
        <v>649.5</v>
      </c>
      <c r="G35" s="5">
        <f t="shared" si="28"/>
        <v>64.508688888888884</v>
      </c>
      <c r="H35" s="5">
        <f t="shared" si="28"/>
        <v>71.977133333333327</v>
      </c>
      <c r="I35" s="5">
        <f t="shared" si="28"/>
        <v>41.169800000000002</v>
      </c>
      <c r="J35" s="96"/>
      <c r="M35" s="46">
        <f t="shared" si="0"/>
        <v>16.579523520122393</v>
      </c>
      <c r="N35" s="46">
        <f t="shared" si="5"/>
        <v>32</v>
      </c>
      <c r="O35" s="50">
        <f t="shared" si="1"/>
        <v>64.325693292379114</v>
      </c>
      <c r="P35" s="50">
        <f t="shared" si="2"/>
        <v>47.746169772256721</v>
      </c>
      <c r="Q35" s="50">
        <f t="shared" si="3"/>
        <v>50.85501025880275</v>
      </c>
    </row>
    <row r="36" spans="1:17">
      <c r="A36" s="78"/>
      <c r="B36" s="46" t="str">
        <f t="shared" si="27"/>
        <v>D65</v>
      </c>
      <c r="C36" s="79"/>
      <c r="D36" s="46">
        <f t="shared" si="27"/>
        <v>512.15</v>
      </c>
      <c r="E36" s="46">
        <f t="shared" si="27"/>
        <v>579.04999999999995</v>
      </c>
      <c r="F36" s="46">
        <f t="shared" si="27"/>
        <v>531.35</v>
      </c>
      <c r="G36" s="5">
        <f t="shared" si="28"/>
        <v>28.753511111111113</v>
      </c>
      <c r="H36" s="5">
        <f t="shared" si="28"/>
        <v>35.381755555555557</v>
      </c>
      <c r="I36" s="5">
        <f t="shared" si="28"/>
        <v>30.62062222222222</v>
      </c>
      <c r="J36" s="96"/>
      <c r="M36" s="46">
        <f t="shared" si="0"/>
        <v>14.54944869030215</v>
      </c>
      <c r="N36" s="46">
        <f t="shared" si="5"/>
        <v>33</v>
      </c>
      <c r="O36" s="50">
        <f t="shared" si="1"/>
        <v>62.212388648894276</v>
      </c>
      <c r="P36" s="50">
        <f t="shared" si="2"/>
        <v>47.662939958592126</v>
      </c>
      <c r="Q36" s="50">
        <f t="shared" si="3"/>
        <v>50.546833315775473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559.04999999999995</v>
      </c>
      <c r="E37" s="46">
        <f t="shared" si="27"/>
        <v>516.95000000000005</v>
      </c>
      <c r="F37" s="46">
        <f t="shared" si="27"/>
        <v>154.35000000000002</v>
      </c>
      <c r="G37" s="5">
        <f t="shared" ref="G37:I39" si="29">G28*$J$37</f>
        <v>99.723197933787262</v>
      </c>
      <c r="H37" s="5">
        <f t="shared" si="29"/>
        <v>21.700399154731155</v>
      </c>
      <c r="I37" s="5">
        <f t="shared" si="29"/>
        <v>39.751185724348431</v>
      </c>
      <c r="J37" s="96">
        <f>J$22/J28</f>
        <v>0.98638177976050712</v>
      </c>
      <c r="K37" s="51" t="str">
        <f>CHAR(34) &amp; "EEpromVersion" &amp;CHAR(34)  &amp; ",3,"</f>
        <v>"EEpromVersion",3,</v>
      </c>
      <c r="M37" s="46">
        <f t="shared" si="0"/>
        <v>12.51937386048192</v>
      </c>
      <c r="N37" s="46">
        <f t="shared" si="5"/>
        <v>34</v>
      </c>
      <c r="O37" s="50">
        <f t="shared" si="1"/>
        <v>60.099084005409452</v>
      </c>
      <c r="P37" s="50">
        <f t="shared" si="2"/>
        <v>47.579710144927532</v>
      </c>
      <c r="Q37" s="50">
        <f t="shared" si="3"/>
        <v>50.238656372748196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1210.5</v>
      </c>
      <c r="F38" s="46">
        <f t="shared" si="27"/>
        <v>649.5</v>
      </c>
      <c r="G38" s="5">
        <f t="shared" si="29"/>
        <v>58.393801361822021</v>
      </c>
      <c r="H38" s="5">
        <f t="shared" si="29"/>
        <v>68.060342803474995</v>
      </c>
      <c r="I38" s="5">
        <f t="shared" si="29"/>
        <v>41.723949283869452</v>
      </c>
      <c r="J38" s="96"/>
      <c r="K38" s="52" t="str">
        <f>K4</f>
        <v>"Compensation",40,</v>
      </c>
      <c r="M38" s="46">
        <f t="shared" si="0"/>
        <v>10.489299030661677</v>
      </c>
      <c r="N38" s="46">
        <f t="shared" si="5"/>
        <v>35</v>
      </c>
      <c r="O38" s="50">
        <f t="shared" si="1"/>
        <v>57.985779361924614</v>
      </c>
      <c r="P38" s="50">
        <f t="shared" si="2"/>
        <v>47.496480331262937</v>
      </c>
      <c r="Q38" s="50">
        <f t="shared" si="3"/>
        <v>49.930479429720918</v>
      </c>
    </row>
    <row r="39" spans="1:17">
      <c r="A39" s="78"/>
      <c r="B39" s="46" t="str">
        <f t="shared" si="27"/>
        <v>D65</v>
      </c>
      <c r="C39" s="79"/>
      <c r="D39" s="46">
        <f t="shared" si="27"/>
        <v>512.15</v>
      </c>
      <c r="E39" s="46">
        <f t="shared" si="27"/>
        <v>579.04999999999995</v>
      </c>
      <c r="F39" s="46">
        <f t="shared" si="27"/>
        <v>531.35</v>
      </c>
      <c r="G39" s="5">
        <f t="shared" si="29"/>
        <v>27.026860765437892</v>
      </c>
      <c r="H39" s="5">
        <f t="shared" si="29"/>
        <v>34.6220004695938</v>
      </c>
      <c r="I39" s="5">
        <f t="shared" si="29"/>
        <v>29.098262502934961</v>
      </c>
      <c r="J39" s="96"/>
      <c r="K39" s="53" t="str">
        <f>linefmt("CardGain",J42,J45,J48)</f>
        <v>"CardGain",14.72087,15.2597,17.6345,</v>
      </c>
      <c r="M39" s="46">
        <f t="shared" si="0"/>
        <v>8.4592242008414544</v>
      </c>
      <c r="N39" s="46">
        <f t="shared" si="5"/>
        <v>36</v>
      </c>
      <c r="O39" s="50">
        <f t="shared" si="1"/>
        <v>55.87247471843979</v>
      </c>
      <c r="P39" s="50">
        <f t="shared" si="2"/>
        <v>47.413250517598335</v>
      </c>
      <c r="Q39" s="50">
        <f t="shared" si="3"/>
        <v>49.622302486693648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"Range",1,0.9335555,0.9863818,</v>
      </c>
      <c r="M40" s="46">
        <f t="shared" si="0"/>
        <v>6.4291493710212109</v>
      </c>
      <c r="N40" s="46">
        <f t="shared" si="5"/>
        <v>37</v>
      </c>
      <c r="O40" s="50">
        <f t="shared" si="1"/>
        <v>53.759170074954952</v>
      </c>
      <c r="P40" s="50">
        <f t="shared" si="2"/>
        <v>47.330020703933741</v>
      </c>
      <c r="Q40" s="50">
        <f t="shared" si="3"/>
        <v>49.314125543666371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4.3990745412009815</v>
      </c>
      <c r="N41" s="46">
        <f t="shared" si="5"/>
        <v>38</v>
      </c>
      <c r="O41" s="50">
        <f t="shared" si="1"/>
        <v>51.645865431470128</v>
      </c>
      <c r="P41" s="50">
        <f t="shared" si="2"/>
        <v>47.246790890269146</v>
      </c>
      <c r="Q41" s="50">
        <f t="shared" si="3"/>
        <v>49.005948600639101</v>
      </c>
    </row>
    <row r="42" spans="1:17">
      <c r="A42" s="4"/>
      <c r="B42" s="46" t="s">
        <v>3</v>
      </c>
      <c r="C42" s="79">
        <f>C31</f>
        <v>0</v>
      </c>
      <c r="D42" s="46">
        <f>I42/$H$43</f>
        <v>0.31536160623671844</v>
      </c>
      <c r="E42" s="46">
        <f>H42/$H$43</f>
        <v>1.0241624108452716</v>
      </c>
      <c r="F42" s="46">
        <f>G42/$H$43</f>
        <v>-0.32706186450534253</v>
      </c>
      <c r="G42" s="46">
        <f t="array" ref="G42:I42">LINEST($D31:$D33,$G31:$I33,FALSE)</f>
        <v>-4.8146364873919216</v>
      </c>
      <c r="H42" s="46">
        <v>15.076565773660759</v>
      </c>
      <c r="I42" s="46">
        <v>4.6423984600168087</v>
      </c>
      <c r="J42" s="97">
        <f>H43</f>
        <v>14.720873968824558</v>
      </c>
      <c r="K42" s="53" t="str">
        <f t="shared" ref="K42:K50" si="30">linefmt("",D42,E42,F42)</f>
        <v>0.3153616,1.024162,-0.3270619,</v>
      </c>
      <c r="M42" s="46">
        <f t="shared" si="0"/>
        <v>2.3689997113807379</v>
      </c>
      <c r="N42" s="46">
        <f t="shared" si="5"/>
        <v>39</v>
      </c>
      <c r="O42" s="50">
        <f t="shared" si="1"/>
        <v>49.53256078798529</v>
      </c>
      <c r="P42" s="50">
        <f t="shared" si="2"/>
        <v>47.163561076604552</v>
      </c>
      <c r="Q42" s="50">
        <f t="shared" si="3"/>
        <v>48.697771657611824</v>
      </c>
    </row>
    <row r="43" spans="1:17">
      <c r="A43" s="4"/>
      <c r="B43" s="46" t="s">
        <v>4</v>
      </c>
      <c r="C43" s="79"/>
      <c r="D43" s="46">
        <f>I43/$H$43</f>
        <v>0.12990234014075766</v>
      </c>
      <c r="E43" s="46">
        <f>H43/$H$43</f>
        <v>1</v>
      </c>
      <c r="F43" s="46">
        <f>G43/$H$43</f>
        <v>2.513457594130732E-2</v>
      </c>
      <c r="G43" s="46">
        <f t="array" ref="G43:I43">LINEST($E31:$E33,$G31:$I33,FALSE)</f>
        <v>0.37000292469183493</v>
      </c>
      <c r="H43" s="46">
        <v>14.720873968824558</v>
      </c>
      <c r="I43" s="46">
        <v>1.9122759774674729</v>
      </c>
      <c r="J43" s="97"/>
      <c r="K43" s="53" t="str">
        <f t="shared" si="30"/>
        <v>0.1299023,1,2.513458E-02,</v>
      </c>
      <c r="M43" s="46">
        <f t="shared" si="0"/>
        <v>1.3092634516445969</v>
      </c>
      <c r="N43" s="46">
        <f t="shared" si="5"/>
        <v>40</v>
      </c>
      <c r="O43" s="50">
        <f t="shared" si="1"/>
        <v>47.419256144500466</v>
      </c>
      <c r="P43" s="50">
        <f t="shared" si="2"/>
        <v>47.08033126293995</v>
      </c>
      <c r="Q43" s="50">
        <f t="shared" si="3"/>
        <v>48.389594714584547</v>
      </c>
    </row>
    <row r="44" spans="1:17">
      <c r="A44" s="4"/>
      <c r="B44" s="46" t="s">
        <v>5</v>
      </c>
      <c r="C44" s="79"/>
      <c r="D44" s="46">
        <f>I44/$H$43</f>
        <v>-0.55116363085148501</v>
      </c>
      <c r="E44" s="46">
        <f>H44/$H$43</f>
        <v>0.38769466580185014</v>
      </c>
      <c r="F44" s="46">
        <f>G44/$H$43</f>
        <v>1.2636553175942122</v>
      </c>
      <c r="G44" s="46">
        <f t="array" ref="G44:I44">LINEST($F$31:$F$33,$G31:$I33,FALSE)</f>
        <v>18.602110670339368</v>
      </c>
      <c r="H44" s="46">
        <v>5.707204313654592</v>
      </c>
      <c r="I44" s="46">
        <v>-8.1136103459644531</v>
      </c>
      <c r="J44" s="97"/>
      <c r="K44" s="53" t="str">
        <f t="shared" si="30"/>
        <v>-0.5511636,0.3876947,1.263655,</v>
      </c>
      <c r="M44" s="46">
        <f t="shared" si="0"/>
        <v>2.7754662705416422</v>
      </c>
      <c r="N44" s="46">
        <f t="shared" si="5"/>
        <v>41</v>
      </c>
      <c r="O44" s="50">
        <f t="shared" si="1"/>
        <v>45.305951501015628</v>
      </c>
      <c r="P44" s="50">
        <f t="shared" si="2"/>
        <v>46.997101449275355</v>
      </c>
      <c r="Q44" s="50">
        <f t="shared" si="3"/>
        <v>48.08141777155727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0.33595137930009045</v>
      </c>
      <c r="E45" s="46">
        <f>H45/$H$46</f>
        <v>1.0213844286129274</v>
      </c>
      <c r="F45" s="46">
        <f>G45/$H$46</f>
        <v>-0.39959695203191603</v>
      </c>
      <c r="G45" s="46">
        <f t="array" ref="G45:I45">LINEST($D34:$D36,$G34:$I36,FALSE)</f>
        <v>-6.0977314567205676</v>
      </c>
      <c r="H45" s="46">
        <v>15.586024688346889</v>
      </c>
      <c r="I45" s="46">
        <v>5.126518816197593</v>
      </c>
      <c r="J45" s="97">
        <f>H46</f>
        <v>15.259704624157239</v>
      </c>
      <c r="K45" s="53" t="str">
        <f t="shared" si="30"/>
        <v>0.3359514,1.021384,-0.399597,</v>
      </c>
      <c r="M45" s="46">
        <f t="shared" si="0"/>
        <v>4.5805939709991961</v>
      </c>
      <c r="N45" s="46">
        <f t="shared" si="5"/>
        <v>42</v>
      </c>
      <c r="O45" s="50">
        <f t="shared" si="1"/>
        <v>43.192646857530804</v>
      </c>
      <c r="P45" s="50">
        <f t="shared" si="2"/>
        <v>46.913871635610761</v>
      </c>
      <c r="Q45" s="50">
        <f t="shared" si="3"/>
        <v>47.77324082853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0.15092568135021323</v>
      </c>
      <c r="E46" s="46">
        <f>H46/$H$46</f>
        <v>1</v>
      </c>
      <c r="F46" s="46">
        <f>G46/$H$46</f>
        <v>-5.7969262162521393E-2</v>
      </c>
      <c r="G46" s="46">
        <f t="array" ref="G46:I46">LINEST($E34:$E36,$G34:$I36,FALSE)</f>
        <v>-0.88459381788041092</v>
      </c>
      <c r="H46" s="46">
        <v>15.259704624157239</v>
      </c>
      <c r="I46" s="46">
        <v>2.3030813176039309</v>
      </c>
      <c r="J46" s="97"/>
      <c r="K46" s="53" t="str">
        <f t="shared" si="30"/>
        <v>0.1509257,1,-5.796926E-02,</v>
      </c>
      <c r="M46" s="46">
        <f t="shared" si="0"/>
        <v>6.3857216714567571</v>
      </c>
      <c r="N46" s="46">
        <f t="shared" si="5"/>
        <v>43</v>
      </c>
      <c r="O46" s="50">
        <f t="shared" si="1"/>
        <v>41.079342214045965</v>
      </c>
      <c r="P46" s="50">
        <f t="shared" si="2"/>
        <v>46.830641821946166</v>
      </c>
      <c r="Q46" s="50">
        <f t="shared" si="3"/>
        <v>47.465063885502722</v>
      </c>
    </row>
    <row r="47" spans="1:17">
      <c r="A47" s="4"/>
      <c r="B47" s="46" t="str">
        <f t="shared" si="31"/>
        <v>Z</v>
      </c>
      <c r="C47" s="79"/>
      <c r="D47" s="46">
        <f>I47/$H$46</f>
        <v>-0.53951446405071424</v>
      </c>
      <c r="E47" s="46">
        <f>H47/$H$46</f>
        <v>0.39714032116331321</v>
      </c>
      <c r="F47" s="46">
        <f>G47/$H$46</f>
        <v>1.1848837493426454</v>
      </c>
      <c r="G47" s="46">
        <f t="array" ref="G47:I47">LINEST($F$31:$F$33,$G34:$I36,FALSE)</f>
        <v>18.080976028932731</v>
      </c>
      <c r="H47" s="46">
        <v>6.0602439952951013</v>
      </c>
      <c r="I47" s="46">
        <v>-8.232831361874398</v>
      </c>
      <c r="J47" s="97"/>
      <c r="K47" s="53" t="str">
        <f t="shared" si="30"/>
        <v>-0.5395145,0.3971403,1.184884,</v>
      </c>
      <c r="M47" s="46">
        <f t="shared" si="0"/>
        <v>8.190849371914311</v>
      </c>
      <c r="N47" s="46">
        <f t="shared" si="5"/>
        <v>44</v>
      </c>
      <c r="O47" s="50">
        <f t="shared" si="1"/>
        <v>38.966037570561141</v>
      </c>
      <c r="P47" s="50">
        <f t="shared" si="2"/>
        <v>46.747412008281572</v>
      </c>
      <c r="Q47" s="50">
        <f t="shared" si="3"/>
        <v>47.156886942475452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0.32014997439915366</v>
      </c>
      <c r="E48" s="46">
        <f>H48/$H$49</f>
        <v>1.0969713773784131</v>
      </c>
      <c r="F48" s="46">
        <f>G48/$H$49</f>
        <v>-0.60448619176487672</v>
      </c>
      <c r="G48" s="46">
        <f t="array" ref="G48:I48">LINEST($D37:$D39,$G37:$I39,FALSE)</f>
        <v>-10.659814492816816</v>
      </c>
      <c r="H48" s="46">
        <v>19.344546734215534</v>
      </c>
      <c r="I48" s="46">
        <v>5.6456861769018909</v>
      </c>
      <c r="J48" s="97">
        <f>H49</f>
        <v>17.634504539622466</v>
      </c>
      <c r="K48" s="53" t="str">
        <f t="shared" si="30"/>
        <v>0.32015,1.096971,-0.6044862,</v>
      </c>
      <c r="M48" s="46">
        <f t="shared" si="0"/>
        <v>9.9959770723718719</v>
      </c>
      <c r="N48" s="46">
        <f t="shared" si="5"/>
        <v>45</v>
      </c>
      <c r="O48" s="50">
        <f t="shared" si="1"/>
        <v>36.852732927076303</v>
      </c>
      <c r="P48" s="50">
        <f t="shared" si="2"/>
        <v>46.66418219461697</v>
      </c>
      <c r="Q48" s="50">
        <f t="shared" si="3"/>
        <v>46.848709999448175</v>
      </c>
    </row>
    <row r="49" spans="1:24">
      <c r="A49" s="4"/>
      <c r="B49" s="46" t="str">
        <f t="shared" si="31"/>
        <v>Y</v>
      </c>
      <c r="C49" s="79"/>
      <c r="D49" s="46">
        <f>I49/$H$49</f>
        <v>0.16008919955978729</v>
      </c>
      <c r="E49" s="46">
        <f>H49/$H$49</f>
        <v>1</v>
      </c>
      <c r="F49" s="46">
        <f>G49/$H$49</f>
        <v>-0.21006462722345826</v>
      </c>
      <c r="G49" s="46">
        <f t="array" ref="G49:I49">LINEST($E37:$E39,$G37:$I39,FALSE)</f>
        <v>-3.7043856223861757</v>
      </c>
      <c r="H49" s="46">
        <v>17.634504539622466</v>
      </c>
      <c r="I49" s="46">
        <v>2.8230937163815959</v>
      </c>
      <c r="J49" s="97"/>
      <c r="K49" s="53" t="str">
        <f t="shared" si="30"/>
        <v>0.1600892,1,-0.2100646,</v>
      </c>
      <c r="M49" s="46">
        <f t="shared" si="0"/>
        <v>11.841524097360896</v>
      </c>
      <c r="N49" s="46">
        <f t="shared" si="5"/>
        <v>46</v>
      </c>
      <c r="O49" s="50">
        <f t="shared" si="1"/>
        <v>34.739428283591479</v>
      </c>
      <c r="P49" s="50">
        <f t="shared" si="2"/>
        <v>46.580952380952375</v>
      </c>
      <c r="Q49" s="50">
        <f t="shared" si="3"/>
        <v>46.540533056420898</v>
      </c>
    </row>
    <row r="50" spans="1:24">
      <c r="A50" s="4"/>
      <c r="B50" s="46" t="str">
        <f t="shared" si="31"/>
        <v>Z</v>
      </c>
      <c r="C50" s="79"/>
      <c r="D50" s="46">
        <f>I50/$H$49</f>
        <v>-0.45803578202126632</v>
      </c>
      <c r="E50" s="46">
        <f>H50/$H$49</f>
        <v>0.1423694508810304</v>
      </c>
      <c r="F50" s="46">
        <f>G50/$H$49</f>
        <v>1.2915349536491281</v>
      </c>
      <c r="G50" s="46">
        <f t="array" ref="G50:I50">LINEST($F$31:$F$33,$G37:$I39,FALSE)</f>
        <v>22.775579003206641</v>
      </c>
      <c r="H50" s="46">
        <v>2.5106147278650881</v>
      </c>
      <c r="I50" s="46">
        <v>-8.0772340773635474</v>
      </c>
      <c r="J50" s="97"/>
      <c r="K50" s="54" t="str">
        <f t="shared" si="30"/>
        <v>-0.4580358,0.1423694,1.291535,</v>
      </c>
      <c r="M50" s="46">
        <f t="shared" si="0"/>
        <v>13.87159892718114</v>
      </c>
      <c r="N50" s="46">
        <f t="shared" si="5"/>
        <v>47</v>
      </c>
      <c r="O50" s="50">
        <f t="shared" si="1"/>
        <v>32.626123640106641</v>
      </c>
      <c r="P50" s="50">
        <f t="shared" si="2"/>
        <v>46.497722567287781</v>
      </c>
      <c r="Q50" s="50">
        <f t="shared" si="3"/>
        <v>46.232356113393621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0.32382098664532083</v>
      </c>
      <c r="E51" s="46">
        <f t="shared" ref="E51:F51" si="32">(E42+E45+E48)/3</f>
        <v>1.0475060722788705</v>
      </c>
      <c r="F51" s="46">
        <f t="shared" si="32"/>
        <v>-0.44371500276737841</v>
      </c>
      <c r="J51" s="97">
        <f>(J42+J45+J48)/3</f>
        <v>15.871694377534753</v>
      </c>
      <c r="M51" s="46">
        <f t="shared" si="0"/>
        <v>15.901673757001383</v>
      </c>
      <c r="N51" s="46">
        <f t="shared" si="5"/>
        <v>48</v>
      </c>
      <c r="O51" s="50">
        <f t="shared" si="1"/>
        <v>30.512818996621803</v>
      </c>
      <c r="P51" s="50">
        <f t="shared" si="2"/>
        <v>46.414492753623186</v>
      </c>
      <c r="Q51" s="50">
        <f t="shared" si="3"/>
        <v>45.924179170366351</v>
      </c>
    </row>
    <row r="52" spans="1:24">
      <c r="B52" s="46" t="str">
        <f t="shared" si="31"/>
        <v>Y</v>
      </c>
      <c r="C52" s="79"/>
      <c r="D52" s="46">
        <f t="shared" ref="D52:F53" si="33">(D43+D46+D49)/3</f>
        <v>0.14697240701691938</v>
      </c>
      <c r="E52" s="46">
        <f t="shared" si="33"/>
        <v>1</v>
      </c>
      <c r="F52" s="46">
        <f t="shared" si="33"/>
        <v>-8.0966437814890782E-2</v>
      </c>
      <c r="J52" s="97"/>
      <c r="M52" s="46">
        <f t="shared" si="0"/>
        <v>17.931748586821605</v>
      </c>
      <c r="N52" s="46">
        <f t="shared" si="5"/>
        <v>49</v>
      </c>
      <c r="O52" s="50">
        <f t="shared" si="1"/>
        <v>28.399514353136979</v>
      </c>
      <c r="P52" s="50">
        <f t="shared" si="2"/>
        <v>46.331262939958584</v>
      </c>
      <c r="Q52" s="50">
        <f t="shared" si="3"/>
        <v>45.616002227339074</v>
      </c>
    </row>
    <row r="53" spans="1:24" ht="15.75" thickBot="1">
      <c r="B53" s="46" t="str">
        <f t="shared" si="31"/>
        <v>Z</v>
      </c>
      <c r="C53" s="79"/>
      <c r="D53" s="46">
        <f t="shared" si="33"/>
        <v>-0.51623795897448854</v>
      </c>
      <c r="E53" s="46">
        <f t="shared" si="33"/>
        <v>0.30906814594873128</v>
      </c>
      <c r="F53" s="46">
        <f t="shared" si="33"/>
        <v>1.2466913401953286</v>
      </c>
      <c r="J53" s="100"/>
      <c r="M53" s="46">
        <f t="shared" si="0"/>
        <v>19.961823416641849</v>
      </c>
      <c r="N53" s="46">
        <f t="shared" si="5"/>
        <v>50</v>
      </c>
      <c r="O53" s="50">
        <f t="shared" si="1"/>
        <v>26.286209709652141</v>
      </c>
      <c r="P53" s="50">
        <f t="shared" si="2"/>
        <v>46.24803312629399</v>
      </c>
      <c r="Q53" s="50">
        <f t="shared" si="3"/>
        <v>45.307825284311804</v>
      </c>
    </row>
    <row r="54" spans="1:24">
      <c r="B54" s="79" t="s">
        <v>14</v>
      </c>
      <c r="C54" s="79"/>
      <c r="D54" s="19">
        <f>I54/$H$55</f>
        <v>0.29188631163103912</v>
      </c>
      <c r="E54" s="20">
        <f>H54/$H$55</f>
        <v>1.038167685983318</v>
      </c>
      <c r="F54" s="21">
        <f>G54/$H$55</f>
        <v>-0.34999941319003397</v>
      </c>
      <c r="G54" s="46">
        <f t="array" ref="G54:I54">LINEST(D$31:D$39,$G$31:$I$39,FALSE)</f>
        <v>-5.3981583978431766</v>
      </c>
      <c r="H54" s="46">
        <v>16.012008595618532</v>
      </c>
      <c r="I54" s="46">
        <v>4.5018605316662574</v>
      </c>
      <c r="J54" s="98">
        <f>H55</f>
        <v>15.423335566886276</v>
      </c>
      <c r="M54" s="46">
        <f t="shared" si="0"/>
        <v>21.991898246462078</v>
      </c>
      <c r="N54" s="46">
        <f t="shared" si="5"/>
        <v>51</v>
      </c>
      <c r="O54" s="50">
        <f t="shared" si="1"/>
        <v>24.172905066167317</v>
      </c>
      <c r="P54" s="50">
        <f t="shared" si="2"/>
        <v>46.164803312629395</v>
      </c>
      <c r="Q54" s="50">
        <f t="shared" si="3"/>
        <v>44.999648341284527</v>
      </c>
    </row>
    <row r="55" spans="1:24" ht="15" customHeight="1">
      <c r="B55" s="79"/>
      <c r="C55" s="79"/>
      <c r="D55" s="22">
        <f>I55/$H$55</f>
        <v>0.1275379378215703</v>
      </c>
      <c r="E55" s="18">
        <f>H55/$H$55</f>
        <v>1</v>
      </c>
      <c r="F55" s="23">
        <f>G55/$H$55</f>
        <v>-1.7645353725455233E-2</v>
      </c>
      <c r="G55" s="46">
        <f t="array" ref="G55:I55">LINEST(E$31:E$39,$G$31:$I$39,FALSE)</f>
        <v>-0.27215021170410297</v>
      </c>
      <c r="H55" s="46">
        <v>15.423335566886276</v>
      </c>
      <c r="I55" s="46">
        <v>1.9670604125307558</v>
      </c>
      <c r="J55" s="98"/>
      <c r="M55" s="46">
        <f t="shared" si="0"/>
        <v>24.021973076282322</v>
      </c>
      <c r="N55" s="46">
        <f t="shared" si="5"/>
        <v>52</v>
      </c>
      <c r="O55" s="50">
        <f t="shared" si="1"/>
        <v>22.059600422682479</v>
      </c>
      <c r="P55" s="50">
        <f t="shared" si="2"/>
        <v>46.081573498964801</v>
      </c>
      <c r="Q55" s="50">
        <f t="shared" si="3"/>
        <v>44.691471398257249</v>
      </c>
    </row>
    <row r="56" spans="1:24" ht="15" customHeight="1" thickBot="1">
      <c r="B56" s="79"/>
      <c r="C56" s="79"/>
      <c r="D56" s="24">
        <f>I56/$H$55</f>
        <v>-0.48394406638728749</v>
      </c>
      <c r="E56" s="25">
        <f>H56/$H$55</f>
        <v>0.34065726912789385</v>
      </c>
      <c r="F56" s="26">
        <f>G56/$H$55</f>
        <v>1.1767498948276076</v>
      </c>
      <c r="G56" s="46">
        <f t="array" ref="G56:I56">LINEST(F$31:F$39,$G$31:$I$39,FALSE)</f>
        <v>18.149408506224326</v>
      </c>
      <c r="H56" s="46">
        <v>5.2540713750585955</v>
      </c>
      <c r="I56" s="46">
        <v>-7.4640317314946243</v>
      </c>
      <c r="J56" s="98"/>
      <c r="M56" s="46">
        <f t="shared" si="0"/>
        <v>26.052047906102544</v>
      </c>
      <c r="N56" s="46">
        <f t="shared" si="5"/>
        <v>53</v>
      </c>
      <c r="O56" s="50">
        <f t="shared" si="1"/>
        <v>19.946295779197655</v>
      </c>
      <c r="P56" s="50">
        <f t="shared" si="2"/>
        <v>45.998343685300199</v>
      </c>
      <c r="Q56" s="50">
        <f t="shared" si="3"/>
        <v>44.383294455229972</v>
      </c>
    </row>
    <row r="57" spans="1:24">
      <c r="M57" s="46">
        <f t="shared" si="0"/>
        <v>28.082122735922788</v>
      </c>
      <c r="N57" s="46">
        <f t="shared" si="5"/>
        <v>54</v>
      </c>
      <c r="O57" s="50">
        <f t="shared" si="1"/>
        <v>17.832991135712817</v>
      </c>
      <c r="P57" s="50">
        <f t="shared" si="2"/>
        <v>45.915113871635604</v>
      </c>
      <c r="Q57" s="50">
        <f t="shared" si="3"/>
        <v>44.075117512202695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30.112197565743017</v>
      </c>
      <c r="N58" s="46">
        <f t="shared" si="5"/>
        <v>55</v>
      </c>
      <c r="O58" s="50">
        <f t="shared" si="1"/>
        <v>15.719686492227993</v>
      </c>
      <c r="P58" s="50">
        <f t="shared" si="2"/>
        <v>45.83188405797101</v>
      </c>
      <c r="Q58" s="50">
        <f t="shared" si="3"/>
        <v>43.766940569175425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32.142272395563261</v>
      </c>
      <c r="N59" s="46">
        <f t="shared" si="5"/>
        <v>56</v>
      </c>
      <c r="O59" s="50">
        <f t="shared" si="1"/>
        <v>13.606381848743155</v>
      </c>
      <c r="P59" s="50">
        <f t="shared" si="2"/>
        <v>45.748654244306415</v>
      </c>
      <c r="Q59" s="50">
        <f t="shared" si="3"/>
        <v>43.458763626148155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516.95000000000005</v>
      </c>
      <c r="E60" s="32">
        <f t="shared" ref="E60:E68" si="37">getCCTfromXY(D22/SUM(D22:F22),E22/SUM(D22:F22))</f>
        <v>2858</v>
      </c>
      <c r="F60" s="31">
        <f t="shared" ref="F60:F68" si="38">V60</f>
        <v>512.73125190914607</v>
      </c>
      <c r="G60" s="32">
        <f t="shared" ref="G60:G68" si="39">getCCTfromXY(U60/X60,V60/X60)</f>
        <v>3036</v>
      </c>
      <c r="H60" s="33">
        <f>F60/D60-1</f>
        <v>-8.1608435842034366E-3</v>
      </c>
      <c r="I60" s="34">
        <f t="shared" ref="I60:I68" si="40">G60/E60-1</f>
        <v>6.2281315605318355E-2</v>
      </c>
      <c r="M60" s="46">
        <f t="shared" si="0"/>
        <v>34.172347225383483</v>
      </c>
      <c r="N60" s="46">
        <f t="shared" si="5"/>
        <v>57</v>
      </c>
      <c r="O60" s="50">
        <f t="shared" si="1"/>
        <v>11.493077205258331</v>
      </c>
      <c r="P60" s="50">
        <f t="shared" si="2"/>
        <v>45.665424430641814</v>
      </c>
      <c r="Q60" s="50">
        <f t="shared" si="3"/>
        <v>43.150586683120878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545.5577553129117</v>
      </c>
      <c r="V60" s="50">
        <f>$J$54*$J$31*($D$55*G22+$E$55*H22+$F$55*I22)</f>
        <v>512.73125190914607</v>
      </c>
      <c r="W60" s="50">
        <f>$J$54*$J$31*($D$56*G22+$E$56*H22+$F$56*I22)</f>
        <v>182.50642145730558</v>
      </c>
      <c r="X60" s="29">
        <f>SUM(U60:W60)</f>
        <v>1240.7954286793633</v>
      </c>
    </row>
    <row r="61" spans="1:24">
      <c r="A61" s="87"/>
      <c r="B61" s="48" t="str">
        <f t="shared" si="35"/>
        <v>CWF</v>
      </c>
      <c r="C61" s="93"/>
      <c r="D61" s="31">
        <f t="shared" si="36"/>
        <v>1210.5</v>
      </c>
      <c r="E61" s="32">
        <f t="shared" si="37"/>
        <v>3854</v>
      </c>
      <c r="F61" s="31">
        <f t="shared" si="38"/>
        <v>1238.9839093225335</v>
      </c>
      <c r="G61" s="32">
        <f t="shared" si="39"/>
        <v>3764</v>
      </c>
      <c r="H61" s="33">
        <f t="shared" ref="H61:H68" si="41">F61/D61-1</f>
        <v>2.3530697498995057E-2</v>
      </c>
      <c r="I61" s="34">
        <f t="shared" si="40"/>
        <v>-2.3352361183186288E-2</v>
      </c>
      <c r="M61" s="46">
        <f t="shared" si="0"/>
        <v>36.202422055203726</v>
      </c>
      <c r="N61" s="46">
        <f t="shared" si="5"/>
        <v>58</v>
      </c>
      <c r="O61" s="50">
        <f t="shared" si="1"/>
        <v>9.3797725617734926</v>
      </c>
      <c r="P61" s="50">
        <f t="shared" si="2"/>
        <v>45.582194616977219</v>
      </c>
      <c r="Q61" s="50">
        <f t="shared" si="3"/>
        <v>42.842409740093601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1236.6997395278345</v>
      </c>
      <c r="V61" s="50">
        <f>$J$54*$J$31*($D$55*G23+$E$55*H23+$F$55*I23)</f>
        <v>1238.9839093225335</v>
      </c>
      <c r="W61" s="50">
        <f>$J$54*$J$31*($D$56*G23+$E$56*H23+$F$56*I23)</f>
        <v>640.06941013051596</v>
      </c>
      <c r="X61" s="29">
        <f t="shared" ref="X61:X68" si="43">SUM(U61:W61)</f>
        <v>3115.7530589808839</v>
      </c>
    </row>
    <row r="62" spans="1:24">
      <c r="A62" s="87"/>
      <c r="B62" s="48" t="str">
        <f t="shared" si="35"/>
        <v>D65</v>
      </c>
      <c r="C62" s="93"/>
      <c r="D62" s="31">
        <f t="shared" si="36"/>
        <v>579.04999999999995</v>
      </c>
      <c r="E62" s="32">
        <f t="shared" si="37"/>
        <v>6311</v>
      </c>
      <c r="F62" s="31">
        <f t="shared" si="38"/>
        <v>585.72328456548757</v>
      </c>
      <c r="G62" s="32">
        <f t="shared" si="39"/>
        <v>6056</v>
      </c>
      <c r="H62" s="33">
        <f t="shared" si="41"/>
        <v>1.1524539444758952E-2</v>
      </c>
      <c r="I62" s="34">
        <f t="shared" si="40"/>
        <v>-4.0405640944382815E-2</v>
      </c>
      <c r="M62" s="46">
        <f t="shared" si="0"/>
        <v>38.232496885023956</v>
      </c>
      <c r="N62" s="46">
        <f t="shared" si="5"/>
        <v>59</v>
      </c>
      <c r="O62" s="50">
        <f t="shared" si="1"/>
        <v>7.2664679182886687</v>
      </c>
      <c r="P62" s="50">
        <f t="shared" si="2"/>
        <v>45.498964803312624</v>
      </c>
      <c r="Q62" s="50">
        <f t="shared" si="3"/>
        <v>42.534232797066323</v>
      </c>
      <c r="R62" s="78"/>
      <c r="S62" s="46" t="str">
        <f t="shared" si="42"/>
        <v>D65</v>
      </c>
      <c r="T62" s="79"/>
      <c r="U62" s="50">
        <f>$J$54*$J$31*($D$54*G24+$E$54*H24+$F$54*I24)</f>
        <v>523.19736941837778</v>
      </c>
      <c r="V62" s="50">
        <f>$J$54*$J$31*($D$55*G24+$E$55*H24+$F$55*I24)</f>
        <v>585.72328456548757</v>
      </c>
      <c r="W62" s="50">
        <f>$J$54*$J$31*($D$56*G24+$E$56*H24+$F$56*I24)</f>
        <v>520.24712987622172</v>
      </c>
      <c r="X62" s="29">
        <f t="shared" si="43"/>
        <v>1629.1677838600872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516.95000000000005</v>
      </c>
      <c r="E63" s="32">
        <f t="shared" si="37"/>
        <v>2858</v>
      </c>
      <c r="F63" s="31">
        <f t="shared" si="38"/>
        <v>516.35064929281282</v>
      </c>
      <c r="G63" s="32">
        <f t="shared" si="39"/>
        <v>3165</v>
      </c>
      <c r="H63" s="33">
        <f t="shared" si="41"/>
        <v>-1.1593978280051154E-3</v>
      </c>
      <c r="I63" s="34">
        <f t="shared" si="40"/>
        <v>0.10741777466759972</v>
      </c>
      <c r="M63" s="46">
        <f t="shared" si="0"/>
        <v>40.262571714844199</v>
      </c>
      <c r="N63" s="46">
        <f t="shared" si="5"/>
        <v>60</v>
      </c>
      <c r="O63" s="50">
        <f t="shared" si="1"/>
        <v>5.1531632748038305</v>
      </c>
      <c r="P63" s="50">
        <f t="shared" si="2"/>
        <v>45.41573498964803</v>
      </c>
      <c r="Q63" s="50">
        <f t="shared" si="3"/>
        <v>42.226055854039046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543.48546012176632</v>
      </c>
      <c r="V63" s="50">
        <f>$J$54*$J$34*($D$55*G25+$E$55*H25+$F$55*I25)</f>
        <v>516.35064929281282</v>
      </c>
      <c r="W63" s="50">
        <f>$J$54*$J$34*($D$56*G25+$E$56*H25+$F$56*I25)</f>
        <v>203.54305781841774</v>
      </c>
      <c r="X63" s="29">
        <f t="shared" si="43"/>
        <v>1263.3791672329969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1210.5</v>
      </c>
      <c r="E64" s="32">
        <f t="shared" si="37"/>
        <v>3854</v>
      </c>
      <c r="F64" s="31">
        <f t="shared" si="38"/>
        <v>1225.8155989342961</v>
      </c>
      <c r="G64" s="32">
        <f t="shared" si="39"/>
        <v>3802</v>
      </c>
      <c r="H64" s="33">
        <f t="shared" si="41"/>
        <v>1.2652291560756757E-2</v>
      </c>
      <c r="I64" s="34">
        <f t="shared" si="40"/>
        <v>-1.3492475350285416E-2</v>
      </c>
      <c r="M64" s="46">
        <f t="shared" si="0"/>
        <v>42.292646544664436</v>
      </c>
      <c r="N64" s="46">
        <f t="shared" si="5"/>
        <v>61</v>
      </c>
      <c r="O64" s="50">
        <f t="shared" si="1"/>
        <v>3.0398586313189924</v>
      </c>
      <c r="P64" s="50">
        <f t="shared" si="2"/>
        <v>45.332505175983428</v>
      </c>
      <c r="Q64" s="50">
        <f t="shared" si="3"/>
        <v>41.917878911011776</v>
      </c>
      <c r="R64" s="78"/>
      <c r="S64" s="46" t="str">
        <f t="shared" si="42"/>
        <v>CWF</v>
      </c>
      <c r="T64" s="79"/>
      <c r="U64" s="50">
        <f>$J$54*$J$34*($D$54*G26+$E$54*H26+$F$54*I26)</f>
        <v>1220.666496472217</v>
      </c>
      <c r="V64" s="50">
        <f>$J$54*$J$34*($D$55*G26+$E$55*H26+$F$55*I26)</f>
        <v>1225.8155989342961</v>
      </c>
      <c r="W64" s="50">
        <f>$J$54*$J$34*($D$56*G26+$E$56*H26+$F$56*I26)</f>
        <v>643.88561340121555</v>
      </c>
      <c r="X64" s="29">
        <f t="shared" si="43"/>
        <v>3090.3677088077284</v>
      </c>
    </row>
    <row r="65" spans="1:24">
      <c r="A65" s="87"/>
      <c r="B65" s="48" t="str">
        <f t="shared" si="35"/>
        <v>D65</v>
      </c>
      <c r="C65" s="93"/>
      <c r="D65" s="31">
        <f t="shared" si="36"/>
        <v>579.04999999999995</v>
      </c>
      <c r="E65" s="32">
        <f t="shared" si="37"/>
        <v>6311</v>
      </c>
      <c r="F65" s="31">
        <f t="shared" si="38"/>
        <v>593.93117348651697</v>
      </c>
      <c r="G65" s="32">
        <f t="shared" si="39"/>
        <v>6049</v>
      </c>
      <c r="H65" s="33">
        <f t="shared" si="41"/>
        <v>2.5699289329966346E-2</v>
      </c>
      <c r="I65" s="34">
        <f t="shared" si="40"/>
        <v>-4.1514815401679561E-2</v>
      </c>
      <c r="M65" s="46">
        <f t="shared" si="0"/>
        <v>44.322721374484651</v>
      </c>
      <c r="N65" s="46">
        <f t="shared" si="5"/>
        <v>62</v>
      </c>
      <c r="O65" s="50">
        <f t="shared" si="1"/>
        <v>0.92655398783418264</v>
      </c>
      <c r="P65" s="50">
        <f t="shared" si="2"/>
        <v>45.249275362318834</v>
      </c>
      <c r="Q65" s="50">
        <f t="shared" si="3"/>
        <v>41.609701967984506</v>
      </c>
      <c r="R65" s="78"/>
      <c r="S65" s="46" t="str">
        <f t="shared" si="42"/>
        <v>D65</v>
      </c>
      <c r="T65" s="79"/>
      <c r="U65" s="50">
        <f>$J$54*$J$34*($D$54*G27+$E$54*H27+$F$54*I27)</f>
        <v>530.68230190549536</v>
      </c>
      <c r="V65" s="50">
        <f>$J$54*$J$34*($D$55*G27+$E$55*H27+$F$55*I27)</f>
        <v>593.93117348651697</v>
      </c>
      <c r="W65" s="50">
        <f>$J$54*$J$34*($D$56*G27+$E$56*H27+$F$56*I27)</f>
        <v>527.02733116442994</v>
      </c>
      <c r="X65" s="29">
        <f t="shared" si="43"/>
        <v>1651.6408065564424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516.95000000000005</v>
      </c>
      <c r="E66" s="32">
        <f t="shared" si="37"/>
        <v>2858</v>
      </c>
      <c r="F66" s="31">
        <f t="shared" si="38"/>
        <v>520.03579935494508</v>
      </c>
      <c r="G66" s="32">
        <f t="shared" si="39"/>
        <v>2535</v>
      </c>
      <c r="H66" s="33">
        <f t="shared" si="41"/>
        <v>5.9692414255634318E-3</v>
      </c>
      <c r="I66" s="34">
        <f t="shared" si="40"/>
        <v>-0.11301609517144862</v>
      </c>
      <c r="M66" s="46">
        <f t="shared" si="0"/>
        <v>46.352796204304894</v>
      </c>
      <c r="N66" s="46">
        <f t="shared" si="5"/>
        <v>63</v>
      </c>
      <c r="O66" s="50">
        <f t="shared" si="1"/>
        <v>-1.1867506556506555</v>
      </c>
      <c r="P66" s="50">
        <f t="shared" si="2"/>
        <v>45.166045548654239</v>
      </c>
      <c r="Q66" s="50">
        <f t="shared" si="3"/>
        <v>41.301525024957229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581.82370962145194</v>
      </c>
      <c r="V66" s="50">
        <f>$J$54*$J$37*($D$55*G28+$E$55*H28+$F$55*I28)</f>
        <v>520.03579935494508</v>
      </c>
      <c r="W66" s="50">
        <f>$J$54*$J$37*($D$56*G28+$E$56*H28+$F$56*I28)</f>
        <v>91.138840600303823</v>
      </c>
      <c r="X66" s="29">
        <f t="shared" si="43"/>
        <v>1192.998349576701</v>
      </c>
    </row>
    <row r="67" spans="1:24">
      <c r="A67" s="87"/>
      <c r="B67" s="48" t="str">
        <f t="shared" si="35"/>
        <v>CWF</v>
      </c>
      <c r="C67" s="93"/>
      <c r="D67" s="31">
        <f t="shared" si="36"/>
        <v>1210.5</v>
      </c>
      <c r="E67" s="32">
        <f t="shared" si="37"/>
        <v>3854</v>
      </c>
      <c r="F67" s="31">
        <f t="shared" si="38"/>
        <v>1153.2264592205966</v>
      </c>
      <c r="G67" s="32">
        <f t="shared" si="39"/>
        <v>4106</v>
      </c>
      <c r="H67" s="33">
        <f t="shared" si="41"/>
        <v>-4.7313953555888855E-2</v>
      </c>
      <c r="I67" s="34">
        <f t="shared" si="40"/>
        <v>6.5386611312921561E-2</v>
      </c>
      <c r="R67" s="78"/>
      <c r="S67" s="46" t="str">
        <f t="shared" si="42"/>
        <v>CWF</v>
      </c>
      <c r="T67" s="79"/>
      <c r="U67" s="50">
        <f>$J$54*$J$37*($D$54*G29+$E$54*H29+$F$54*I29)</f>
        <v>1127.4310564168288</v>
      </c>
      <c r="V67" s="50">
        <f>$J$54*$J$37*($D$55*G29+$E$55*H29+$F$55*I29)</f>
        <v>1153.2264592205966</v>
      </c>
      <c r="W67" s="50">
        <f>$J$54*$J$37*($D$56*G29+$E$56*H29+$F$56*I29)</f>
        <v>679.00571265911208</v>
      </c>
      <c r="X67" s="29">
        <f t="shared" si="43"/>
        <v>2959.6632282965375</v>
      </c>
    </row>
    <row r="68" spans="1:24">
      <c r="A68" s="87"/>
      <c r="B68" s="48" t="str">
        <f t="shared" si="35"/>
        <v>D65</v>
      </c>
      <c r="C68" s="93"/>
      <c r="D68" s="31">
        <f t="shared" si="36"/>
        <v>579.04999999999995</v>
      </c>
      <c r="E68" s="32">
        <f t="shared" si="37"/>
        <v>6311</v>
      </c>
      <c r="F68" s="31">
        <f t="shared" si="38"/>
        <v>579.2311008257177</v>
      </c>
      <c r="G68" s="32">
        <f t="shared" si="39"/>
        <v>5972</v>
      </c>
      <c r="H68" s="33">
        <f t="shared" si="41"/>
        <v>3.1275507420391868E-4</v>
      </c>
      <c r="I68" s="34">
        <f t="shared" si="40"/>
        <v>-5.3715734431944218E-2</v>
      </c>
      <c r="R68" s="78"/>
      <c r="S68" s="46" t="str">
        <f t="shared" si="42"/>
        <v>D65</v>
      </c>
      <c r="T68" s="79"/>
      <c r="U68" s="50">
        <f>$J$54*$J$37*($D$54*G30+$E$54*H30+$F$54*I30)</f>
        <v>518.96189679854535</v>
      </c>
      <c r="V68" s="50">
        <f>$J$54*$J$37*($D$55*G30+$E$55*H30+$F$55*I30)</f>
        <v>579.2311008257177</v>
      </c>
      <c r="W68" s="50">
        <f>$J$54*$J$37*($D$56*G30+$E$56*H30+$F$56*I30)</f>
        <v>508.29336824575859</v>
      </c>
      <c r="X68" s="29">
        <f t="shared" si="43"/>
        <v>1606.4863658700217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4.7313953555888855E-2</v>
      </c>
      <c r="G69" s="47"/>
      <c r="H69" s="36" t="str">
        <f>I59</f>
        <v>CCT</v>
      </c>
      <c r="I69" s="38">
        <f>MAX(MAX(I60:I68,-MIN(I60:I68)))</f>
        <v>0.11301609517144862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516.95000000000005</v>
      </c>
      <c r="E72" s="31">
        <f t="shared" ref="E72:E80" si="47">E60</f>
        <v>2858</v>
      </c>
      <c r="F72" s="31">
        <f t="shared" ref="F72:F80" si="48">V72</f>
        <v>515.12254097588243</v>
      </c>
      <c r="G72" s="32">
        <f t="shared" ref="G72:G80" si="49">getCCTfromXY(U72/X72,V72/X72)</f>
        <v>2985</v>
      </c>
      <c r="H72" s="33">
        <f>F72/D72-1</f>
        <v>-3.5350788743933048E-3</v>
      </c>
      <c r="I72" s="34">
        <f t="shared" ref="I72:I80" si="50">G72/E72-1</f>
        <v>4.44366689993001E-2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550.64493508497787</v>
      </c>
      <c r="V72" s="50">
        <f>$J$51*$J$31*($D$52*G22+$E$52*H22+$F$52*I22)</f>
        <v>515.12254097588243</v>
      </c>
      <c r="W72" s="50">
        <f>$J$51*$J$31*($D$53*G22+$E$53*H22+$F$53*I22)</f>
        <v>175.28761739237859</v>
      </c>
      <c r="X72" s="29">
        <f>SUM(U72:W72)</f>
        <v>1241.0550934532389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1210.5</v>
      </c>
      <c r="E73" s="31">
        <f t="shared" si="47"/>
        <v>3854</v>
      </c>
      <c r="F73" s="31">
        <f t="shared" si="48"/>
        <v>1253.954071665313</v>
      </c>
      <c r="G73" s="32">
        <f t="shared" si="49"/>
        <v>3716</v>
      </c>
      <c r="H73" s="33">
        <f t="shared" ref="H73:H80" si="52">F73/D73-1</f>
        <v>3.589762219356718E-2</v>
      </c>
      <c r="I73" s="34">
        <f t="shared" si="50"/>
        <v>-3.5806953814218945E-2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1255.5476487250824</v>
      </c>
      <c r="V73" s="50">
        <f t="shared" ref="V73:V74" si="55">$J$51*$J$31*($D$52*G23+$E$52*H23+$F$52*I23)</f>
        <v>1253.954071665313</v>
      </c>
      <c r="W73" s="50">
        <f t="shared" ref="W73:W74" si="56">$J$51*$J$31*($D$53*G23+$E$53*H23+$F$53*I23)</f>
        <v>634.30546889405696</v>
      </c>
      <c r="X73" s="29">
        <f t="shared" ref="X73:X80" si="57">SUM(U73:W73)</f>
        <v>3143.8071892844523</v>
      </c>
    </row>
    <row r="74" spans="1:24">
      <c r="A74" s="87"/>
      <c r="B74" s="48" t="str">
        <f t="shared" si="46"/>
        <v>X</v>
      </c>
      <c r="C74" s="93"/>
      <c r="D74" s="31">
        <f t="shared" si="51"/>
        <v>579.04999999999995</v>
      </c>
      <c r="E74" s="31">
        <f t="shared" si="47"/>
        <v>6311</v>
      </c>
      <c r="F74" s="31">
        <f t="shared" si="48"/>
        <v>581.12832405844745</v>
      </c>
      <c r="G74" s="32">
        <f t="shared" si="49"/>
        <v>6365</v>
      </c>
      <c r="H74" s="33">
        <f t="shared" si="52"/>
        <v>3.5891961979923614E-3</v>
      </c>
      <c r="I74" s="34">
        <f t="shared" si="50"/>
        <v>8.5564886705751242E-3</v>
      </c>
      <c r="R74" s="78"/>
      <c r="S74" s="46" t="str">
        <f t="shared" si="53"/>
        <v>D65</v>
      </c>
      <c r="T74" s="79"/>
      <c r="U74" s="50">
        <f t="shared" si="54"/>
        <v>513.00336232331142</v>
      </c>
      <c r="V74" s="50">
        <f t="shared" si="55"/>
        <v>581.12832405844745</v>
      </c>
      <c r="W74" s="50">
        <f t="shared" si="56"/>
        <v>536.89216327483666</v>
      </c>
      <c r="X74" s="29">
        <f t="shared" si="57"/>
        <v>1631.0238496565953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516.95000000000005</v>
      </c>
      <c r="E75" s="31">
        <f t="shared" si="47"/>
        <v>2858</v>
      </c>
      <c r="F75" s="31">
        <f t="shared" si="48"/>
        <v>517.97211195047555</v>
      </c>
      <c r="G75" s="32">
        <f t="shared" si="49"/>
        <v>3122</v>
      </c>
      <c r="H75" s="33">
        <f t="shared" si="52"/>
        <v>1.9771969251871635E-3</v>
      </c>
      <c r="I75" s="34">
        <f t="shared" si="50"/>
        <v>9.2372288313505857E-2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547.20453500666656</v>
      </c>
      <c r="V75" s="50">
        <f>$J$51*$J$34*($D$52*G25+$E$52*H25+$F$52*I25)</f>
        <v>517.97211195047555</v>
      </c>
      <c r="W75" s="50">
        <f>$J$51*$J$34*($D$53*G25+$E$53*H25+$F$53*I25)</f>
        <v>197.94803348641244</v>
      </c>
      <c r="X75" s="29">
        <f t="shared" si="57"/>
        <v>1263.1246804435546</v>
      </c>
    </row>
    <row r="76" spans="1:24">
      <c r="A76" s="87"/>
      <c r="B76" s="48" t="str">
        <f t="shared" si="46"/>
        <v>Z</v>
      </c>
      <c r="C76" s="93"/>
      <c r="D76" s="31">
        <f t="shared" si="51"/>
        <v>1210.5</v>
      </c>
      <c r="E76" s="31">
        <f t="shared" si="47"/>
        <v>3854</v>
      </c>
      <c r="F76" s="31">
        <f t="shared" si="48"/>
        <v>1239.9722912034458</v>
      </c>
      <c r="G76" s="32">
        <f t="shared" si="49"/>
        <v>3758</v>
      </c>
      <c r="H76" s="33">
        <f t="shared" si="52"/>
        <v>2.4347204629034058E-2</v>
      </c>
      <c r="I76" s="34">
        <f t="shared" si="50"/>
        <v>-2.4909185262065425E-2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1238.279337444349</v>
      </c>
      <c r="V76" s="50">
        <f t="shared" ref="V76:V77" si="59">$J$51*$J$34*($D$52*G26+$E$52*H26+$F$52*I26)</f>
        <v>1239.9722912034458</v>
      </c>
      <c r="W76" s="50">
        <f t="shared" ref="W76:W77" si="60">$J$51*$J$34*($D$53*G26+$E$53*H26+$F$53*I26)</f>
        <v>639.15374204831528</v>
      </c>
      <c r="X76" s="29">
        <f t="shared" si="57"/>
        <v>3117.4053706961104</v>
      </c>
    </row>
    <row r="77" spans="1:24">
      <c r="A77" s="87"/>
      <c r="B77" s="48" t="str">
        <f t="shared" si="46"/>
        <v>X</v>
      </c>
      <c r="C77" s="93"/>
      <c r="D77" s="31">
        <f t="shared" si="51"/>
        <v>579.04999999999995</v>
      </c>
      <c r="E77" s="31">
        <f t="shared" si="47"/>
        <v>6311</v>
      </c>
      <c r="F77" s="31">
        <f t="shared" si="48"/>
        <v>589.29197596509709</v>
      </c>
      <c r="G77" s="32">
        <f t="shared" si="49"/>
        <v>6356</v>
      </c>
      <c r="H77" s="33">
        <f t="shared" si="52"/>
        <v>1.7687550237625693E-2</v>
      </c>
      <c r="I77" s="34">
        <f t="shared" si="50"/>
        <v>7.1304072254794182E-3</v>
      </c>
      <c r="R77" s="78"/>
      <c r="S77" s="46" t="str">
        <f t="shared" si="53"/>
        <v>D65</v>
      </c>
      <c r="T77" s="79"/>
      <c r="U77" s="50">
        <f t="shared" si="58"/>
        <v>520.38150824463696</v>
      </c>
      <c r="V77" s="50">
        <f t="shared" si="59"/>
        <v>589.29197596509709</v>
      </c>
      <c r="W77" s="50">
        <f t="shared" si="60"/>
        <v>543.86240400272413</v>
      </c>
      <c r="X77" s="29">
        <f t="shared" si="57"/>
        <v>1653.5358882124581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516.95000000000005</v>
      </c>
      <c r="E78" s="31">
        <f t="shared" si="47"/>
        <v>2858</v>
      </c>
      <c r="F78" s="31">
        <f t="shared" si="48"/>
        <v>525.96328203450685</v>
      </c>
      <c r="G78" s="32">
        <f t="shared" si="49"/>
        <v>2465</v>
      </c>
      <c r="H78" s="33">
        <f t="shared" si="52"/>
        <v>1.7435500598717013E-2</v>
      </c>
      <c r="I78" s="34">
        <f t="shared" si="50"/>
        <v>-0.13750874737578722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593.37228955702176</v>
      </c>
      <c r="V78" s="50">
        <f>$J$51*$J$37*($D$52*G28+$E$52*H28+$F$52*I28)</f>
        <v>525.96328203450685</v>
      </c>
      <c r="W78" s="50">
        <f>$J$51*$J$37*($D$53*G28+$E$53*H28+$F$53*I28)</f>
        <v>75.921630652450332</v>
      </c>
      <c r="X78" s="29">
        <f t="shared" si="57"/>
        <v>1195.257202243979</v>
      </c>
    </row>
    <row r="79" spans="1:24">
      <c r="A79" s="87"/>
      <c r="B79" s="48" t="str">
        <f t="shared" si="46"/>
        <v>Z</v>
      </c>
      <c r="C79" s="93"/>
      <c r="D79" s="31">
        <f t="shared" si="51"/>
        <v>1210.5</v>
      </c>
      <c r="E79" s="31">
        <f t="shared" si="47"/>
        <v>3854</v>
      </c>
      <c r="F79" s="31">
        <f t="shared" si="48"/>
        <v>1162.8298608074936</v>
      </c>
      <c r="G79" s="32">
        <f t="shared" si="49"/>
        <v>4091</v>
      </c>
      <c r="H79" s="33">
        <f t="shared" si="52"/>
        <v>-3.9380536301120594E-2</v>
      </c>
      <c r="I79" s="34">
        <f t="shared" si="50"/>
        <v>6.1494551115723883E-2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1137.8293656728549</v>
      </c>
      <c r="V79" s="50">
        <f t="shared" ref="V79:V80" si="62">$J$51*$J$37*($D$52*G29+$E$52*H29+$F$52*I29)</f>
        <v>1162.8298608074936</v>
      </c>
      <c r="W79" s="50">
        <f t="shared" ref="W79:W80" si="63">$J$51*$J$37*($D$53*G29+$E$53*H29+$F$53*I29)</f>
        <v>681.00795535460009</v>
      </c>
      <c r="X79" s="29">
        <f t="shared" si="57"/>
        <v>2981.6671818349487</v>
      </c>
    </row>
    <row r="80" spans="1:24">
      <c r="A80" s="87"/>
      <c r="B80" s="48" t="str">
        <f t="shared" si="46"/>
        <v>X</v>
      </c>
      <c r="C80" s="93"/>
      <c r="D80" s="31">
        <f t="shared" si="51"/>
        <v>579.04999999999995</v>
      </c>
      <c r="E80" s="31">
        <f t="shared" si="47"/>
        <v>6311</v>
      </c>
      <c r="F80" s="31">
        <f t="shared" si="48"/>
        <v>575.16196197328111</v>
      </c>
      <c r="G80" s="32">
        <f t="shared" si="49"/>
        <v>6259</v>
      </c>
      <c r="H80" s="33">
        <f t="shared" si="52"/>
        <v>-6.7145117463411896E-3</v>
      </c>
      <c r="I80" s="34">
        <f t="shared" si="50"/>
        <v>-8.2395816827760537E-3</v>
      </c>
      <c r="R80" s="78"/>
      <c r="S80" s="46" t="str">
        <f t="shared" si="53"/>
        <v>D65</v>
      </c>
      <c r="T80" s="79"/>
      <c r="U80" s="50">
        <f t="shared" si="61"/>
        <v>509.59701192876554</v>
      </c>
      <c r="V80" s="50">
        <f t="shared" si="62"/>
        <v>575.16196197328111</v>
      </c>
      <c r="W80" s="50">
        <f t="shared" si="63"/>
        <v>524.15981709480707</v>
      </c>
      <c r="X80" s="29">
        <f t="shared" si="57"/>
        <v>1608.9187909968537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3.9380536301120594E-2</v>
      </c>
      <c r="G81" s="47"/>
      <c r="H81" s="36" t="str">
        <f>I71</f>
        <v>CCT</v>
      </c>
      <c r="I81" s="38">
        <f>MAX(MAX(I72:I80,-MIN(I72:I80)))</f>
        <v>0.13750874737578722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516.95000000000005</v>
      </c>
      <c r="E84" s="31">
        <f t="shared" ref="E84:E92" si="67">E72</f>
        <v>2858</v>
      </c>
      <c r="F84" s="31">
        <f t="shared" ref="F84:F92" si="68">V84</f>
        <v>516.95000000000027</v>
      </c>
      <c r="G84" s="32">
        <f t="shared" ref="G84:G92" si="69">getCCTfromXY(U84/X84,V84/X84)</f>
        <v>2858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559.0500000000003</v>
      </c>
      <c r="V84" s="50">
        <f>$J$42*$J$31*($D$43*G22+$E$43*H22+$F$43*I22)</f>
        <v>516.95000000000027</v>
      </c>
      <c r="W84" s="50">
        <f>$J$42*$J$31*($D$44*G22+$E$44*H22+$F$44*I22)</f>
        <v>154.35000000000028</v>
      </c>
      <c r="X84" s="29">
        <f>SUM(U84:W84)</f>
        <v>1230.3500000000008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1210.5</v>
      </c>
      <c r="E85" s="31">
        <f t="shared" si="67"/>
        <v>3854</v>
      </c>
      <c r="F85" s="31">
        <f t="shared" si="68"/>
        <v>1210.5</v>
      </c>
      <c r="G85" s="32">
        <f t="shared" si="69"/>
        <v>3854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1201.5000000000002</v>
      </c>
      <c r="V85" s="50">
        <f t="shared" ref="V85:V86" si="75">$J$42*$J$31*($D$43*G23+$E$43*H23+$F$43*I23)</f>
        <v>1210.5</v>
      </c>
      <c r="W85" s="50">
        <f t="shared" ref="W85:W86" si="76">$J$42*$J$31*($D$44*G23+$E$44*H23+$F$44*I23)</f>
        <v>649.50000000000023</v>
      </c>
      <c r="X85" s="29">
        <f t="shared" ref="X85:X92" si="77">SUM(U85:W85)</f>
        <v>3061.5</v>
      </c>
    </row>
    <row r="86" spans="1:24">
      <c r="A86" s="87"/>
      <c r="B86" s="48">
        <f t="shared" si="66"/>
        <v>0</v>
      </c>
      <c r="C86" s="93"/>
      <c r="D86" s="31">
        <f t="shared" si="71"/>
        <v>579.04999999999995</v>
      </c>
      <c r="E86" s="31">
        <f t="shared" si="67"/>
        <v>6311</v>
      </c>
      <c r="F86" s="31">
        <f t="shared" si="68"/>
        <v>579.05000000000007</v>
      </c>
      <c r="G86" s="32">
        <f t="shared" si="69"/>
        <v>6311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512.1500000000002</v>
      </c>
      <c r="V86" s="50">
        <f t="shared" si="75"/>
        <v>579.05000000000007</v>
      </c>
      <c r="W86" s="50">
        <f t="shared" si="76"/>
        <v>531.35000000000014</v>
      </c>
      <c r="X86" s="29">
        <f t="shared" si="77"/>
        <v>1622.5500000000004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516.95000000000005</v>
      </c>
      <c r="E87" s="31">
        <f t="shared" si="67"/>
        <v>2858</v>
      </c>
      <c r="F87" s="31">
        <f t="shared" si="68"/>
        <v>516.94999999999993</v>
      </c>
      <c r="G87" s="32">
        <f t="shared" si="69"/>
        <v>2858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559.04999999999961</v>
      </c>
      <c r="V87" s="50">
        <f>$J$45*$J$34*($D$46*G25+$E$46*H25+$F$46*I25)</f>
        <v>516.94999999999993</v>
      </c>
      <c r="W87" s="50">
        <f>$J$45*$J$34*($D$47*G25+$E$47*H25+$F$47*I25)</f>
        <v>154.35000000000031</v>
      </c>
      <c r="X87" s="29">
        <f t="shared" si="77"/>
        <v>1230.3499999999999</v>
      </c>
    </row>
    <row r="88" spans="1:24">
      <c r="A88" s="87"/>
      <c r="B88" s="48">
        <f t="shared" si="66"/>
        <v>0</v>
      </c>
      <c r="C88" s="93"/>
      <c r="D88" s="31">
        <f t="shared" si="71"/>
        <v>1210.5</v>
      </c>
      <c r="E88" s="31">
        <f t="shared" si="67"/>
        <v>3854</v>
      </c>
      <c r="F88" s="31">
        <f t="shared" si="68"/>
        <v>1210.5</v>
      </c>
      <c r="G88" s="32">
        <f t="shared" si="69"/>
        <v>3854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1201.5</v>
      </c>
      <c r="V88" s="50">
        <f t="shared" ref="V88:V89" si="79">$J$45*$J$34*($D$46*G26+$E$46*H26+$F$46*I26)</f>
        <v>1210.5</v>
      </c>
      <c r="W88" s="50">
        <f t="shared" ref="W88:W89" si="80">$J$45*$J$34*($D$47*G26+$E$47*H26+$F$47*I26)</f>
        <v>649.5</v>
      </c>
      <c r="X88" s="29">
        <f t="shared" si="77"/>
        <v>3061.5</v>
      </c>
    </row>
    <row r="89" spans="1:24">
      <c r="A89" s="87"/>
      <c r="B89" s="48" t="str">
        <f t="shared" si="66"/>
        <v>A</v>
      </c>
      <c r="C89" s="93"/>
      <c r="D89" s="31">
        <f t="shared" si="71"/>
        <v>579.04999999999995</v>
      </c>
      <c r="E89" s="31">
        <f t="shared" si="67"/>
        <v>6311</v>
      </c>
      <c r="F89" s="31">
        <f t="shared" si="68"/>
        <v>579.04999999999984</v>
      </c>
      <c r="G89" s="32">
        <f t="shared" si="69"/>
        <v>6311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512.15</v>
      </c>
      <c r="V89" s="50">
        <f t="shared" si="79"/>
        <v>579.04999999999984</v>
      </c>
      <c r="W89" s="50">
        <f t="shared" si="80"/>
        <v>531.35</v>
      </c>
      <c r="X89" s="29">
        <f t="shared" si="77"/>
        <v>1622.5499999999997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516.95000000000005</v>
      </c>
      <c r="E90" s="31">
        <f t="shared" si="67"/>
        <v>2858</v>
      </c>
      <c r="F90" s="31">
        <f t="shared" si="68"/>
        <v>516.95000000000016</v>
      </c>
      <c r="G90" s="32">
        <f t="shared" si="69"/>
        <v>2858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559.04999999999984</v>
      </c>
      <c r="V90" s="50">
        <f>$J$48*$J$37*($D$49*G28+$E$49*H28+$F$49*I28)</f>
        <v>516.95000000000016</v>
      </c>
      <c r="W90" s="50">
        <f>$J$48*$J$37*($D$50*G28+$E$50*H28+$F$50*I28)</f>
        <v>154.35000000000019</v>
      </c>
      <c r="X90" s="29">
        <f t="shared" si="77"/>
        <v>1230.3500000000001</v>
      </c>
    </row>
    <row r="91" spans="1:24">
      <c r="A91" s="87"/>
      <c r="B91" s="48" t="str">
        <f t="shared" si="66"/>
        <v>D65</v>
      </c>
      <c r="C91" s="93"/>
      <c r="D91" s="31">
        <f t="shared" si="71"/>
        <v>1210.5</v>
      </c>
      <c r="E91" s="31">
        <f t="shared" si="67"/>
        <v>3854</v>
      </c>
      <c r="F91" s="31">
        <f t="shared" si="68"/>
        <v>1210.5</v>
      </c>
      <c r="G91" s="32">
        <f t="shared" si="69"/>
        <v>3854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1201.5</v>
      </c>
      <c r="V91" s="50">
        <f t="shared" ref="V91:V92" si="82">$J$48*$J$37*($D$49*G29+$E$49*H29+$F$49*I29)</f>
        <v>1210.5</v>
      </c>
      <c r="W91" s="50">
        <f t="shared" ref="W91:W92" si="83">$J$48*$J$37*($D$50*G29+$E$50*H29+$F$50*I29)</f>
        <v>649.49999999999989</v>
      </c>
      <c r="X91" s="29">
        <f t="shared" si="77"/>
        <v>3061.5</v>
      </c>
    </row>
    <row r="92" spans="1:24">
      <c r="A92" s="87"/>
      <c r="B92" s="48" t="str">
        <f t="shared" si="66"/>
        <v>A</v>
      </c>
      <c r="C92" s="93"/>
      <c r="D92" s="31">
        <f t="shared" si="71"/>
        <v>579.04999999999995</v>
      </c>
      <c r="E92" s="31">
        <f t="shared" si="67"/>
        <v>6311</v>
      </c>
      <c r="F92" s="31">
        <f t="shared" si="68"/>
        <v>579.04999999999995</v>
      </c>
      <c r="G92" s="32">
        <f t="shared" si="69"/>
        <v>6311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512.15000000000009</v>
      </c>
      <c r="V92" s="50">
        <f t="shared" si="82"/>
        <v>579.04999999999995</v>
      </c>
      <c r="W92" s="50">
        <f t="shared" si="83"/>
        <v>531.34999999999991</v>
      </c>
      <c r="X92" s="29">
        <f t="shared" si="77"/>
        <v>1622.55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8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1.6697975457488496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86.623086286228244</v>
      </c>
      <c r="N3" s="46">
        <v>0</v>
      </c>
      <c r="O3" s="50">
        <f>G$5-N3*G$7</f>
        <v>141.46196330622277</v>
      </c>
      <c r="P3" s="50">
        <f>H$5-N3*H$7</f>
        <v>54.83887701999452</v>
      </c>
      <c r="Q3" s="50">
        <f>I$5-N3*I$7</f>
        <v>66.688729058347761</v>
      </c>
    </row>
    <row r="4" spans="1:17">
      <c r="C4" s="46" t="s">
        <v>20</v>
      </c>
      <c r="D4" s="7">
        <v>528.70000000000005</v>
      </c>
      <c r="E4" s="7">
        <v>1217</v>
      </c>
      <c r="F4" s="7">
        <v>577</v>
      </c>
      <c r="G4" s="50">
        <f>AVERAGE(D4:F4)</f>
        <v>774.23333333333323</v>
      </c>
      <c r="H4" s="50">
        <f>G4</f>
        <v>774.23333333333323</v>
      </c>
      <c r="I4" s="50">
        <f>H4</f>
        <v>774.23333333333323</v>
      </c>
      <c r="K4" s="13" t="str">
        <f>linefmt("Compensation",B12)</f>
        <v>"Compensation",41,</v>
      </c>
      <c r="M4" s="46">
        <f t="shared" si="0"/>
        <v>84.506519870639096</v>
      </c>
      <c r="N4" s="46">
        <f>N3+1</f>
        <v>1</v>
      </c>
      <c r="O4" s="50">
        <f t="shared" ref="O4:O66" si="1">G$5-N4*G$7</f>
        <v>139.2592472626778</v>
      </c>
      <c r="P4" s="50">
        <f t="shared" ref="P4:P66" si="2">H$5-N4*H$7</f>
        <v>54.752727392038707</v>
      </c>
      <c r="Q4" s="50">
        <f t="shared" ref="Q4:Q66" si="3">I$5-N4*I$7</f>
        <v>66.350477204891192</v>
      </c>
    </row>
    <row r="5" spans="1:17">
      <c r="C5" s="46">
        <v>0</v>
      </c>
      <c r="D5" s="9">
        <v>96.6</v>
      </c>
      <c r="E5" s="9">
        <v>86.2</v>
      </c>
      <c r="F5" s="9">
        <v>49.7</v>
      </c>
      <c r="G5" s="50">
        <f>G$4/D$4*D5</f>
        <v>141.46196330622277</v>
      </c>
      <c r="H5" s="50">
        <f t="shared" ref="H5:I6" si="4">H$4/E$4*E5</f>
        <v>54.83887701999452</v>
      </c>
      <c r="I5" s="50">
        <f t="shared" si="4"/>
        <v>66.688729058347761</v>
      </c>
      <c r="K5" s="14" t="str">
        <f>linefmt("CardGain",J54)</f>
        <v>"CardGain",13.61525,</v>
      </c>
      <c r="M5" s="46">
        <f t="shared" si="0"/>
        <v>82.389953455049948</v>
      </c>
      <c r="N5" s="46">
        <f t="shared" ref="N5:N66" si="5">N4+1</f>
        <v>2</v>
      </c>
      <c r="O5" s="50">
        <f t="shared" si="1"/>
        <v>137.05653121913284</v>
      </c>
      <c r="P5" s="50">
        <f t="shared" si="2"/>
        <v>54.666577764082895</v>
      </c>
      <c r="Q5" s="50">
        <f t="shared" si="3"/>
        <v>66.012225351434608</v>
      </c>
    </row>
    <row r="6" spans="1:17">
      <c r="B6" s="50">
        <f>D5/4</f>
        <v>24.15</v>
      </c>
      <c r="C6" s="7">
        <v>48</v>
      </c>
      <c r="D6" s="9">
        <v>24.4</v>
      </c>
      <c r="E6" s="9">
        <v>79.7</v>
      </c>
      <c r="F6" s="9">
        <v>37.6</v>
      </c>
      <c r="G6" s="50">
        <f>G$4/D$4*D6</f>
        <v>35.731593216064553</v>
      </c>
      <c r="H6" s="50">
        <f t="shared" si="4"/>
        <v>50.703694878115577</v>
      </c>
      <c r="I6" s="50">
        <f t="shared" si="4"/>
        <v>50.452640092432112</v>
      </c>
      <c r="K6" s="14" t="str">
        <f>linefmt("Range",1,J34,J37)</f>
        <v>"Range",1,0.9471579,0.9351486,</v>
      </c>
      <c r="M6" s="46">
        <f t="shared" si="0"/>
        <v>80.273387039460786</v>
      </c>
      <c r="N6" s="46">
        <f t="shared" si="5"/>
        <v>3</v>
      </c>
      <c r="O6" s="50">
        <f t="shared" si="1"/>
        <v>134.85381517558787</v>
      </c>
      <c r="P6" s="50">
        <f t="shared" si="2"/>
        <v>54.580428136127082</v>
      </c>
      <c r="Q6" s="50">
        <f t="shared" si="3"/>
        <v>65.673973497978039</v>
      </c>
    </row>
    <row r="7" spans="1:17">
      <c r="C7" s="46">
        <f>C5</f>
        <v>0</v>
      </c>
      <c r="D7" s="46">
        <f t="shared" ref="D7:F8" si="6">D$4/D5</f>
        <v>5.4730848861283654</v>
      </c>
      <c r="E7" s="46">
        <f t="shared" si="6"/>
        <v>14.118329466357308</v>
      </c>
      <c r="F7" s="46">
        <f t="shared" si="6"/>
        <v>11.609657947686117</v>
      </c>
      <c r="G7" s="49">
        <f>(G5-G6)/($C6-$C5)</f>
        <v>2.2027160435449629</v>
      </c>
      <c r="H7" s="49">
        <f t="shared" ref="H7:I7" si="7">(H5-H6)/($C6-$C5)</f>
        <v>8.6149627955811311E-2</v>
      </c>
      <c r="I7" s="49">
        <f t="shared" si="7"/>
        <v>0.33825185345657599</v>
      </c>
      <c r="K7" s="14" t="str">
        <f>linefmt("CCM" )</f>
        <v>"CCM",</v>
      </c>
      <c r="M7" s="46">
        <f t="shared" si="0"/>
        <v>78.156820623871653</v>
      </c>
      <c r="N7" s="46">
        <f t="shared" si="5"/>
        <v>4</v>
      </c>
      <c r="O7" s="50">
        <f t="shared" si="1"/>
        <v>132.65109913204293</v>
      </c>
      <c r="P7" s="50">
        <f t="shared" si="2"/>
        <v>54.494278508171277</v>
      </c>
      <c r="Q7" s="50">
        <f t="shared" si="3"/>
        <v>65.335721644521456</v>
      </c>
    </row>
    <row r="8" spans="1:17">
      <c r="C8" s="46">
        <f>C6</f>
        <v>48</v>
      </c>
      <c r="D8" s="46">
        <f t="shared" si="6"/>
        <v>21.668032786885249</v>
      </c>
      <c r="E8" s="46">
        <f t="shared" si="6"/>
        <v>15.269761606022584</v>
      </c>
      <c r="F8" s="46">
        <f t="shared" si="6"/>
        <v>15.345744680851062</v>
      </c>
      <c r="K8" s="15" t="str">
        <f>linefmt("",D54,E54,F54)</f>
        <v>0.3303792,1.035329,-0.3409152,</v>
      </c>
      <c r="M8" s="46">
        <f t="shared" si="0"/>
        <v>76.040254208282505</v>
      </c>
      <c r="N8" s="46">
        <f t="shared" si="5"/>
        <v>5</v>
      </c>
      <c r="O8" s="50">
        <f t="shared" si="1"/>
        <v>130.44838308849796</v>
      </c>
      <c r="P8" s="50">
        <f t="shared" si="2"/>
        <v>54.408128880215465</v>
      </c>
      <c r="Q8" s="50">
        <f t="shared" si="3"/>
        <v>64.997469791064887</v>
      </c>
    </row>
    <row r="9" spans="1:17">
      <c r="C9" s="46" t="s">
        <v>23</v>
      </c>
      <c r="D9" s="46">
        <f>(D8-D7)/($C8-$C7)</f>
        <v>0.33739474793243507</v>
      </c>
      <c r="E9" s="46">
        <f>(E8-E7)/($C8-$C7)</f>
        <v>2.3988169576359925E-2</v>
      </c>
      <c r="F9" s="46">
        <f>(F8-F7)/($C8-$C7)</f>
        <v>7.7835140274269701E-2</v>
      </c>
      <c r="K9" s="15" t="str">
        <f>linefmt("",D55,E55,F55)</f>
        <v>0.1487641,1,1.542308E-02,</v>
      </c>
      <c r="M9" s="46">
        <f t="shared" si="0"/>
        <v>73.923687792693343</v>
      </c>
      <c r="N9" s="46">
        <f t="shared" si="5"/>
        <v>6</v>
      </c>
      <c r="O9" s="50">
        <f t="shared" si="1"/>
        <v>128.245667044953</v>
      </c>
      <c r="P9" s="50">
        <f t="shared" si="2"/>
        <v>54.321979252259652</v>
      </c>
      <c r="Q9" s="50">
        <f t="shared" si="3"/>
        <v>64.659217937608304</v>
      </c>
    </row>
    <row r="10" spans="1:17">
      <c r="K10" s="16" t="str">
        <f>linefmt("",D56,E56,F56)</f>
        <v>-0.5322995,0.3547585,1.274373,</v>
      </c>
      <c r="M10" s="46">
        <f t="shared" si="0"/>
        <v>71.807121377104181</v>
      </c>
      <c r="N10" s="46">
        <f t="shared" si="5"/>
        <v>7</v>
      </c>
      <c r="O10" s="50">
        <f t="shared" si="1"/>
        <v>126.04295100140803</v>
      </c>
      <c r="P10" s="50">
        <f t="shared" si="2"/>
        <v>54.23582962430384</v>
      </c>
      <c r="Q10" s="50">
        <f t="shared" si="3"/>
        <v>64.320966084151735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69.690554961515033</v>
      </c>
      <c r="N11" s="46">
        <f t="shared" si="5"/>
        <v>8</v>
      </c>
      <c r="O11" s="50">
        <f t="shared" si="1"/>
        <v>123.84023495786306</v>
      </c>
      <c r="P11" s="50">
        <f t="shared" si="2"/>
        <v>54.149679996348027</v>
      </c>
      <c r="Q11" s="50">
        <f t="shared" si="3"/>
        <v>63.982714230695152</v>
      </c>
    </row>
    <row r="12" spans="1:17">
      <c r="A12" s="46" t="s">
        <v>16</v>
      </c>
      <c r="B12" s="10">
        <f>MATCH(M2,M3:M66,0)-1</f>
        <v>41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Compensation=41</v>
      </c>
      <c r="M12" s="46">
        <f t="shared" si="0"/>
        <v>67.573988545925886</v>
      </c>
      <c r="N12" s="46">
        <f t="shared" si="5"/>
        <v>9</v>
      </c>
      <c r="O12" s="50">
        <f t="shared" si="1"/>
        <v>121.63751891431811</v>
      </c>
      <c r="P12" s="50">
        <f t="shared" si="2"/>
        <v>54.063530368392222</v>
      </c>
      <c r="Q12" s="50">
        <f t="shared" si="3"/>
        <v>63.644462377238575</v>
      </c>
    </row>
    <row r="13" spans="1:17">
      <c r="A13" s="78" t="s">
        <v>12</v>
      </c>
      <c r="B13" s="79" t="s">
        <v>0</v>
      </c>
      <c r="C13" s="46">
        <v>0</v>
      </c>
      <c r="D13" s="7">
        <v>555</v>
      </c>
      <c r="E13" s="7">
        <v>513.29999999999995</v>
      </c>
      <c r="F13" s="7">
        <v>154.4</v>
      </c>
      <c r="G13" s="8">
        <v>93.2</v>
      </c>
      <c r="H13" s="8">
        <v>23.4</v>
      </c>
      <c r="I13" s="8">
        <v>43</v>
      </c>
      <c r="M13" s="46">
        <f t="shared" si="0"/>
        <v>65.457422130336738</v>
      </c>
      <c r="N13" s="46">
        <f t="shared" si="5"/>
        <v>10</v>
      </c>
      <c r="O13" s="50">
        <f t="shared" si="1"/>
        <v>119.43480287077314</v>
      </c>
      <c r="P13" s="50">
        <f t="shared" si="2"/>
        <v>53.977380740436409</v>
      </c>
      <c r="Q13" s="50">
        <f t="shared" si="3"/>
        <v>63.306210523781999</v>
      </c>
    </row>
    <row r="14" spans="1:17">
      <c r="A14" s="78"/>
      <c r="B14" s="79"/>
      <c r="C14" s="46">
        <f>C13+1</f>
        <v>1</v>
      </c>
      <c r="D14" s="7">
        <v>561.9</v>
      </c>
      <c r="E14" s="7">
        <v>519.79999999999995</v>
      </c>
      <c r="F14" s="7">
        <v>154.4</v>
      </c>
      <c r="G14" s="8">
        <v>97</v>
      </c>
      <c r="H14" s="8">
        <v>25.1</v>
      </c>
      <c r="I14" s="8">
        <v>45.7</v>
      </c>
      <c r="M14" s="46">
        <f t="shared" si="0"/>
        <v>63.34085571474759</v>
      </c>
      <c r="N14" s="46">
        <f t="shared" si="5"/>
        <v>11</v>
      </c>
      <c r="O14" s="50">
        <f t="shared" si="1"/>
        <v>117.23208682722819</v>
      </c>
      <c r="P14" s="50">
        <f t="shared" si="2"/>
        <v>53.891231112480597</v>
      </c>
      <c r="Q14" s="50">
        <f t="shared" si="3"/>
        <v>62.967958670325423</v>
      </c>
    </row>
    <row r="15" spans="1:17">
      <c r="A15" s="78"/>
      <c r="B15" s="79"/>
      <c r="C15" s="46">
        <f>C14+1</f>
        <v>2</v>
      </c>
      <c r="D15" s="6">
        <f>2*(D13-D14)/(D13+D14)</f>
        <v>-1.235562718237976E-2</v>
      </c>
      <c r="E15" s="6">
        <f t="shared" ref="E15:F15" si="8">2*(E13-E14)/(E13+E14)</f>
        <v>-1.2583486593746977E-2</v>
      </c>
      <c r="F15" s="6">
        <f t="shared" si="8"/>
        <v>0</v>
      </c>
      <c r="G15" s="8">
        <v>110.9</v>
      </c>
      <c r="H15" s="8">
        <v>23.2</v>
      </c>
      <c r="I15" s="8">
        <v>45.4</v>
      </c>
      <c r="M15" s="46">
        <f t="shared" si="0"/>
        <v>61.224289299158436</v>
      </c>
      <c r="N15" s="46">
        <f t="shared" si="5"/>
        <v>12</v>
      </c>
      <c r="O15" s="50">
        <f t="shared" si="1"/>
        <v>115.02937078368322</v>
      </c>
      <c r="P15" s="50">
        <f t="shared" si="2"/>
        <v>53.805081484524784</v>
      </c>
      <c r="Q15" s="50">
        <f t="shared" si="3"/>
        <v>62.629706816868847</v>
      </c>
    </row>
    <row r="16" spans="1:17">
      <c r="A16" s="78"/>
      <c r="B16" s="79" t="s">
        <v>1</v>
      </c>
      <c r="C16" s="46">
        <f>C13</f>
        <v>0</v>
      </c>
      <c r="D16" s="7">
        <v>1209</v>
      </c>
      <c r="E16" s="7">
        <v>1218</v>
      </c>
      <c r="F16" s="7">
        <v>656</v>
      </c>
      <c r="G16" s="8">
        <v>67.400000000000006</v>
      </c>
      <c r="H16" s="8">
        <v>79.7</v>
      </c>
      <c r="I16" s="8">
        <v>43.8</v>
      </c>
      <c r="M16" s="46">
        <f t="shared" si="0"/>
        <v>59.107722883569281</v>
      </c>
      <c r="N16" s="46">
        <f t="shared" si="5"/>
        <v>13</v>
      </c>
      <c r="O16" s="50">
        <f t="shared" si="1"/>
        <v>112.82665474013825</v>
      </c>
      <c r="P16" s="50">
        <f t="shared" si="2"/>
        <v>53.718931856568972</v>
      </c>
      <c r="Q16" s="50">
        <f t="shared" si="3"/>
        <v>62.291454963412271</v>
      </c>
    </row>
    <row r="17" spans="1:21">
      <c r="A17" s="78"/>
      <c r="B17" s="79"/>
      <c r="C17" s="46">
        <f t="shared" ref="C17:C21" si="9">C14</f>
        <v>1</v>
      </c>
      <c r="D17" s="7">
        <v>1210</v>
      </c>
      <c r="E17" s="7">
        <v>1219</v>
      </c>
      <c r="F17" s="7">
        <v>655</v>
      </c>
      <c r="G17" s="8">
        <v>70.900000000000006</v>
      </c>
      <c r="H17" s="8">
        <v>83.4</v>
      </c>
      <c r="I17" s="8">
        <v>46.5</v>
      </c>
      <c r="M17" s="46">
        <f t="shared" si="0"/>
        <v>56.991156467980126</v>
      </c>
      <c r="N17" s="46">
        <f t="shared" si="5"/>
        <v>14</v>
      </c>
      <c r="O17" s="50">
        <f t="shared" si="1"/>
        <v>110.62393869659329</v>
      </c>
      <c r="P17" s="50">
        <f t="shared" si="2"/>
        <v>53.632782228613159</v>
      </c>
      <c r="Q17" s="50">
        <f t="shared" si="3"/>
        <v>61.953203109955695</v>
      </c>
    </row>
    <row r="18" spans="1:21">
      <c r="A18" s="78"/>
      <c r="B18" s="79"/>
      <c r="C18" s="46">
        <f t="shared" si="9"/>
        <v>2</v>
      </c>
      <c r="D18" s="6">
        <f>2*(D16-D17)/(D16+D17)</f>
        <v>-8.2678792889623808E-4</v>
      </c>
      <c r="E18" s="6">
        <f t="shared" ref="E18:F18" si="10">2*(E16-E17)/(E16+E17)</f>
        <v>-8.206811653672548E-4</v>
      </c>
      <c r="F18" s="6">
        <f t="shared" si="10"/>
        <v>1.5255530129672007E-3</v>
      </c>
      <c r="G18" s="8">
        <v>69.400000000000006</v>
      </c>
      <c r="H18" s="8">
        <v>83.5</v>
      </c>
      <c r="I18" s="8">
        <v>46.4</v>
      </c>
      <c r="M18" s="46">
        <f t="shared" si="0"/>
        <v>54.874590052390971</v>
      </c>
      <c r="N18" s="46">
        <f t="shared" si="5"/>
        <v>15</v>
      </c>
      <c r="O18" s="50">
        <f t="shared" si="1"/>
        <v>108.42122265304832</v>
      </c>
      <c r="P18" s="50">
        <f t="shared" si="2"/>
        <v>53.546632600657347</v>
      </c>
      <c r="Q18" s="50">
        <f t="shared" si="3"/>
        <v>61.614951256499118</v>
      </c>
    </row>
    <row r="19" spans="1:21">
      <c r="A19" s="78"/>
      <c r="B19" s="79" t="s">
        <v>2</v>
      </c>
      <c r="C19" s="46">
        <f t="shared" si="9"/>
        <v>0</v>
      </c>
      <c r="D19" s="7">
        <v>511</v>
      </c>
      <c r="E19" s="7">
        <v>577.79999999999995</v>
      </c>
      <c r="F19" s="7">
        <v>531</v>
      </c>
      <c r="G19" s="8">
        <v>29.6</v>
      </c>
      <c r="H19" s="8">
        <v>37.6</v>
      </c>
      <c r="I19" s="8">
        <v>32.200000000000003</v>
      </c>
      <c r="M19" s="46">
        <f t="shared" si="0"/>
        <v>52.758023636801823</v>
      </c>
      <c r="N19" s="46">
        <f t="shared" si="5"/>
        <v>16</v>
      </c>
      <c r="O19" s="50">
        <f t="shared" si="1"/>
        <v>106.21850660950336</v>
      </c>
      <c r="P19" s="50">
        <f t="shared" si="2"/>
        <v>53.460482972701541</v>
      </c>
      <c r="Q19" s="50">
        <f t="shared" si="3"/>
        <v>61.276699403042542</v>
      </c>
    </row>
    <row r="20" spans="1:21">
      <c r="A20" s="78"/>
      <c r="B20" s="79"/>
      <c r="C20" s="46">
        <f t="shared" si="9"/>
        <v>1</v>
      </c>
      <c r="D20" s="7">
        <v>512.29999999999995</v>
      </c>
      <c r="E20" s="7">
        <v>578.9</v>
      </c>
      <c r="F20" s="7">
        <v>531.20000000000005</v>
      </c>
      <c r="G20" s="8">
        <v>31.8</v>
      </c>
      <c r="H20" s="8">
        <v>40.200000000000003</v>
      </c>
      <c r="I20" s="8">
        <v>34.4</v>
      </c>
      <c r="M20" s="46">
        <f t="shared" si="0"/>
        <v>50.641457221212683</v>
      </c>
      <c r="N20" s="46">
        <f t="shared" si="5"/>
        <v>17</v>
      </c>
      <c r="O20" s="50">
        <f t="shared" si="1"/>
        <v>104.01579056595841</v>
      </c>
      <c r="P20" s="50">
        <f t="shared" si="2"/>
        <v>53.374333344745729</v>
      </c>
      <c r="Q20" s="50">
        <f t="shared" si="3"/>
        <v>60.938447549585966</v>
      </c>
    </row>
    <row r="21" spans="1:21">
      <c r="A21" s="78"/>
      <c r="B21" s="79"/>
      <c r="C21" s="46">
        <f t="shared" si="9"/>
        <v>2</v>
      </c>
      <c r="D21" s="6">
        <f>2*(D19-D20)/(D19+D20)</f>
        <v>-2.540799374572373E-3</v>
      </c>
      <c r="E21" s="6">
        <f t="shared" ref="E21:F21" si="11">2*(E19-E20)/(E19+E20)</f>
        <v>-1.9019624794674901E-3</v>
      </c>
      <c r="F21" s="6">
        <f t="shared" si="11"/>
        <v>-3.7657691583514491E-4</v>
      </c>
      <c r="G21" s="8">
        <v>29.8</v>
      </c>
      <c r="H21" s="8">
        <v>39.799999999999997</v>
      </c>
      <c r="I21" s="8">
        <v>32.700000000000003</v>
      </c>
      <c r="M21" s="46">
        <f t="shared" si="0"/>
        <v>48.524890805623528</v>
      </c>
      <c r="N21" s="46">
        <f t="shared" si="5"/>
        <v>18</v>
      </c>
      <c r="O21" s="50">
        <f t="shared" si="1"/>
        <v>101.81307452241344</v>
      </c>
      <c r="P21" s="50">
        <f t="shared" si="2"/>
        <v>53.288183716789916</v>
      </c>
      <c r="Q21" s="50">
        <f t="shared" si="3"/>
        <v>60.60019569612939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558.45000000000005</v>
      </c>
      <c r="E22" s="46">
        <f t="shared" ref="E22:F22" si="12">(E13+E14)/2</f>
        <v>516.54999999999995</v>
      </c>
      <c r="F22" s="46">
        <f t="shared" si="12"/>
        <v>154.4</v>
      </c>
      <c r="G22" s="5">
        <f>G13</f>
        <v>93.2</v>
      </c>
      <c r="H22" s="5">
        <f t="shared" ref="H22:I22" si="13">H13</f>
        <v>23.4</v>
      </c>
      <c r="I22" s="5">
        <f t="shared" si="13"/>
        <v>43</v>
      </c>
      <c r="J22" s="99">
        <f>AVERAGE(G22:I24)</f>
        <v>49.988888888888894</v>
      </c>
      <c r="M22" s="46">
        <f t="shared" si="0"/>
        <v>46.408324390034373</v>
      </c>
      <c r="N22" s="46">
        <f t="shared" si="5"/>
        <v>19</v>
      </c>
      <c r="O22" s="50">
        <f t="shared" si="1"/>
        <v>99.610358478868477</v>
      </c>
      <c r="P22" s="50">
        <f t="shared" si="2"/>
        <v>53.202034088834104</v>
      </c>
      <c r="Q22" s="50">
        <f t="shared" si="3"/>
        <v>60.261943842672821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1209.5</v>
      </c>
      <c r="E23" s="46">
        <f>(E16+E17)/2</f>
        <v>1218.5</v>
      </c>
      <c r="F23" s="46">
        <f>(F16+F17)/2</f>
        <v>655.5</v>
      </c>
      <c r="G23" s="5">
        <f>G16</f>
        <v>67.400000000000006</v>
      </c>
      <c r="H23" s="5">
        <f>H16</f>
        <v>79.7</v>
      </c>
      <c r="I23" s="5">
        <f>I16</f>
        <v>43.8</v>
      </c>
      <c r="J23" s="99"/>
      <c r="M23" s="46">
        <f t="shared" si="0"/>
        <v>44.291757974445218</v>
      </c>
      <c r="N23" s="46">
        <f t="shared" si="5"/>
        <v>20</v>
      </c>
      <c r="O23" s="50">
        <f t="shared" si="1"/>
        <v>97.40764243532351</v>
      </c>
      <c r="P23" s="50">
        <f t="shared" si="2"/>
        <v>53.115884460878291</v>
      </c>
      <c r="Q23" s="50">
        <f t="shared" si="3"/>
        <v>59.923691989216238</v>
      </c>
    </row>
    <row r="24" spans="1:21">
      <c r="A24" s="78"/>
      <c r="B24" s="46" t="str">
        <f>B19</f>
        <v>D65</v>
      </c>
      <c r="C24" s="79"/>
      <c r="D24" s="46">
        <f>(D19+D20)/2</f>
        <v>511.65</v>
      </c>
      <c r="E24" s="46">
        <f>(E19+E20)/2</f>
        <v>578.34999999999991</v>
      </c>
      <c r="F24" s="46">
        <f>(F19+F20)/2</f>
        <v>531.1</v>
      </c>
      <c r="G24" s="5">
        <f>G19</f>
        <v>29.6</v>
      </c>
      <c r="H24" s="5">
        <f>H19</f>
        <v>37.6</v>
      </c>
      <c r="I24" s="5">
        <f>I19</f>
        <v>32.200000000000003</v>
      </c>
      <c r="J24" s="99"/>
      <c r="M24" s="46">
        <f t="shared" si="0"/>
        <v>42.175191558856056</v>
      </c>
      <c r="N24" s="46">
        <f t="shared" si="5"/>
        <v>21</v>
      </c>
      <c r="O24" s="50">
        <f t="shared" si="1"/>
        <v>95.204926391778542</v>
      </c>
      <c r="P24" s="50">
        <f t="shared" si="2"/>
        <v>53.029734832922486</v>
      </c>
      <c r="Q24" s="50">
        <f t="shared" si="3"/>
        <v>59.585440135759669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558.45000000000005</v>
      </c>
      <c r="E25" s="46">
        <f t="shared" ref="E25:F25" si="15">(E13+E14)/2</f>
        <v>516.54999999999995</v>
      </c>
      <c r="F25" s="46">
        <f t="shared" si="15"/>
        <v>154.4</v>
      </c>
      <c r="G25" s="5">
        <f t="shared" ref="G25:I25" si="16">G14</f>
        <v>97</v>
      </c>
      <c r="H25" s="5">
        <f t="shared" si="16"/>
        <v>25.1</v>
      </c>
      <c r="I25" s="5">
        <f t="shared" si="16"/>
        <v>45.7</v>
      </c>
      <c r="J25" s="99">
        <f>AVERAGE(G25:I27)</f>
        <v>52.777777777777779</v>
      </c>
      <c r="M25" s="46">
        <f t="shared" si="0"/>
        <v>40.058625143266916</v>
      </c>
      <c r="N25" s="46">
        <f t="shared" si="5"/>
        <v>22</v>
      </c>
      <c r="O25" s="50">
        <f t="shared" si="1"/>
        <v>93.002210348233589</v>
      </c>
      <c r="P25" s="50">
        <f t="shared" si="2"/>
        <v>52.943585204966674</v>
      </c>
      <c r="Q25" s="50">
        <f t="shared" si="3"/>
        <v>59.247188282303085</v>
      </c>
    </row>
    <row r="26" spans="1:21">
      <c r="A26" s="78"/>
      <c r="B26" s="46" t="str">
        <f>B16</f>
        <v>CWF</v>
      </c>
      <c r="C26" s="79"/>
      <c r="D26" s="46">
        <f>(D16+D17)/2</f>
        <v>1209.5</v>
      </c>
      <c r="E26" s="46">
        <f>(E16+E17)/2</f>
        <v>1218.5</v>
      </c>
      <c r="F26" s="46">
        <f>(F16+F17)/2</f>
        <v>655.5</v>
      </c>
      <c r="G26" s="5">
        <f>G17</f>
        <v>70.900000000000006</v>
      </c>
      <c r="H26" s="5">
        <f>H17</f>
        <v>83.4</v>
      </c>
      <c r="I26" s="5">
        <f>I17</f>
        <v>46.5</v>
      </c>
      <c r="J26" s="99"/>
      <c r="M26" s="46">
        <f t="shared" si="0"/>
        <v>37.942058727677761</v>
      </c>
      <c r="N26" s="46">
        <f t="shared" si="5"/>
        <v>23</v>
      </c>
      <c r="O26" s="50">
        <f t="shared" si="1"/>
        <v>90.799494304688622</v>
      </c>
      <c r="P26" s="50">
        <f t="shared" si="2"/>
        <v>52.857435577010861</v>
      </c>
      <c r="Q26" s="50">
        <f t="shared" si="3"/>
        <v>58.908936428846516</v>
      </c>
    </row>
    <row r="27" spans="1:21">
      <c r="A27" s="78"/>
      <c r="B27" s="46" t="str">
        <f>B19</f>
        <v>D65</v>
      </c>
      <c r="C27" s="79"/>
      <c r="D27" s="46">
        <f>(D19+D20)/2</f>
        <v>511.65</v>
      </c>
      <c r="E27" s="46">
        <f>(E19+E20)/2</f>
        <v>578.34999999999991</v>
      </c>
      <c r="F27" s="46">
        <f>(F19+F20)/2</f>
        <v>531.1</v>
      </c>
      <c r="G27" s="5">
        <f>G20</f>
        <v>31.8</v>
      </c>
      <c r="H27" s="5">
        <f>H20</f>
        <v>40.200000000000003</v>
      </c>
      <c r="I27" s="5">
        <f>I20</f>
        <v>34.4</v>
      </c>
      <c r="J27" s="99"/>
      <c r="M27" s="46">
        <f t="shared" si="0"/>
        <v>35.82549231208862</v>
      </c>
      <c r="N27" s="46">
        <f t="shared" si="5"/>
        <v>24</v>
      </c>
      <c r="O27" s="50">
        <f t="shared" si="1"/>
        <v>88.596778261143669</v>
      </c>
      <c r="P27" s="50">
        <f t="shared" si="2"/>
        <v>52.771285949055049</v>
      </c>
      <c r="Q27" s="50">
        <f t="shared" si="3"/>
        <v>58.570684575389933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558.45000000000005</v>
      </c>
      <c r="E28" s="46">
        <f t="shared" ref="E28:F28" si="17">(E13+E14)/2</f>
        <v>516.54999999999995</v>
      </c>
      <c r="F28" s="46">
        <f t="shared" si="17"/>
        <v>154.4</v>
      </c>
      <c r="G28" s="5">
        <f t="shared" ref="G28:I28" si="18">G15</f>
        <v>110.9</v>
      </c>
      <c r="H28" s="5">
        <f t="shared" si="18"/>
        <v>23.2</v>
      </c>
      <c r="I28" s="5">
        <f t="shared" si="18"/>
        <v>45.4</v>
      </c>
      <c r="J28" s="99">
        <f>AVERAGE(G28:I30)</f>
        <v>53.455555555555549</v>
      </c>
      <c r="M28" s="46">
        <f t="shared" si="0"/>
        <v>33.708925896499466</v>
      </c>
      <c r="N28" s="46">
        <f t="shared" si="5"/>
        <v>25</v>
      </c>
      <c r="O28" s="50">
        <f t="shared" si="1"/>
        <v>86.394062217598702</v>
      </c>
      <c r="P28" s="50">
        <f t="shared" si="2"/>
        <v>52.685136321099236</v>
      </c>
      <c r="Q28" s="50">
        <f t="shared" si="3"/>
        <v>58.232432721933364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1209.5</v>
      </c>
      <c r="E29" s="46">
        <f t="shared" si="20"/>
        <v>1218.5</v>
      </c>
      <c r="F29" s="46">
        <f t="shared" si="20"/>
        <v>655.5</v>
      </c>
      <c r="G29" s="5">
        <f t="shared" ref="G29:I29" si="21">G18</f>
        <v>69.400000000000006</v>
      </c>
      <c r="H29" s="5">
        <f t="shared" si="21"/>
        <v>83.5</v>
      </c>
      <c r="I29" s="5">
        <f t="shared" si="21"/>
        <v>46.4</v>
      </c>
      <c r="J29" s="99"/>
      <c r="M29" s="46">
        <f t="shared" si="0"/>
        <v>31.592359480910311</v>
      </c>
      <c r="N29" s="46">
        <f t="shared" si="5"/>
        <v>26</v>
      </c>
      <c r="O29" s="50">
        <f t="shared" si="1"/>
        <v>84.191346174053734</v>
      </c>
      <c r="P29" s="50">
        <f t="shared" si="2"/>
        <v>52.598986693143424</v>
      </c>
      <c r="Q29" s="50">
        <f t="shared" si="3"/>
        <v>57.894180868476781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511.65</v>
      </c>
      <c r="E30" s="46">
        <f t="shared" si="23"/>
        <v>578.34999999999991</v>
      </c>
      <c r="F30" s="46">
        <f t="shared" si="23"/>
        <v>531.1</v>
      </c>
      <c r="G30" s="5">
        <f t="shared" ref="G30:I30" si="24">G21</f>
        <v>29.8</v>
      </c>
      <c r="H30" s="5">
        <f t="shared" si="24"/>
        <v>39.799999999999997</v>
      </c>
      <c r="I30" s="5">
        <f t="shared" si="24"/>
        <v>32.700000000000003</v>
      </c>
      <c r="J30" s="99"/>
      <c r="M30" s="46">
        <f t="shared" si="0"/>
        <v>29.475793065321156</v>
      </c>
      <c r="N30" s="46">
        <f t="shared" si="5"/>
        <v>27</v>
      </c>
      <c r="O30" s="50">
        <f t="shared" si="1"/>
        <v>81.988630130508767</v>
      </c>
      <c r="P30" s="50">
        <f t="shared" si="2"/>
        <v>52.512837065187611</v>
      </c>
      <c r="Q30" s="50">
        <f t="shared" si="3"/>
        <v>57.555929015020212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558.45000000000005</v>
      </c>
      <c r="E31" s="46">
        <f t="shared" si="25"/>
        <v>516.54999999999995</v>
      </c>
      <c r="F31" s="46">
        <f t="shared" si="25"/>
        <v>154.4</v>
      </c>
      <c r="G31" s="5">
        <f t="shared" ref="G31:I33" si="26">G22*$J$31</f>
        <v>93.2</v>
      </c>
      <c r="H31" s="5">
        <f t="shared" si="26"/>
        <v>23.4</v>
      </c>
      <c r="I31" s="5">
        <f t="shared" si="26"/>
        <v>43</v>
      </c>
      <c r="J31" s="96">
        <f>J$22/J22</f>
        <v>1</v>
      </c>
      <c r="M31" s="46">
        <f t="shared" si="0"/>
        <v>27.359226649732008</v>
      </c>
      <c r="N31" s="46">
        <f t="shared" si="5"/>
        <v>28</v>
      </c>
      <c r="O31" s="50">
        <f t="shared" si="1"/>
        <v>79.785914086963814</v>
      </c>
      <c r="P31" s="50">
        <f t="shared" si="2"/>
        <v>52.426687437231806</v>
      </c>
      <c r="Q31" s="50">
        <f t="shared" si="3"/>
        <v>57.217677161563635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1209.5</v>
      </c>
      <c r="E32" s="46">
        <f t="shared" si="27"/>
        <v>1218.5</v>
      </c>
      <c r="F32" s="46">
        <f t="shared" si="27"/>
        <v>655.5</v>
      </c>
      <c r="G32" s="5">
        <f t="shared" si="26"/>
        <v>67.400000000000006</v>
      </c>
      <c r="H32" s="5">
        <f t="shared" si="26"/>
        <v>79.7</v>
      </c>
      <c r="I32" s="5">
        <f t="shared" si="26"/>
        <v>43.8</v>
      </c>
      <c r="J32" s="96"/>
      <c r="M32" s="46">
        <f t="shared" si="0"/>
        <v>25.242660234142853</v>
      </c>
      <c r="N32" s="46">
        <f t="shared" si="5"/>
        <v>29</v>
      </c>
      <c r="O32" s="50">
        <f t="shared" si="1"/>
        <v>77.583198043418847</v>
      </c>
      <c r="P32" s="50">
        <f t="shared" si="2"/>
        <v>52.340537809275993</v>
      </c>
      <c r="Q32" s="50">
        <f t="shared" si="3"/>
        <v>56.879425308107059</v>
      </c>
    </row>
    <row r="33" spans="1:17">
      <c r="A33" s="78"/>
      <c r="B33" s="46" t="str">
        <f t="shared" si="27"/>
        <v>D65</v>
      </c>
      <c r="C33" s="79"/>
      <c r="D33" s="46">
        <f t="shared" si="27"/>
        <v>511.65</v>
      </c>
      <c r="E33" s="46">
        <f t="shared" si="27"/>
        <v>578.34999999999991</v>
      </c>
      <c r="F33" s="46">
        <f t="shared" si="27"/>
        <v>531.1</v>
      </c>
      <c r="G33" s="5">
        <f t="shared" si="26"/>
        <v>29.6</v>
      </c>
      <c r="H33" s="5">
        <f t="shared" si="26"/>
        <v>37.6</v>
      </c>
      <c r="I33" s="5">
        <f t="shared" si="26"/>
        <v>32.200000000000003</v>
      </c>
      <c r="J33" s="96"/>
      <c r="M33" s="46">
        <f t="shared" si="0"/>
        <v>23.126093818553699</v>
      </c>
      <c r="N33" s="46">
        <f t="shared" si="5"/>
        <v>30</v>
      </c>
      <c r="O33" s="50">
        <f t="shared" si="1"/>
        <v>75.380481999873879</v>
      </c>
      <c r="P33" s="50">
        <f t="shared" si="2"/>
        <v>52.254388181320181</v>
      </c>
      <c r="Q33" s="50">
        <f t="shared" si="3"/>
        <v>56.541173454650483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558.45000000000005</v>
      </c>
      <c r="E34" s="46">
        <f t="shared" si="27"/>
        <v>516.54999999999995</v>
      </c>
      <c r="F34" s="46">
        <f t="shared" si="27"/>
        <v>154.4</v>
      </c>
      <c r="G34" s="5">
        <f t="shared" ref="G34:I36" si="28">G25*$J$34</f>
        <v>91.874315789473698</v>
      </c>
      <c r="H34" s="5">
        <f t="shared" si="28"/>
        <v>23.773663157894742</v>
      </c>
      <c r="I34" s="5">
        <f t="shared" si="28"/>
        <v>43.285115789473693</v>
      </c>
      <c r="J34" s="96">
        <f>J$22/J25</f>
        <v>0.9471578947368422</v>
      </c>
      <c r="M34" s="46">
        <f t="shared" si="0"/>
        <v>21.009527402964558</v>
      </c>
      <c r="N34" s="46">
        <f t="shared" si="5"/>
        <v>31</v>
      </c>
      <c r="O34" s="50">
        <f t="shared" si="1"/>
        <v>73.177765956328926</v>
      </c>
      <c r="P34" s="50">
        <f t="shared" si="2"/>
        <v>52.168238553364368</v>
      </c>
      <c r="Q34" s="50">
        <f t="shared" si="3"/>
        <v>56.202921601193907</v>
      </c>
    </row>
    <row r="35" spans="1:17">
      <c r="A35" s="78"/>
      <c r="B35" s="46" t="str">
        <f t="shared" si="27"/>
        <v>CWF</v>
      </c>
      <c r="C35" s="79"/>
      <c r="D35" s="46">
        <f t="shared" si="27"/>
        <v>1209.5</v>
      </c>
      <c r="E35" s="46">
        <f t="shared" si="27"/>
        <v>1218.5</v>
      </c>
      <c r="F35" s="46">
        <f t="shared" si="27"/>
        <v>655.5</v>
      </c>
      <c r="G35" s="5">
        <f t="shared" si="28"/>
        <v>67.15349473684212</v>
      </c>
      <c r="H35" s="5">
        <f t="shared" si="28"/>
        <v>78.992968421052652</v>
      </c>
      <c r="I35" s="5">
        <f t="shared" si="28"/>
        <v>44.042842105263162</v>
      </c>
      <c r="J35" s="96"/>
      <c r="M35" s="46">
        <f t="shared" si="0"/>
        <v>18.892960987375403</v>
      </c>
      <c r="N35" s="46">
        <f t="shared" si="5"/>
        <v>32</v>
      </c>
      <c r="O35" s="50">
        <f t="shared" si="1"/>
        <v>70.975049912783959</v>
      </c>
      <c r="P35" s="50">
        <f t="shared" si="2"/>
        <v>52.082088925408556</v>
      </c>
      <c r="Q35" s="50">
        <f t="shared" si="3"/>
        <v>55.864669747737331</v>
      </c>
    </row>
    <row r="36" spans="1:17">
      <c r="A36" s="78"/>
      <c r="B36" s="46" t="str">
        <f t="shared" si="27"/>
        <v>D65</v>
      </c>
      <c r="C36" s="79"/>
      <c r="D36" s="46">
        <f t="shared" si="27"/>
        <v>511.65</v>
      </c>
      <c r="E36" s="46">
        <f t="shared" si="27"/>
        <v>578.34999999999991</v>
      </c>
      <c r="F36" s="46">
        <f t="shared" si="27"/>
        <v>531.1</v>
      </c>
      <c r="G36" s="5">
        <f t="shared" si="28"/>
        <v>30.119621052631583</v>
      </c>
      <c r="H36" s="5">
        <f t="shared" si="28"/>
        <v>38.075747368421062</v>
      </c>
      <c r="I36" s="5">
        <f t="shared" si="28"/>
        <v>32.582231578947372</v>
      </c>
      <c r="J36" s="96"/>
      <c r="M36" s="46">
        <f t="shared" si="0"/>
        <v>16.776394571786241</v>
      </c>
      <c r="N36" s="46">
        <f t="shared" si="5"/>
        <v>33</v>
      </c>
      <c r="O36" s="50">
        <f t="shared" si="1"/>
        <v>68.772333869238992</v>
      </c>
      <c r="P36" s="50">
        <f t="shared" si="2"/>
        <v>51.99593929745275</v>
      </c>
      <c r="Q36" s="50">
        <f t="shared" si="3"/>
        <v>55.526417894280755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558.45000000000005</v>
      </c>
      <c r="E37" s="46">
        <f t="shared" si="27"/>
        <v>516.54999999999995</v>
      </c>
      <c r="F37" s="46">
        <f t="shared" si="27"/>
        <v>154.4</v>
      </c>
      <c r="G37" s="5">
        <f t="shared" ref="G37:I39" si="29">G28*$J$37</f>
        <v>103.70798170858453</v>
      </c>
      <c r="H37" s="5">
        <f t="shared" si="29"/>
        <v>21.695447931822912</v>
      </c>
      <c r="I37" s="5">
        <f t="shared" si="29"/>
        <v>42.455747245894834</v>
      </c>
      <c r="J37" s="96">
        <f>J$22/J28</f>
        <v>0.93514861775098757</v>
      </c>
      <c r="K37" s="51" t="str">
        <f>CHAR(34) &amp; "EEpromVersion" &amp;CHAR(34)  &amp; ",3,"</f>
        <v>"EEpromVersion",3,</v>
      </c>
      <c r="M37" s="46">
        <f t="shared" si="0"/>
        <v>14.659828156197101</v>
      </c>
      <c r="N37" s="46">
        <f t="shared" si="5"/>
        <v>34</v>
      </c>
      <c r="O37" s="50">
        <f t="shared" si="1"/>
        <v>66.569617825694039</v>
      </c>
      <c r="P37" s="50">
        <f t="shared" si="2"/>
        <v>51.909789669496938</v>
      </c>
      <c r="Q37" s="50">
        <f t="shared" si="3"/>
        <v>55.188166040824179</v>
      </c>
    </row>
    <row r="38" spans="1:17">
      <c r="A38" s="78"/>
      <c r="B38" s="46" t="str">
        <f t="shared" si="27"/>
        <v>CWF</v>
      </c>
      <c r="C38" s="79"/>
      <c r="D38" s="46">
        <f t="shared" si="27"/>
        <v>1209.5</v>
      </c>
      <c r="E38" s="46">
        <f t="shared" si="27"/>
        <v>1218.5</v>
      </c>
      <c r="F38" s="46">
        <f t="shared" si="27"/>
        <v>655.5</v>
      </c>
      <c r="G38" s="5">
        <f t="shared" si="29"/>
        <v>64.899314071918539</v>
      </c>
      <c r="H38" s="5">
        <f t="shared" si="29"/>
        <v>78.084909582207459</v>
      </c>
      <c r="I38" s="5">
        <f t="shared" si="29"/>
        <v>43.390895863645824</v>
      </c>
      <c r="J38" s="96"/>
      <c r="K38" s="52" t="str">
        <f>K4</f>
        <v>"Compensation",41,</v>
      </c>
      <c r="M38" s="46">
        <f t="shared" si="0"/>
        <v>12.543261740607946</v>
      </c>
      <c r="N38" s="46">
        <f t="shared" si="5"/>
        <v>35</v>
      </c>
      <c r="O38" s="50">
        <f t="shared" si="1"/>
        <v>64.366901782149071</v>
      </c>
      <c r="P38" s="50">
        <f t="shared" si="2"/>
        <v>51.823640041541125</v>
      </c>
      <c r="Q38" s="50">
        <f t="shared" si="3"/>
        <v>54.849914187367602</v>
      </c>
    </row>
    <row r="39" spans="1:17">
      <c r="A39" s="78"/>
      <c r="B39" s="46" t="str">
        <f t="shared" si="27"/>
        <v>D65</v>
      </c>
      <c r="C39" s="79"/>
      <c r="D39" s="46">
        <f t="shared" si="27"/>
        <v>511.65</v>
      </c>
      <c r="E39" s="46">
        <f t="shared" si="27"/>
        <v>578.34999999999991</v>
      </c>
      <c r="F39" s="46">
        <f t="shared" si="27"/>
        <v>531.1</v>
      </c>
      <c r="G39" s="5">
        <f t="shared" si="29"/>
        <v>27.86742880897943</v>
      </c>
      <c r="H39" s="5">
        <f t="shared" si="29"/>
        <v>37.218914986489303</v>
      </c>
      <c r="I39" s="5">
        <f t="shared" si="29"/>
        <v>30.579359800457297</v>
      </c>
      <c r="J39" s="96"/>
      <c r="K39" s="53" t="str">
        <f>linefmt("CardGain",J42,J45,J48)</f>
        <v>"CardGain",13.32505,13.71814,13.78485,</v>
      </c>
      <c r="M39" s="46">
        <f t="shared" si="0"/>
        <v>10.426695325018791</v>
      </c>
      <c r="N39" s="46">
        <f t="shared" si="5"/>
        <v>36</v>
      </c>
      <c r="O39" s="50">
        <f t="shared" si="1"/>
        <v>62.164185738604104</v>
      </c>
      <c r="P39" s="50">
        <f t="shared" si="2"/>
        <v>51.737490413585313</v>
      </c>
      <c r="Q39" s="50">
        <f t="shared" si="3"/>
        <v>54.511662333911026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"Range",1,0.9471579,0.9351486,</v>
      </c>
      <c r="M40" s="46">
        <f t="shared" si="0"/>
        <v>8.3101289094296504</v>
      </c>
      <c r="N40" s="46">
        <f t="shared" si="5"/>
        <v>37</v>
      </c>
      <c r="O40" s="50">
        <f t="shared" si="1"/>
        <v>59.961469695059151</v>
      </c>
      <c r="P40" s="50">
        <f t="shared" si="2"/>
        <v>51.6513407856295</v>
      </c>
      <c r="Q40" s="50">
        <f t="shared" si="3"/>
        <v>54.17341048045445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6.1935624938404956</v>
      </c>
      <c r="N41" s="46">
        <f t="shared" si="5"/>
        <v>38</v>
      </c>
      <c r="O41" s="50">
        <f t="shared" si="1"/>
        <v>57.758753651514184</v>
      </c>
      <c r="P41" s="50">
        <f t="shared" si="2"/>
        <v>51.565191157673688</v>
      </c>
      <c r="Q41" s="50">
        <f t="shared" si="3"/>
        <v>53.835158626997874</v>
      </c>
    </row>
    <row r="42" spans="1:17">
      <c r="A42" s="4"/>
      <c r="B42" s="46" t="s">
        <v>3</v>
      </c>
      <c r="C42" s="79">
        <f>C31</f>
        <v>0</v>
      </c>
      <c r="D42" s="46">
        <f>I42/$H$43</f>
        <v>0.33883023480889074</v>
      </c>
      <c r="E42" s="46">
        <f>H42/$H$43</f>
        <v>1.0276396928404399</v>
      </c>
      <c r="F42" s="46">
        <f>G42/$H$43</f>
        <v>-0.31897561128648033</v>
      </c>
      <c r="G42" s="46">
        <f t="array" ref="G42:I42">LINEST($D31:$D33,$G31:$I33,FALSE)</f>
        <v>-4.2503650608313794</v>
      </c>
      <c r="H42" s="46">
        <v>13.693347362691068</v>
      </c>
      <c r="I42" s="46">
        <v>4.5149288554589937</v>
      </c>
      <c r="J42" s="97">
        <f>H43</f>
        <v>13.325047152316657</v>
      </c>
      <c r="K42" s="53" t="str">
        <f t="shared" ref="K42:K50" si="30">linefmt("",D42,E42,F42)</f>
        <v>0.3388302,1.02764,-0.3189756,</v>
      </c>
      <c r="M42" s="46">
        <f t="shared" si="0"/>
        <v>4.0769960782513408</v>
      </c>
      <c r="N42" s="46">
        <f t="shared" si="5"/>
        <v>39</v>
      </c>
      <c r="O42" s="50">
        <f t="shared" si="1"/>
        <v>55.556037607969216</v>
      </c>
      <c r="P42" s="50">
        <f t="shared" si="2"/>
        <v>51.479041529717875</v>
      </c>
      <c r="Q42" s="50">
        <f t="shared" si="3"/>
        <v>53.496906773541298</v>
      </c>
    </row>
    <row r="43" spans="1:17">
      <c r="A43" s="4"/>
      <c r="B43" s="46" t="s">
        <v>4</v>
      </c>
      <c r="C43" s="79"/>
      <c r="D43" s="46">
        <f>I43/$H$43</f>
        <v>0.14189312636262655</v>
      </c>
      <c r="E43" s="46">
        <f>H43/$H$43</f>
        <v>1</v>
      </c>
      <c r="F43" s="46">
        <f>G43/$H$43</f>
        <v>4.9788415595570089E-2</v>
      </c>
      <c r="G43" s="46">
        <f t="array" ref="G43:I43">LINEST($E31:$E33,$G31:$I33,FALSE)</f>
        <v>0.66343298545010942</v>
      </c>
      <c r="H43" s="46">
        <v>13.325047152316657</v>
      </c>
      <c r="I43" s="46">
        <v>1.8907325993716244</v>
      </c>
      <c r="J43" s="97"/>
      <c r="K43" s="53" t="str">
        <f t="shared" si="30"/>
        <v>0.1418931,1,4.978842E-02,</v>
      </c>
      <c r="M43" s="46">
        <f t="shared" si="0"/>
        <v>1.9604296626621789</v>
      </c>
      <c r="N43" s="46">
        <f t="shared" si="5"/>
        <v>40</v>
      </c>
      <c r="O43" s="50">
        <f t="shared" si="1"/>
        <v>53.353321564424249</v>
      </c>
      <c r="P43" s="50">
        <f t="shared" si="2"/>
        <v>51.39289190176207</v>
      </c>
      <c r="Q43" s="50">
        <f t="shared" si="3"/>
        <v>53.158654920084722</v>
      </c>
    </row>
    <row r="44" spans="1:17">
      <c r="A44" s="4"/>
      <c r="B44" s="46" t="s">
        <v>5</v>
      </c>
      <c r="C44" s="79"/>
      <c r="D44" s="46">
        <f>I44/$H$43</f>
        <v>-0.58563910973280653</v>
      </c>
      <c r="E44" s="46">
        <f>H44/$H$43</f>
        <v>0.38065815135164022</v>
      </c>
      <c r="F44" s="46">
        <f>G44/$H$43</f>
        <v>1.3316596583454865</v>
      </c>
      <c r="G44" s="46">
        <f t="array" ref="G44:I44">LINEST($F$31:$F$33,$G31:$I33,FALSE)</f>
        <v>17.744427738291495</v>
      </c>
      <c r="H44" s="46">
        <v>5.0722878156742963</v>
      </c>
      <c r="I44" s="46">
        <v>-7.8036687514303962</v>
      </c>
      <c r="J44" s="97"/>
      <c r="K44" s="53" t="str">
        <f t="shared" si="30"/>
        <v>-0.5856391,0.3806581,1.33166,</v>
      </c>
      <c r="M44" s="46">
        <f t="shared" si="0"/>
        <v>1.6697975457488496</v>
      </c>
      <c r="N44" s="46">
        <f t="shared" si="5"/>
        <v>41</v>
      </c>
      <c r="O44" s="50">
        <f t="shared" si="1"/>
        <v>51.150605520879296</v>
      </c>
      <c r="P44" s="50">
        <f t="shared" si="2"/>
        <v>51.306742273806258</v>
      </c>
      <c r="Q44" s="50">
        <f t="shared" si="3"/>
        <v>52.820403066628145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0.35987130807267065</v>
      </c>
      <c r="E45" s="46">
        <f>H45/$H$46</f>
        <v>1.0258813878751878</v>
      </c>
      <c r="F45" s="46">
        <f>G45/$H$46</f>
        <v>-0.3868079044352688</v>
      </c>
      <c r="G45" s="46">
        <f t="array" ref="G45:I45">LINEST($D34:$D36,$G34:$I36,FALSE)</f>
        <v>-5.3062860010197435</v>
      </c>
      <c r="H45" s="46">
        <v>14.073187193876977</v>
      </c>
      <c r="I45" s="46">
        <v>4.9367659303204299</v>
      </c>
      <c r="J45" s="97">
        <f>H46</f>
        <v>13.718142623705704</v>
      </c>
      <c r="K45" s="53" t="str">
        <f t="shared" si="30"/>
        <v>0.3598713,1.025881,-0.3868079,</v>
      </c>
      <c r="M45" s="46">
        <f t="shared" si="0"/>
        <v>3.5342617358372408</v>
      </c>
      <c r="N45" s="46">
        <f t="shared" si="5"/>
        <v>42</v>
      </c>
      <c r="O45" s="50">
        <f t="shared" si="1"/>
        <v>48.947889477334328</v>
      </c>
      <c r="P45" s="50">
        <f t="shared" si="2"/>
        <v>51.220592645850445</v>
      </c>
      <c r="Q45" s="50">
        <f t="shared" si="3"/>
        <v>52.482151213171569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0.16304501591212492</v>
      </c>
      <c r="E46" s="46">
        <f>H46/$H$46</f>
        <v>1</v>
      </c>
      <c r="F46" s="46">
        <f>G46/$H$46</f>
        <v>-2.5385122397362771E-2</v>
      </c>
      <c r="G46" s="46">
        <f t="array" ref="G46:I46">LINEST($E34:$E36,$G34:$I36,FALSE)</f>
        <v>-0.34823672956724855</v>
      </c>
      <c r="H46" s="46">
        <v>13.718142623705704</v>
      </c>
      <c r="I46" s="46">
        <v>2.2366747823668955</v>
      </c>
      <c r="J46" s="97"/>
      <c r="K46" s="53" t="str">
        <f t="shared" si="30"/>
        <v>0.163045,1,-2.538512E-02,</v>
      </c>
      <c r="M46" s="46">
        <f t="shared" si="0"/>
        <v>5.3987259259256319</v>
      </c>
      <c r="N46" s="46">
        <f t="shared" si="5"/>
        <v>43</v>
      </c>
      <c r="O46" s="50">
        <f t="shared" si="1"/>
        <v>46.745173433789361</v>
      </c>
      <c r="P46" s="50">
        <f t="shared" si="2"/>
        <v>51.134443017894633</v>
      </c>
      <c r="Q46" s="50">
        <f t="shared" si="3"/>
        <v>52.143899359714993</v>
      </c>
    </row>
    <row r="47" spans="1:17">
      <c r="A47" s="4"/>
      <c r="B47" s="46" t="str">
        <f t="shared" si="31"/>
        <v>Z</v>
      </c>
      <c r="C47" s="79"/>
      <c r="D47" s="46">
        <f>I47/$H$46</f>
        <v>-0.57475562418067738</v>
      </c>
      <c r="E47" s="46">
        <f>H47/$H$46</f>
        <v>0.38681051870026367</v>
      </c>
      <c r="F47" s="46">
        <f>G47/$H$46</f>
        <v>1.267515258963301</v>
      </c>
      <c r="G47" s="46">
        <f t="array" ref="G47:I47">LINEST($F$31:$F$33,$G34:$I36,FALSE)</f>
        <v>17.387955100181834</v>
      </c>
      <c r="H47" s="46">
        <v>5.3063218638797993</v>
      </c>
      <c r="I47" s="46">
        <v>-7.8845796262875281</v>
      </c>
      <c r="J47" s="97"/>
      <c r="K47" s="53" t="str">
        <f t="shared" si="30"/>
        <v>-0.5747556,0.3868105,1.267515,</v>
      </c>
      <c r="M47" s="46">
        <f t="shared" si="0"/>
        <v>7.2631901160140089</v>
      </c>
      <c r="N47" s="46">
        <f t="shared" si="5"/>
        <v>44</v>
      </c>
      <c r="O47" s="50">
        <f t="shared" si="1"/>
        <v>44.542457390244408</v>
      </c>
      <c r="P47" s="50">
        <f t="shared" si="2"/>
        <v>51.04829338993882</v>
      </c>
      <c r="Q47" s="50">
        <f t="shared" si="3"/>
        <v>51.805647506258417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0.32161737006901009</v>
      </c>
      <c r="E48" s="46">
        <f>H48/$H$49</f>
        <v>1.0651329273704013</v>
      </c>
      <c r="F48" s="46">
        <f>G48/$H$49</f>
        <v>-0.37570781695596356</v>
      </c>
      <c r="G48" s="46">
        <f t="array" ref="G48:I48">LINEST($D37:$D39,$G37:$I39,FALSE)</f>
        <v>-5.1790756582383848</v>
      </c>
      <c r="H48" s="46">
        <v>14.682696946863931</v>
      </c>
      <c r="I48" s="46">
        <v>4.4334469963564525</v>
      </c>
      <c r="J48" s="97">
        <f>H49</f>
        <v>13.78484935501201</v>
      </c>
      <c r="K48" s="53" t="str">
        <f t="shared" si="30"/>
        <v>0.3216174,1.065133,-0.3757078,</v>
      </c>
      <c r="M48" s="46">
        <f t="shared" si="0"/>
        <v>9.1276543061024</v>
      </c>
      <c r="N48" s="46">
        <f t="shared" si="5"/>
        <v>45</v>
      </c>
      <c r="O48" s="50">
        <f t="shared" si="1"/>
        <v>42.339741346699441</v>
      </c>
      <c r="P48" s="50">
        <f t="shared" si="2"/>
        <v>50.962143761983015</v>
      </c>
      <c r="Q48" s="50">
        <f t="shared" si="3"/>
        <v>51.467395652801841</v>
      </c>
    </row>
    <row r="49" spans="1:24">
      <c r="A49" s="4"/>
      <c r="B49" s="46" t="str">
        <f t="shared" si="31"/>
        <v>Y</v>
      </c>
      <c r="C49" s="79"/>
      <c r="D49" s="46">
        <f>I49/$H$49</f>
        <v>0.1415113000302814</v>
      </c>
      <c r="E49" s="46">
        <f>H49/$H$49</f>
        <v>1</v>
      </c>
      <c r="F49" s="46">
        <f>G49/$H$49</f>
        <v>2.593288456389688E-2</v>
      </c>
      <c r="G49" s="46">
        <f t="array" ref="G49:I49">LINEST($E37:$E39,$G37:$I39,FALSE)</f>
        <v>0.35748090705423485</v>
      </c>
      <c r="H49" s="46">
        <v>13.78484935501201</v>
      </c>
      <c r="I49" s="46">
        <v>1.9507119529493355</v>
      </c>
      <c r="J49" s="97"/>
      <c r="K49" s="53" t="str">
        <f t="shared" si="30"/>
        <v>0.1415113,1,2.593288E-02,</v>
      </c>
      <c r="M49" s="46">
        <f t="shared" si="0"/>
        <v>10.992118496190791</v>
      </c>
      <c r="N49" s="46">
        <f t="shared" si="5"/>
        <v>46</v>
      </c>
      <c r="O49" s="50">
        <f t="shared" si="1"/>
        <v>40.137025303154473</v>
      </c>
      <c r="P49" s="50">
        <f t="shared" si="2"/>
        <v>50.875994134027202</v>
      </c>
      <c r="Q49" s="50">
        <f t="shared" si="3"/>
        <v>51.129143799345265</v>
      </c>
    </row>
    <row r="50" spans="1:24">
      <c r="A50" s="4"/>
      <c r="B50" s="46" t="str">
        <f t="shared" si="31"/>
        <v>Z</v>
      </c>
      <c r="C50" s="79"/>
      <c r="D50" s="46">
        <f>I50/$H$49</f>
        <v>-0.53349558639972505</v>
      </c>
      <c r="E50" s="46">
        <f>H50/$H$49</f>
        <v>0.25364806507143867</v>
      </c>
      <c r="F50" s="46">
        <f>G50/$H$49</f>
        <v>1.4373894897670576</v>
      </c>
      <c r="G50" s="46">
        <f t="array" ref="G50:I50">LINEST($F$31:$F$33,$G37:$I39,FALSE)</f>
        <v>19.814197580916467</v>
      </c>
      <c r="H50" s="46">
        <v>3.496500366200066</v>
      </c>
      <c r="I50" s="46">
        <v>-7.3541562900840045</v>
      </c>
      <c r="J50" s="97"/>
      <c r="K50" s="54" t="str">
        <f t="shared" si="30"/>
        <v>-0.5334956,0.2536481,1.437389,</v>
      </c>
      <c r="M50" s="46">
        <f t="shared" si="0"/>
        <v>12.856582686279168</v>
      </c>
      <c r="N50" s="46">
        <f t="shared" si="5"/>
        <v>47</v>
      </c>
      <c r="O50" s="50">
        <f t="shared" si="1"/>
        <v>37.93430925960952</v>
      </c>
      <c r="P50" s="50">
        <f t="shared" si="2"/>
        <v>50.78984450607139</v>
      </c>
      <c r="Q50" s="50">
        <f t="shared" si="3"/>
        <v>50.790891945888688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0.34010630431685712</v>
      </c>
      <c r="E51" s="46">
        <f t="shared" ref="E51:F51" si="32">(E42+E45+E48)/3</f>
        <v>1.0395513360286763</v>
      </c>
      <c r="F51" s="46">
        <f t="shared" si="32"/>
        <v>-0.36049711089257092</v>
      </c>
      <c r="J51" s="97">
        <f>(J42+J45+J48)/3</f>
        <v>13.609346377011457</v>
      </c>
      <c r="M51" s="46">
        <f t="shared" si="0"/>
        <v>14.972101662051024</v>
      </c>
      <c r="N51" s="46">
        <f t="shared" si="5"/>
        <v>48</v>
      </c>
      <c r="O51" s="50">
        <f t="shared" si="1"/>
        <v>35.731593216064553</v>
      </c>
      <c r="P51" s="50">
        <f t="shared" si="2"/>
        <v>50.703694878115577</v>
      </c>
      <c r="Q51" s="50">
        <f t="shared" si="3"/>
        <v>50.452640092432112</v>
      </c>
    </row>
    <row r="52" spans="1:24">
      <c r="B52" s="46" t="str">
        <f t="shared" si="31"/>
        <v>Y</v>
      </c>
      <c r="C52" s="79"/>
      <c r="D52" s="46">
        <f t="shared" ref="D52:F53" si="33">(D43+D46+D49)/3</f>
        <v>0.14881648076834428</v>
      </c>
      <c r="E52" s="46">
        <f t="shared" si="33"/>
        <v>1</v>
      </c>
      <c r="F52" s="46">
        <f t="shared" si="33"/>
        <v>1.6778725920701398E-2</v>
      </c>
      <c r="J52" s="97"/>
      <c r="M52" s="46">
        <f t="shared" si="0"/>
        <v>17.088668077640179</v>
      </c>
      <c r="N52" s="46">
        <f t="shared" si="5"/>
        <v>49</v>
      </c>
      <c r="O52" s="50">
        <f t="shared" si="1"/>
        <v>33.528877172519586</v>
      </c>
      <c r="P52" s="50">
        <f t="shared" si="2"/>
        <v>50.617545250159765</v>
      </c>
      <c r="Q52" s="50">
        <f t="shared" si="3"/>
        <v>50.114388238975536</v>
      </c>
    </row>
    <row r="53" spans="1:24" ht="15.75" thickBot="1">
      <c r="B53" s="46" t="str">
        <f t="shared" si="31"/>
        <v>Z</v>
      </c>
      <c r="C53" s="79"/>
      <c r="D53" s="46">
        <f t="shared" si="33"/>
        <v>-0.56463010677106962</v>
      </c>
      <c r="E53" s="46">
        <f t="shared" si="33"/>
        <v>0.34037224504111419</v>
      </c>
      <c r="F53" s="46">
        <f t="shared" si="33"/>
        <v>1.3455214690252817</v>
      </c>
      <c r="J53" s="100"/>
      <c r="M53" s="46">
        <f t="shared" si="0"/>
        <v>19.20523449322932</v>
      </c>
      <c r="N53" s="46">
        <f t="shared" si="5"/>
        <v>50</v>
      </c>
      <c r="O53" s="50">
        <f t="shared" si="1"/>
        <v>31.326161128974633</v>
      </c>
      <c r="P53" s="50">
        <f t="shared" si="2"/>
        <v>50.531395622203952</v>
      </c>
      <c r="Q53" s="50">
        <f t="shared" si="3"/>
        <v>49.77613638551896</v>
      </c>
    </row>
    <row r="54" spans="1:24">
      <c r="B54" s="79" t="s">
        <v>14</v>
      </c>
      <c r="C54" s="79"/>
      <c r="D54" s="19">
        <f>I54/$H$55</f>
        <v>0.33037917336703904</v>
      </c>
      <c r="E54" s="20">
        <f>H54/$H$55</f>
        <v>1.0353294238089377</v>
      </c>
      <c r="F54" s="21">
        <f>G54/$H$55</f>
        <v>-0.34091524658323397</v>
      </c>
      <c r="G54" s="46">
        <f t="array" ref="G54:I54">LINEST(D$31:D$39,$G$31:$I$39,FALSE)</f>
        <v>-4.6416477720115408</v>
      </c>
      <c r="H54" s="46">
        <v>14.096273374348657</v>
      </c>
      <c r="I54" s="46">
        <v>4.4981964560031154</v>
      </c>
      <c r="J54" s="98">
        <f>H55</f>
        <v>13.615254285432169</v>
      </c>
      <c r="M54" s="46">
        <f t="shared" si="0"/>
        <v>21.321800908818474</v>
      </c>
      <c r="N54" s="46">
        <f t="shared" si="5"/>
        <v>51</v>
      </c>
      <c r="O54" s="50">
        <f t="shared" si="1"/>
        <v>29.123445085429665</v>
      </c>
      <c r="P54" s="50">
        <f t="shared" si="2"/>
        <v>50.44524599424814</v>
      </c>
      <c r="Q54" s="50">
        <f t="shared" si="3"/>
        <v>49.437884532062384</v>
      </c>
    </row>
    <row r="55" spans="1:24" ht="15" customHeight="1">
      <c r="B55" s="79"/>
      <c r="C55" s="79"/>
      <c r="D55" s="22">
        <f>I55/$H$55</f>
        <v>0.14876412974435144</v>
      </c>
      <c r="E55" s="18">
        <f>H55/$H$55</f>
        <v>1</v>
      </c>
      <c r="F55" s="23">
        <f>G55/$H$55</f>
        <v>1.5423084163978303E-2</v>
      </c>
      <c r="G55" s="46">
        <f t="array" ref="G55:I55">LINEST(E$31:E$39,$G$31:$I$39,FALSE)</f>
        <v>0.20998921275818661</v>
      </c>
      <c r="H55" s="46">
        <v>13.615254285432169</v>
      </c>
      <c r="I55" s="46">
        <v>2.025461455020368</v>
      </c>
      <c r="J55" s="98"/>
      <c r="M55" s="46">
        <f t="shared" si="0"/>
        <v>23.438367324407636</v>
      </c>
      <c r="N55" s="46">
        <f t="shared" si="5"/>
        <v>52</v>
      </c>
      <c r="O55" s="50">
        <f t="shared" si="1"/>
        <v>26.920729041884698</v>
      </c>
      <c r="P55" s="50">
        <f t="shared" si="2"/>
        <v>50.359096366292334</v>
      </c>
      <c r="Q55" s="50">
        <f t="shared" si="3"/>
        <v>49.099632678605808</v>
      </c>
    </row>
    <row r="56" spans="1:24" ht="15" customHeight="1" thickBot="1">
      <c r="B56" s="79"/>
      <c r="C56" s="79"/>
      <c r="D56" s="24">
        <f>I56/$H$55</f>
        <v>-0.53229945180295291</v>
      </c>
      <c r="E56" s="25">
        <f>H56/$H$55</f>
        <v>0.35475853704792076</v>
      </c>
      <c r="F56" s="26">
        <f>G56/$H$55</f>
        <v>1.2743730934253044</v>
      </c>
      <c r="G56" s="46">
        <f t="array" ref="G56:I56">LINEST(F$31:F$39,$G$31:$I$39,FALSE)</f>
        <v>17.350913721498326</v>
      </c>
      <c r="H56" s="46">
        <v>4.83012769183535</v>
      </c>
      <c r="I56" s="46">
        <v>-7.2473923922933494</v>
      </c>
      <c r="J56" s="98"/>
      <c r="M56" s="46">
        <f t="shared" si="0"/>
        <v>25.554933739996777</v>
      </c>
      <c r="N56" s="46">
        <f t="shared" si="5"/>
        <v>53</v>
      </c>
      <c r="O56" s="50">
        <f t="shared" si="1"/>
        <v>24.718012998339745</v>
      </c>
      <c r="P56" s="50">
        <f t="shared" si="2"/>
        <v>50.272946738336522</v>
      </c>
      <c r="Q56" s="50">
        <f t="shared" si="3"/>
        <v>48.761380825149232</v>
      </c>
    </row>
    <row r="57" spans="1:24">
      <c r="M57" s="46">
        <f t="shared" si="0"/>
        <v>27.671500155585932</v>
      </c>
      <c r="N57" s="46">
        <f t="shared" si="5"/>
        <v>54</v>
      </c>
      <c r="O57" s="50">
        <f t="shared" si="1"/>
        <v>22.515296954794778</v>
      </c>
      <c r="P57" s="50">
        <f t="shared" si="2"/>
        <v>50.186797110380709</v>
      </c>
      <c r="Q57" s="50">
        <f t="shared" si="3"/>
        <v>48.423128971692663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29.788066571175086</v>
      </c>
      <c r="N58" s="46">
        <f t="shared" si="5"/>
        <v>55</v>
      </c>
      <c r="O58" s="50">
        <f t="shared" si="1"/>
        <v>20.31258091124981</v>
      </c>
      <c r="P58" s="50">
        <f t="shared" si="2"/>
        <v>50.100647482424897</v>
      </c>
      <c r="Q58" s="50">
        <f t="shared" si="3"/>
        <v>48.084877118236079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31.904632986764227</v>
      </c>
      <c r="N59" s="46">
        <f t="shared" si="5"/>
        <v>56</v>
      </c>
      <c r="O59" s="50">
        <f t="shared" si="1"/>
        <v>18.109864867704857</v>
      </c>
      <c r="P59" s="50">
        <f t="shared" si="2"/>
        <v>50.014497854469084</v>
      </c>
      <c r="Q59" s="50">
        <f t="shared" si="3"/>
        <v>47.74662526477951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516.54999999999995</v>
      </c>
      <c r="E60" s="32">
        <f t="shared" ref="E60:E68" si="37">getCCTfromXY(D22/SUM(D22:F22),E22/SUM(D22:F22))</f>
        <v>2860</v>
      </c>
      <c r="F60" s="31">
        <f t="shared" ref="F60:F68" si="38">V60</f>
        <v>516.39949403561309</v>
      </c>
      <c r="G60" s="32">
        <f t="shared" ref="G60:G68" si="39">getCCTfromXY(U60/X60,V60/X60)</f>
        <v>3035</v>
      </c>
      <c r="H60" s="33">
        <f>F60/D60-1</f>
        <v>-2.9136765925252828E-4</v>
      </c>
      <c r="I60" s="34">
        <f t="shared" ref="I60:I68" si="40">G60/E60-1</f>
        <v>6.1188811188811254E-2</v>
      </c>
      <c r="M60" s="46">
        <f t="shared" si="0"/>
        <v>34.021199402353389</v>
      </c>
      <c r="N60" s="46">
        <f t="shared" si="5"/>
        <v>57</v>
      </c>
      <c r="O60" s="50">
        <f t="shared" si="1"/>
        <v>15.90714882415989</v>
      </c>
      <c r="P60" s="50">
        <f t="shared" si="2"/>
        <v>49.928348226513279</v>
      </c>
      <c r="Q60" s="50">
        <f t="shared" si="3"/>
        <v>47.408373411322927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549.49385246275256</v>
      </c>
      <c r="V60" s="50">
        <f>$J$54*$J$31*($D$55*G22+$E$55*H22+$F$55*I22)</f>
        <v>516.39949403561309</v>
      </c>
      <c r="W60" s="50">
        <f>$J$54*$J$31*($D$56*G22+$E$56*H22+$F$56*I22)</f>
        <v>183.65730705163503</v>
      </c>
      <c r="X60" s="29">
        <f>SUM(U60:W60)</f>
        <v>1249.5506535500008</v>
      </c>
    </row>
    <row r="61" spans="1:24">
      <c r="A61" s="87"/>
      <c r="B61" s="48" t="str">
        <f t="shared" si="35"/>
        <v>CWF</v>
      </c>
      <c r="C61" s="93"/>
      <c r="D61" s="31">
        <f t="shared" si="36"/>
        <v>1218.5</v>
      </c>
      <c r="E61" s="32">
        <f t="shared" si="37"/>
        <v>3857</v>
      </c>
      <c r="F61" s="31">
        <f t="shared" si="38"/>
        <v>1230.8493961361253</v>
      </c>
      <c r="G61" s="32">
        <f t="shared" si="39"/>
        <v>3836</v>
      </c>
      <c r="H61" s="33">
        <f t="shared" ref="H61:H68" si="41">F61/D61-1</f>
        <v>1.0134916812577277E-2</v>
      </c>
      <c r="I61" s="34">
        <f t="shared" si="40"/>
        <v>-5.4446460980036582E-3</v>
      </c>
      <c r="M61" s="46">
        <f t="shared" si="0"/>
        <v>36.137765817942544</v>
      </c>
      <c r="N61" s="46">
        <f t="shared" si="5"/>
        <v>58</v>
      </c>
      <c r="O61" s="50">
        <f t="shared" si="1"/>
        <v>13.704432780614923</v>
      </c>
      <c r="P61" s="50">
        <f t="shared" si="2"/>
        <v>49.842198598557466</v>
      </c>
      <c r="Q61" s="50">
        <f t="shared" si="3"/>
        <v>47.070121557866358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1223.3472566560927</v>
      </c>
      <c r="V61" s="50">
        <f>$J$54*$J$31*($D$55*G23+$E$55*H23+$F$55*I23)</f>
        <v>1230.8493961361253</v>
      </c>
      <c r="W61" s="50">
        <f>$J$54*$J$31*($D$56*G23+$E$56*H23+$F$56*I23)</f>
        <v>656.45695080033227</v>
      </c>
      <c r="X61" s="29">
        <f t="shared" ref="X61:X68" si="43">SUM(U61:W61)</f>
        <v>3110.6536035925501</v>
      </c>
    </row>
    <row r="62" spans="1:24">
      <c r="A62" s="87"/>
      <c r="B62" s="48" t="str">
        <f t="shared" si="35"/>
        <v>D65</v>
      </c>
      <c r="C62" s="93"/>
      <c r="D62" s="31">
        <f t="shared" si="36"/>
        <v>578.34999999999991</v>
      </c>
      <c r="E62" s="32">
        <f t="shared" si="37"/>
        <v>6313</v>
      </c>
      <c r="F62" s="31">
        <f t="shared" si="38"/>
        <v>578.64887285166617</v>
      </c>
      <c r="G62" s="32">
        <f t="shared" si="39"/>
        <v>6225</v>
      </c>
      <c r="H62" s="33">
        <f t="shared" si="41"/>
        <v>5.16768136364254E-4</v>
      </c>
      <c r="I62" s="34">
        <f t="shared" si="40"/>
        <v>-1.3939489941390826E-2</v>
      </c>
      <c r="M62" s="46">
        <f t="shared" si="0"/>
        <v>38.254332233531699</v>
      </c>
      <c r="N62" s="46">
        <f t="shared" si="5"/>
        <v>59</v>
      </c>
      <c r="O62" s="50">
        <f t="shared" si="1"/>
        <v>11.501716737069955</v>
      </c>
      <c r="P62" s="50">
        <f t="shared" si="2"/>
        <v>49.756048970601654</v>
      </c>
      <c r="Q62" s="50">
        <f t="shared" si="3"/>
        <v>46.731869704409775</v>
      </c>
      <c r="R62" s="78"/>
      <c r="S62" s="46" t="str">
        <f t="shared" si="42"/>
        <v>D65</v>
      </c>
      <c r="T62" s="79"/>
      <c r="U62" s="50">
        <f>$J$54*$J$31*($D$54*G24+$E$54*H24+$F$54*I24)</f>
        <v>513.70543571443011</v>
      </c>
      <c r="V62" s="50">
        <f>$J$54*$J$31*($D$55*G24+$E$55*H24+$F$55*I24)</f>
        <v>578.64887285166617</v>
      </c>
      <c r="W62" s="50">
        <f>$J$54*$J$31*($D$56*G24+$E$56*H24+$F$56*I24)</f>
        <v>525.78940823337211</v>
      </c>
      <c r="X62" s="29">
        <f t="shared" si="43"/>
        <v>1618.1437167994684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516.54999999999995</v>
      </c>
      <c r="E63" s="32">
        <f t="shared" si="37"/>
        <v>2860</v>
      </c>
      <c r="F63" s="31">
        <f t="shared" si="38"/>
        <v>518.8617619176739</v>
      </c>
      <c r="G63" s="32">
        <f t="shared" si="39"/>
        <v>3135</v>
      </c>
      <c r="H63" s="33">
        <f t="shared" si="41"/>
        <v>4.4753884767669838E-3</v>
      </c>
      <c r="I63" s="34">
        <f t="shared" si="40"/>
        <v>9.6153846153846256E-2</v>
      </c>
      <c r="M63" s="46">
        <f t="shared" si="0"/>
        <v>40.370898649120853</v>
      </c>
      <c r="N63" s="46">
        <f t="shared" si="5"/>
        <v>60</v>
      </c>
      <c r="O63" s="50">
        <f t="shared" si="1"/>
        <v>9.299000693524988</v>
      </c>
      <c r="P63" s="50">
        <f t="shared" si="2"/>
        <v>49.669899342645842</v>
      </c>
      <c r="Q63" s="50">
        <f t="shared" si="3"/>
        <v>46.393617850953206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547.47451539981478</v>
      </c>
      <c r="V63" s="50">
        <f>$J$54*$J$34*($D$55*G25+$E$55*H25+$F$55*I25)</f>
        <v>518.8617619176739</v>
      </c>
      <c r="W63" s="50">
        <f>$J$54*$J$34*($D$56*G25+$E$56*H25+$F$56*I25)</f>
        <v>200.01692094374772</v>
      </c>
      <c r="X63" s="29">
        <f t="shared" si="43"/>
        <v>1266.3531982612362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1218.5</v>
      </c>
      <c r="E64" s="32">
        <f t="shared" si="37"/>
        <v>3857</v>
      </c>
      <c r="F64" s="31">
        <f t="shared" si="38"/>
        <v>1220.7746887144492</v>
      </c>
      <c r="G64" s="32">
        <f t="shared" si="39"/>
        <v>3866</v>
      </c>
      <c r="H64" s="33">
        <f t="shared" si="41"/>
        <v>1.8667941850218916E-3</v>
      </c>
      <c r="I64" s="34">
        <f t="shared" si="40"/>
        <v>2.3334197562872028E-3</v>
      </c>
      <c r="M64" s="46">
        <f t="shared" si="0"/>
        <v>42.48746506470998</v>
      </c>
      <c r="N64" s="46">
        <f t="shared" si="5"/>
        <v>61</v>
      </c>
      <c r="O64" s="50">
        <f t="shared" si="1"/>
        <v>7.0962846499800492</v>
      </c>
      <c r="P64" s="50">
        <f t="shared" si="2"/>
        <v>49.583749714690029</v>
      </c>
      <c r="Q64" s="50">
        <f t="shared" si="3"/>
        <v>46.055365997496622</v>
      </c>
      <c r="R64" s="78"/>
      <c r="S64" s="46" t="str">
        <f t="shared" si="42"/>
        <v>CWF</v>
      </c>
      <c r="T64" s="79"/>
      <c r="U64" s="50">
        <f>$J$54*$J$34*($D$54*G26+$E$54*H26+$F$54*I26)</f>
        <v>1211.1447296169847</v>
      </c>
      <c r="V64" s="50">
        <f>$J$54*$J$34*($D$55*G26+$E$55*H26+$F$55*I26)</f>
        <v>1220.7746887144492</v>
      </c>
      <c r="W64" s="50">
        <f>$J$54*$J$34*($D$56*G26+$E$56*H26+$F$56*I26)</f>
        <v>659.04195077709551</v>
      </c>
      <c r="X64" s="29">
        <f t="shared" si="43"/>
        <v>3090.9613691085297</v>
      </c>
    </row>
    <row r="65" spans="1:24">
      <c r="A65" s="87"/>
      <c r="B65" s="48" t="str">
        <f t="shared" si="35"/>
        <v>D65</v>
      </c>
      <c r="C65" s="93"/>
      <c r="D65" s="31">
        <f t="shared" si="36"/>
        <v>578.34999999999991</v>
      </c>
      <c r="E65" s="32">
        <f t="shared" si="37"/>
        <v>6313</v>
      </c>
      <c r="F65" s="31">
        <f t="shared" si="38"/>
        <v>586.25903117002076</v>
      </c>
      <c r="G65" s="32">
        <f t="shared" si="39"/>
        <v>6200</v>
      </c>
      <c r="H65" s="33">
        <f t="shared" si="41"/>
        <v>1.3675164122107564E-2</v>
      </c>
      <c r="I65" s="34">
        <f t="shared" si="40"/>
        <v>-1.7899572311104062E-2</v>
      </c>
      <c r="M65" s="46">
        <f t="shared" si="0"/>
        <v>44.604031480299135</v>
      </c>
      <c r="N65" s="46">
        <f t="shared" si="5"/>
        <v>62</v>
      </c>
      <c r="O65" s="50">
        <f t="shared" si="1"/>
        <v>4.8935686064350818</v>
      </c>
      <c r="P65" s="50">
        <f t="shared" si="2"/>
        <v>49.497600086734217</v>
      </c>
      <c r="Q65" s="50">
        <f t="shared" si="3"/>
        <v>45.717114144040053</v>
      </c>
      <c r="R65" s="78"/>
      <c r="S65" s="46" t="str">
        <f t="shared" si="42"/>
        <v>D65</v>
      </c>
      <c r="T65" s="79"/>
      <c r="U65" s="50">
        <f>$J$54*$J$34*($D$54*G27+$E$54*H27+$F$54*I27)</f>
        <v>520.97487389741877</v>
      </c>
      <c r="V65" s="50">
        <f>$J$54*$J$34*($D$55*G27+$E$55*H27+$F$55*I27)</f>
        <v>586.25903117002076</v>
      </c>
      <c r="W65" s="50">
        <f>$J$54*$J$34*($D$56*G27+$E$56*H27+$F$56*I27)</f>
        <v>530.95349825613073</v>
      </c>
      <c r="X65" s="29">
        <f t="shared" si="43"/>
        <v>1638.1874033235704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516.54999999999995</v>
      </c>
      <c r="E66" s="32">
        <f t="shared" si="37"/>
        <v>2860</v>
      </c>
      <c r="F66" s="31">
        <f t="shared" si="38"/>
        <v>514.36080889804373</v>
      </c>
      <c r="G66" s="32">
        <f t="shared" si="39"/>
        <v>2536</v>
      </c>
      <c r="H66" s="33">
        <f t="shared" si="41"/>
        <v>-4.2381010588640189E-3</v>
      </c>
      <c r="I66" s="34">
        <f t="shared" si="40"/>
        <v>-0.11328671328671325</v>
      </c>
      <c r="M66" s="46">
        <f t="shared" si="0"/>
        <v>46.720597895888289</v>
      </c>
      <c r="N66" s="46">
        <f t="shared" si="5"/>
        <v>63</v>
      </c>
      <c r="O66" s="50">
        <f t="shared" si="1"/>
        <v>2.6908525628901145</v>
      </c>
      <c r="P66" s="50">
        <f t="shared" si="2"/>
        <v>49.411450458778404</v>
      </c>
      <c r="Q66" s="50">
        <f t="shared" si="3"/>
        <v>45.37886229058347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575.25921619372082</v>
      </c>
      <c r="V66" s="50">
        <f>$J$54*$J$37*($D$55*G28+$E$55*H28+$F$55*I28)</f>
        <v>514.36080889804373</v>
      </c>
      <c r="W66" s="50">
        <f>$J$54*$J$37*($D$56*G28+$E$56*H28+$F$56*I28)</f>
        <v>89.825353632638027</v>
      </c>
      <c r="X66" s="29">
        <f t="shared" si="43"/>
        <v>1179.4453787244026</v>
      </c>
    </row>
    <row r="67" spans="1:24">
      <c r="A67" s="87"/>
      <c r="B67" s="48" t="str">
        <f t="shared" si="35"/>
        <v>CWF</v>
      </c>
      <c r="C67" s="93"/>
      <c r="D67" s="31">
        <f t="shared" si="36"/>
        <v>1218.5</v>
      </c>
      <c r="E67" s="32">
        <f t="shared" si="37"/>
        <v>3857</v>
      </c>
      <c r="F67" s="31">
        <f t="shared" si="38"/>
        <v>1203.708578989945</v>
      </c>
      <c r="G67" s="32">
        <f t="shared" si="39"/>
        <v>3905</v>
      </c>
      <c r="H67" s="33">
        <f t="shared" si="41"/>
        <v>-1.2139040631969689E-2</v>
      </c>
      <c r="I67" s="34">
        <f t="shared" si="40"/>
        <v>1.2444905366865378E-2</v>
      </c>
      <c r="R67" s="78"/>
      <c r="S67" s="46" t="str">
        <f t="shared" si="42"/>
        <v>CWF</v>
      </c>
      <c r="T67" s="79"/>
      <c r="U67" s="50">
        <f>$J$54*$J$37*($D$54*G29+$E$54*H29+$F$54*I29)</f>
        <v>1191.2308413263538</v>
      </c>
      <c r="V67" s="50">
        <f>$J$54*$J$37*($D$55*G29+$E$55*H29+$F$55*I29)</f>
        <v>1203.708578989945</v>
      </c>
      <c r="W67" s="50">
        <f>$J$54*$J$37*($D$56*G29+$E$56*H29+$F$56*I29)</f>
        <v>659.68097944623787</v>
      </c>
      <c r="X67" s="29">
        <f t="shared" si="43"/>
        <v>3054.6203997625366</v>
      </c>
    </row>
    <row r="68" spans="1:24">
      <c r="A68" s="87"/>
      <c r="B68" s="48" t="str">
        <f t="shared" si="35"/>
        <v>D65</v>
      </c>
      <c r="C68" s="93"/>
      <c r="D68" s="31">
        <f t="shared" si="36"/>
        <v>578.34999999999991</v>
      </c>
      <c r="E68" s="32">
        <f t="shared" si="37"/>
        <v>6313</v>
      </c>
      <c r="F68" s="31">
        <f t="shared" si="38"/>
        <v>569.6107303631934</v>
      </c>
      <c r="G68" s="32">
        <f t="shared" si="39"/>
        <v>6093</v>
      </c>
      <c r="H68" s="33">
        <f t="shared" si="41"/>
        <v>-1.5110693588322843E-2</v>
      </c>
      <c r="I68" s="34">
        <f t="shared" si="40"/>
        <v>-3.4848724853476898E-2</v>
      </c>
      <c r="R68" s="78"/>
      <c r="S68" s="46" t="str">
        <f t="shared" si="42"/>
        <v>D65</v>
      </c>
      <c r="T68" s="79"/>
      <c r="U68" s="50">
        <f>$J$54*$J$37*($D$54*G30+$E$54*H30+$F$54*I30)</f>
        <v>508.06255256533382</v>
      </c>
      <c r="V68" s="50">
        <f>$J$54*$J$37*($D$55*G30+$E$55*H30+$F$55*I30)</f>
        <v>569.6107303631934</v>
      </c>
      <c r="W68" s="50">
        <f>$J$54*$J$37*($D$56*G30+$E$56*H30+$F$56*I30)</f>
        <v>508.38575394972241</v>
      </c>
      <c r="X68" s="29">
        <f t="shared" si="43"/>
        <v>1586.0590368782496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1.5110693588322843E-2</v>
      </c>
      <c r="G69" s="47"/>
      <c r="H69" s="36" t="str">
        <f>I59</f>
        <v>CCT</v>
      </c>
      <c r="I69" s="38">
        <f>MAX(MAX(I60:I68,-MIN(I60:I68)))</f>
        <v>0.11328671328671325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516.54999999999995</v>
      </c>
      <c r="E72" s="31">
        <f t="shared" ref="E72:E80" si="47">E60</f>
        <v>2860</v>
      </c>
      <c r="F72" s="31">
        <f t="shared" ref="F72:F80" si="48">V72</f>
        <v>517.03514452473109</v>
      </c>
      <c r="G72" s="32">
        <f t="shared" ref="G72:G80" si="49">getCCTfromXY(U72/X72,V72/X72)</f>
        <v>3008</v>
      </c>
      <c r="H72" s="33">
        <f>F72/D72-1</f>
        <v>9.3920148045900653E-4</v>
      </c>
      <c r="I72" s="34">
        <f t="shared" ref="I72:I80" si="50">G72/E72-1</f>
        <v>5.1748251748251706E-2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551.478383773715</v>
      </c>
      <c r="V72" s="50">
        <f>$J$51*$J$31*($D$52*G22+$E$52*H22+$F$52*I22)</f>
        <v>517.03514452473109</v>
      </c>
      <c r="W72" s="50">
        <f>$J$51*$J$31*($D$53*G22+$E$53*H22+$F$53*I22)</f>
        <v>179.62442457746968</v>
      </c>
      <c r="X72" s="29">
        <f>SUM(U72:W72)</f>
        <v>1248.1379528759157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1218.5</v>
      </c>
      <c r="E73" s="31">
        <f t="shared" si="47"/>
        <v>3857</v>
      </c>
      <c r="F73" s="31">
        <f t="shared" si="48"/>
        <v>1231.1714116834182</v>
      </c>
      <c r="G73" s="32">
        <f t="shared" si="49"/>
        <v>3824</v>
      </c>
      <c r="H73" s="33">
        <f t="shared" ref="H73:H80" si="52">F73/D73-1</f>
        <v>1.0399188907195933E-2</v>
      </c>
      <c r="I73" s="34">
        <f t="shared" si="50"/>
        <v>-8.5558724397200026E-3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1224.6456475717484</v>
      </c>
      <c r="V73" s="50">
        <f t="shared" ref="V73:V74" si="55">$J$51*$J$31*($D$52*G23+$E$52*H23+$F$52*I23)</f>
        <v>1231.1714116834182</v>
      </c>
      <c r="W73" s="50">
        <f t="shared" ref="W73:W74" si="56">$J$51*$J$31*($D$53*G23+$E$53*H23+$F$53*I23)</f>
        <v>653.32264837552248</v>
      </c>
      <c r="X73" s="29">
        <f t="shared" ref="X73:X80" si="57">SUM(U73:W73)</f>
        <v>3109.1397076306894</v>
      </c>
    </row>
    <row r="74" spans="1:24">
      <c r="A74" s="87"/>
      <c r="B74" s="48" t="str">
        <f t="shared" si="46"/>
        <v>X</v>
      </c>
      <c r="C74" s="93"/>
      <c r="D74" s="31">
        <f t="shared" si="51"/>
        <v>578.34999999999991</v>
      </c>
      <c r="E74" s="31">
        <f t="shared" si="47"/>
        <v>6313</v>
      </c>
      <c r="F74" s="31">
        <f t="shared" si="48"/>
        <v>579.01294603260135</v>
      </c>
      <c r="G74" s="32">
        <f t="shared" si="49"/>
        <v>6382</v>
      </c>
      <c r="H74" s="33">
        <f t="shared" si="52"/>
        <v>1.1462713453815887E-3</v>
      </c>
      <c r="I74" s="34">
        <f t="shared" si="50"/>
        <v>1.0929827340408593E-2</v>
      </c>
      <c r="R74" s="78"/>
      <c r="S74" s="46" t="str">
        <f t="shared" si="53"/>
        <v>D65</v>
      </c>
      <c r="T74" s="79"/>
      <c r="U74" s="50">
        <f t="shared" si="54"/>
        <v>510.98019184893826</v>
      </c>
      <c r="V74" s="50">
        <f t="shared" si="55"/>
        <v>579.01294603260135</v>
      </c>
      <c r="W74" s="50">
        <f t="shared" si="56"/>
        <v>536.35436476016287</v>
      </c>
      <c r="X74" s="29">
        <f t="shared" si="57"/>
        <v>1626.3475026417022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516.54999999999995</v>
      </c>
      <c r="E75" s="31">
        <f t="shared" si="47"/>
        <v>2860</v>
      </c>
      <c r="F75" s="31">
        <f t="shared" si="48"/>
        <v>519.5006596971233</v>
      </c>
      <c r="G75" s="32">
        <f t="shared" si="49"/>
        <v>3111</v>
      </c>
      <c r="H75" s="33">
        <f t="shared" si="52"/>
        <v>5.7122441140708968E-3</v>
      </c>
      <c r="I75" s="34">
        <f t="shared" si="50"/>
        <v>8.7762237762237794E-2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549.22991641642727</v>
      </c>
      <c r="V75" s="50">
        <f>$J$51*$J$34*($D$52*G25+$E$52*H25+$F$52*I25)</f>
        <v>519.5006596971233</v>
      </c>
      <c r="W75" s="50">
        <f>$J$51*$J$34*($D$53*G25+$E$53*H25+$F$53*I25)</f>
        <v>196.7631535349681</v>
      </c>
      <c r="X75" s="29">
        <f t="shared" si="57"/>
        <v>1265.4937296485186</v>
      </c>
    </row>
    <row r="76" spans="1:24">
      <c r="A76" s="87"/>
      <c r="B76" s="48" t="str">
        <f t="shared" si="46"/>
        <v>Z</v>
      </c>
      <c r="C76" s="93"/>
      <c r="D76" s="31">
        <f t="shared" si="51"/>
        <v>1218.5</v>
      </c>
      <c r="E76" s="31">
        <f t="shared" si="47"/>
        <v>3857</v>
      </c>
      <c r="F76" s="31">
        <f t="shared" si="48"/>
        <v>1221.1053805267493</v>
      </c>
      <c r="G76" s="32">
        <f t="shared" si="49"/>
        <v>3855</v>
      </c>
      <c r="H76" s="33">
        <f t="shared" si="52"/>
        <v>2.1381867269176791E-3</v>
      </c>
      <c r="I76" s="34">
        <f t="shared" si="50"/>
        <v>-5.1853772361942774E-4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1212.3104423088416</v>
      </c>
      <c r="V76" s="50">
        <f t="shared" ref="V76:V77" si="59">$J$51*$J$34*($D$52*G26+$E$52*H26+$F$52*I26)</f>
        <v>1221.1053805267493</v>
      </c>
      <c r="W76" s="50">
        <f t="shared" ref="W76:W77" si="60">$J$51*$J$34*($D$53*G26+$E$53*H26+$F$53*I26)</f>
        <v>656.38855693855851</v>
      </c>
      <c r="X76" s="29">
        <f t="shared" si="57"/>
        <v>3089.8043797741493</v>
      </c>
    </row>
    <row r="77" spans="1:24">
      <c r="A77" s="87"/>
      <c r="B77" s="48" t="str">
        <f t="shared" si="46"/>
        <v>X</v>
      </c>
      <c r="C77" s="93"/>
      <c r="D77" s="31">
        <f t="shared" si="51"/>
        <v>578.34999999999991</v>
      </c>
      <c r="E77" s="31">
        <f t="shared" si="47"/>
        <v>6313</v>
      </c>
      <c r="F77" s="31">
        <f t="shared" si="48"/>
        <v>586.62722431726104</v>
      </c>
      <c r="G77" s="32">
        <f t="shared" si="49"/>
        <v>6354</v>
      </c>
      <c r="H77" s="33">
        <f t="shared" si="52"/>
        <v>1.4311790986878403E-2</v>
      </c>
      <c r="I77" s="34">
        <f t="shared" si="50"/>
        <v>6.4945350863296891E-3</v>
      </c>
      <c r="R77" s="78"/>
      <c r="S77" s="46" t="str">
        <f t="shared" si="53"/>
        <v>D65</v>
      </c>
      <c r="T77" s="79"/>
      <c r="U77" s="50">
        <f t="shared" si="58"/>
        <v>518.24073497777397</v>
      </c>
      <c r="V77" s="50">
        <f t="shared" si="59"/>
        <v>586.62722431726104</v>
      </c>
      <c r="W77" s="50">
        <f t="shared" si="60"/>
        <v>541.5645438599372</v>
      </c>
      <c r="X77" s="29">
        <f t="shared" si="57"/>
        <v>1646.4325031549722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516.54999999999995</v>
      </c>
      <c r="E78" s="31">
        <f t="shared" si="47"/>
        <v>2860</v>
      </c>
      <c r="F78" s="31">
        <f t="shared" si="48"/>
        <v>514.9947894246867</v>
      </c>
      <c r="G78" s="32">
        <f t="shared" si="49"/>
        <v>2496</v>
      </c>
      <c r="H78" s="33">
        <f t="shared" si="52"/>
        <v>-3.0107648346011651E-3</v>
      </c>
      <c r="I78" s="34">
        <f t="shared" si="50"/>
        <v>-0.12727272727272732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578.67071509291225</v>
      </c>
      <c r="V78" s="50">
        <f>$J$51*$J$37*($D$52*G28+$E$52*H28+$F$52*I28)</f>
        <v>514.9947894246867</v>
      </c>
      <c r="W78" s="50">
        <f>$J$51*$J$37*($D$53*G28+$E$53*H28+$F$53*I28)</f>
        <v>81.016424521866426</v>
      </c>
      <c r="X78" s="29">
        <f t="shared" si="57"/>
        <v>1174.6819290394653</v>
      </c>
    </row>
    <row r="79" spans="1:24">
      <c r="A79" s="87"/>
      <c r="B79" s="48" t="str">
        <f t="shared" si="46"/>
        <v>Z</v>
      </c>
      <c r="C79" s="93"/>
      <c r="D79" s="31">
        <f t="shared" si="51"/>
        <v>1218.5</v>
      </c>
      <c r="E79" s="31">
        <f t="shared" si="47"/>
        <v>3857</v>
      </c>
      <c r="F79" s="31">
        <f t="shared" si="48"/>
        <v>1204.0330420634511</v>
      </c>
      <c r="G79" s="32">
        <f t="shared" si="49"/>
        <v>3896</v>
      </c>
      <c r="H79" s="33">
        <f t="shared" si="52"/>
        <v>-1.1872759898685969E-2</v>
      </c>
      <c r="I79" s="34">
        <f t="shared" si="50"/>
        <v>1.0111485610578175E-2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1192.2283533709624</v>
      </c>
      <c r="V79" s="50">
        <f t="shared" ref="V79:V80" si="62">$J$51*$J$37*($D$52*G29+$E$52*H29+$F$52*I29)</f>
        <v>1204.0330420634511</v>
      </c>
      <c r="W79" s="50">
        <f t="shared" ref="W79:W80" si="63">$J$51*$J$37*($D$53*G29+$E$53*H29+$F$53*I29)</f>
        <v>657.56566440743495</v>
      </c>
      <c r="X79" s="29">
        <f t="shared" si="57"/>
        <v>3053.8270598418485</v>
      </c>
    </row>
    <row r="80" spans="1:24">
      <c r="A80" s="87"/>
      <c r="B80" s="48" t="str">
        <f t="shared" si="46"/>
        <v>X</v>
      </c>
      <c r="C80" s="93"/>
      <c r="D80" s="31">
        <f t="shared" si="51"/>
        <v>578.34999999999991</v>
      </c>
      <c r="E80" s="31">
        <f t="shared" si="47"/>
        <v>6313</v>
      </c>
      <c r="F80" s="31">
        <f t="shared" si="48"/>
        <v>569.94759113015903</v>
      </c>
      <c r="G80" s="32">
        <f t="shared" si="49"/>
        <v>6237</v>
      </c>
      <c r="H80" s="33">
        <f t="shared" si="52"/>
        <v>-1.4528242188710738E-2</v>
      </c>
      <c r="I80" s="34">
        <f t="shared" si="50"/>
        <v>-1.2038650403928375E-2</v>
      </c>
      <c r="R80" s="78"/>
      <c r="S80" s="46" t="str">
        <f t="shared" si="53"/>
        <v>D65</v>
      </c>
      <c r="T80" s="79"/>
      <c r="U80" s="50">
        <f t="shared" si="61"/>
        <v>505.52039821682808</v>
      </c>
      <c r="V80" s="50">
        <f t="shared" si="62"/>
        <v>569.94759113015903</v>
      </c>
      <c r="W80" s="50">
        <f t="shared" si="63"/>
        <v>518.22596568688732</v>
      </c>
      <c r="X80" s="29">
        <f t="shared" si="57"/>
        <v>1593.6939550338743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1.4528242188710738E-2</v>
      </c>
      <c r="G81" s="47"/>
      <c r="H81" s="36" t="str">
        <f>I71</f>
        <v>CCT</v>
      </c>
      <c r="I81" s="38">
        <f>MAX(MAX(I72:I80,-MIN(I72:I80)))</f>
        <v>0.12727272727272732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516.54999999999995</v>
      </c>
      <c r="E84" s="31">
        <f t="shared" ref="E84:E92" si="67">E72</f>
        <v>2860</v>
      </c>
      <c r="F84" s="31">
        <f t="shared" ref="F84:F92" si="68">V84</f>
        <v>516.54999999999973</v>
      </c>
      <c r="G84" s="32">
        <f t="shared" ref="G84:G92" si="69">getCCTfromXY(U84/X84,V84/X84)</f>
        <v>2860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558.44999999999982</v>
      </c>
      <c r="V84" s="50">
        <f>$J$42*$J$31*($D$43*G22+$E$43*H22+$F$43*I22)</f>
        <v>516.54999999999973</v>
      </c>
      <c r="W84" s="50">
        <f>$J$42*$J$31*($D$44*G22+$E$44*H22+$F$44*I22)</f>
        <v>154.40000000000003</v>
      </c>
      <c r="X84" s="29">
        <f>SUM(U84:W84)</f>
        <v>1229.3999999999996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1218.5</v>
      </c>
      <c r="E85" s="31">
        <f t="shared" si="67"/>
        <v>3857</v>
      </c>
      <c r="F85" s="31">
        <f t="shared" si="68"/>
        <v>1218.5</v>
      </c>
      <c r="G85" s="32">
        <f t="shared" si="69"/>
        <v>3857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1209.5</v>
      </c>
      <c r="V85" s="50">
        <f t="shared" ref="V85:V86" si="75">$J$42*$J$31*($D$43*G23+$E$43*H23+$F$43*I23)</f>
        <v>1218.5</v>
      </c>
      <c r="W85" s="50">
        <f t="shared" ref="W85:W86" si="76">$J$42*$J$31*($D$44*G23+$E$44*H23+$F$44*I23)</f>
        <v>655.50000000000023</v>
      </c>
      <c r="X85" s="29">
        <f t="shared" ref="X85:X92" si="77">SUM(U85:W85)</f>
        <v>3083.5</v>
      </c>
    </row>
    <row r="86" spans="1:24">
      <c r="A86" s="87"/>
      <c r="B86" s="48">
        <f t="shared" si="66"/>
        <v>0</v>
      </c>
      <c r="C86" s="93"/>
      <c r="D86" s="31">
        <f t="shared" si="71"/>
        <v>578.34999999999991</v>
      </c>
      <c r="E86" s="31">
        <f t="shared" si="67"/>
        <v>6313</v>
      </c>
      <c r="F86" s="31">
        <f t="shared" si="68"/>
        <v>578.34999999999991</v>
      </c>
      <c r="G86" s="32">
        <f t="shared" si="69"/>
        <v>6313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511.65</v>
      </c>
      <c r="V86" s="50">
        <f t="shared" si="75"/>
        <v>578.34999999999991</v>
      </c>
      <c r="W86" s="50">
        <f t="shared" si="76"/>
        <v>531.1</v>
      </c>
      <c r="X86" s="29">
        <f t="shared" si="77"/>
        <v>1621.1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516.54999999999995</v>
      </c>
      <c r="E87" s="31">
        <f t="shared" si="67"/>
        <v>2860</v>
      </c>
      <c r="F87" s="31">
        <f t="shared" si="68"/>
        <v>516.5500000000003</v>
      </c>
      <c r="G87" s="32">
        <f t="shared" si="69"/>
        <v>2860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558.45000000000027</v>
      </c>
      <c r="V87" s="50">
        <f>$J$45*$J$34*($D$46*G25+$E$46*H25+$F$46*I25)</f>
        <v>516.5500000000003</v>
      </c>
      <c r="W87" s="50">
        <f>$J$45*$J$34*($D$47*G25+$E$47*H25+$F$47*I25)</f>
        <v>154.4</v>
      </c>
      <c r="X87" s="29">
        <f t="shared" si="77"/>
        <v>1229.4000000000005</v>
      </c>
    </row>
    <row r="88" spans="1:24">
      <c r="A88" s="87"/>
      <c r="B88" s="48">
        <f t="shared" si="66"/>
        <v>0</v>
      </c>
      <c r="C88" s="93"/>
      <c r="D88" s="31">
        <f t="shared" si="71"/>
        <v>1218.5</v>
      </c>
      <c r="E88" s="31">
        <f t="shared" si="67"/>
        <v>3857</v>
      </c>
      <c r="F88" s="31">
        <f t="shared" si="68"/>
        <v>1218.5000000000002</v>
      </c>
      <c r="G88" s="32">
        <f t="shared" si="69"/>
        <v>3857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1209.5000000000005</v>
      </c>
      <c r="V88" s="50">
        <f t="shared" ref="V88:V89" si="79">$J$45*$J$34*($D$46*G26+$E$46*H26+$F$46*I26)</f>
        <v>1218.5000000000002</v>
      </c>
      <c r="W88" s="50">
        <f t="shared" ref="W88:W89" si="80">$J$45*$J$34*($D$47*G26+$E$47*H26+$F$47*I26)</f>
        <v>655.5</v>
      </c>
      <c r="X88" s="29">
        <f t="shared" si="77"/>
        <v>3083.5000000000009</v>
      </c>
    </row>
    <row r="89" spans="1:24">
      <c r="A89" s="87"/>
      <c r="B89" s="48" t="str">
        <f t="shared" si="66"/>
        <v>A</v>
      </c>
      <c r="C89" s="93"/>
      <c r="D89" s="31">
        <f t="shared" si="71"/>
        <v>578.34999999999991</v>
      </c>
      <c r="E89" s="31">
        <f t="shared" si="67"/>
        <v>6313</v>
      </c>
      <c r="F89" s="31">
        <f t="shared" si="68"/>
        <v>578.35</v>
      </c>
      <c r="G89" s="32">
        <f t="shared" si="69"/>
        <v>6313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511.65000000000009</v>
      </c>
      <c r="V89" s="50">
        <f t="shared" si="79"/>
        <v>578.35</v>
      </c>
      <c r="W89" s="50">
        <f t="shared" si="80"/>
        <v>531.1</v>
      </c>
      <c r="X89" s="29">
        <f t="shared" si="77"/>
        <v>1621.1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516.54999999999995</v>
      </c>
      <c r="E90" s="31">
        <f t="shared" si="67"/>
        <v>2860</v>
      </c>
      <c r="F90" s="31">
        <f t="shared" si="68"/>
        <v>516.55000000000041</v>
      </c>
      <c r="G90" s="32">
        <f t="shared" si="69"/>
        <v>2860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558.45000000000039</v>
      </c>
      <c r="V90" s="50">
        <f>$J$48*$J$37*($D$49*G28+$E$49*H28+$F$49*I28)</f>
        <v>516.55000000000041</v>
      </c>
      <c r="W90" s="50">
        <f>$J$48*$J$37*($D$50*G28+$E$50*H28+$F$50*I28)</f>
        <v>154.39999999999984</v>
      </c>
      <c r="X90" s="29">
        <f t="shared" si="77"/>
        <v>1229.4000000000008</v>
      </c>
    </row>
    <row r="91" spans="1:24">
      <c r="A91" s="87"/>
      <c r="B91" s="48" t="str">
        <f t="shared" si="66"/>
        <v>D65</v>
      </c>
      <c r="C91" s="93"/>
      <c r="D91" s="31">
        <f t="shared" si="71"/>
        <v>1218.5</v>
      </c>
      <c r="E91" s="31">
        <f t="shared" si="67"/>
        <v>3857</v>
      </c>
      <c r="F91" s="31">
        <f t="shared" si="68"/>
        <v>1218.5</v>
      </c>
      <c r="G91" s="32">
        <f t="shared" si="69"/>
        <v>3857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1209.5000000000005</v>
      </c>
      <c r="V91" s="50">
        <f t="shared" ref="V91:V92" si="82">$J$48*$J$37*($D$49*G29+$E$49*H29+$F$49*I29)</f>
        <v>1218.5</v>
      </c>
      <c r="W91" s="50">
        <f t="shared" ref="W91:W92" si="83">$J$48*$J$37*($D$50*G29+$E$50*H29+$F$50*I29)</f>
        <v>655.49999999999966</v>
      </c>
      <c r="X91" s="29">
        <f t="shared" si="77"/>
        <v>3083.5</v>
      </c>
    </row>
    <row r="92" spans="1:24">
      <c r="A92" s="87"/>
      <c r="B92" s="48" t="str">
        <f t="shared" si="66"/>
        <v>A</v>
      </c>
      <c r="C92" s="93"/>
      <c r="D92" s="31">
        <f t="shared" si="71"/>
        <v>578.34999999999991</v>
      </c>
      <c r="E92" s="31">
        <f t="shared" si="67"/>
        <v>6313</v>
      </c>
      <c r="F92" s="31">
        <f t="shared" si="68"/>
        <v>578.35</v>
      </c>
      <c r="G92" s="32">
        <f t="shared" si="69"/>
        <v>6313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511.65000000000003</v>
      </c>
      <c r="V92" s="50">
        <f t="shared" si="82"/>
        <v>578.35</v>
      </c>
      <c r="W92" s="50">
        <f t="shared" si="83"/>
        <v>531.09999999999991</v>
      </c>
      <c r="X92" s="29">
        <f t="shared" si="77"/>
        <v>1621.1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7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2.1629541798725711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69.611652957942709</v>
      </c>
      <c r="N3" s="46">
        <v>0</v>
      </c>
      <c r="O3" s="50">
        <f>G$5-N3*G$7</f>
        <v>119.98152686145147</v>
      </c>
      <c r="P3" s="50">
        <f>H$5-N3*H$7</f>
        <v>50.369873903508768</v>
      </c>
      <c r="Q3" s="50">
        <f>I$5-N3*I$7</f>
        <v>59.905059265683725</v>
      </c>
    </row>
    <row r="4" spans="1:17">
      <c r="C4" s="46" t="s">
        <v>20</v>
      </c>
      <c r="D4" s="7">
        <v>530.5</v>
      </c>
      <c r="E4" s="7">
        <v>1216</v>
      </c>
      <c r="F4" s="7">
        <v>576.5</v>
      </c>
      <c r="G4" s="50">
        <f>AVERAGE(D4:F4)</f>
        <v>774.33333333333337</v>
      </c>
      <c r="H4" s="50">
        <f>G4</f>
        <v>774.33333333333337</v>
      </c>
      <c r="I4" s="50">
        <f>H4</f>
        <v>774.33333333333337</v>
      </c>
      <c r="K4" s="13" t="str">
        <f>linefmt("Compensation",B12)</f>
        <v>"Compensation",29,</v>
      </c>
      <c r="M4" s="46">
        <f t="shared" si="0"/>
        <v>67.279164264591998</v>
      </c>
      <c r="N4" s="46">
        <f>N3+1</f>
        <v>1</v>
      </c>
      <c r="O4" s="50">
        <f t="shared" ref="O4:O66" si="1">G$5-N4*G$7</f>
        <v>117.54749641252941</v>
      </c>
      <c r="P4" s="50">
        <f t="shared" ref="P4:P66" si="2">H$5-N4*H$7</f>
        <v>50.268332147937407</v>
      </c>
      <c r="Q4" s="50">
        <f t="shared" ref="Q4:Q66" si="3">I$5-N4*I$7</f>
        <v>59.549302641757109</v>
      </c>
    </row>
    <row r="5" spans="1:17">
      <c r="C5" s="46">
        <v>0</v>
      </c>
      <c r="D5" s="9">
        <v>82.2</v>
      </c>
      <c r="E5" s="9">
        <v>79.099999999999994</v>
      </c>
      <c r="F5" s="9">
        <v>44.6</v>
      </c>
      <c r="G5" s="50">
        <f>G$4/D$4*D5</f>
        <v>119.98152686145147</v>
      </c>
      <c r="H5" s="50">
        <f t="shared" ref="H5:I6" si="4">H$4/E$4*E5</f>
        <v>50.369873903508768</v>
      </c>
      <c r="I5" s="50">
        <f t="shared" si="4"/>
        <v>59.905059265683725</v>
      </c>
      <c r="K5" s="14" t="str">
        <f>linefmt("CardGain",J54)</f>
        <v>"CardGain",14.71565,</v>
      </c>
      <c r="M5" s="46">
        <f t="shared" si="0"/>
        <v>64.946675571241315</v>
      </c>
      <c r="N5" s="46">
        <f t="shared" ref="N5:N66" si="5">N4+1</f>
        <v>2</v>
      </c>
      <c r="O5" s="50">
        <f t="shared" si="1"/>
        <v>115.11346596360735</v>
      </c>
      <c r="P5" s="50">
        <f t="shared" si="2"/>
        <v>50.166790392366046</v>
      </c>
      <c r="Q5" s="50">
        <f t="shared" si="3"/>
        <v>59.193546017830492</v>
      </c>
    </row>
    <row r="6" spans="1:17">
      <c r="B6" s="50">
        <f>D5/4</f>
        <v>20.55</v>
      </c>
      <c r="C6" s="7">
        <v>37</v>
      </c>
      <c r="D6" s="9">
        <v>20.5</v>
      </c>
      <c r="E6" s="9">
        <v>73.2</v>
      </c>
      <c r="F6" s="9">
        <v>34.799999999999997</v>
      </c>
      <c r="G6" s="50">
        <f>G$4/D$4*D6</f>
        <v>29.922400251335223</v>
      </c>
      <c r="H6" s="50">
        <f t="shared" si="4"/>
        <v>46.612828947368421</v>
      </c>
      <c r="I6" s="50">
        <f t="shared" si="4"/>
        <v>46.742064180398955</v>
      </c>
      <c r="K6" s="14" t="str">
        <f>linefmt("Range",1,J34,J37)</f>
        <v>"Range",1,0.928769,1.006747,</v>
      </c>
      <c r="M6" s="46">
        <f t="shared" si="0"/>
        <v>62.614186877890596</v>
      </c>
      <c r="N6" s="46">
        <f t="shared" si="5"/>
        <v>3</v>
      </c>
      <c r="O6" s="50">
        <f t="shared" si="1"/>
        <v>112.67943551468528</v>
      </c>
      <c r="P6" s="50">
        <f t="shared" si="2"/>
        <v>50.065248636794685</v>
      </c>
      <c r="Q6" s="50">
        <f t="shared" si="3"/>
        <v>58.837789393903876</v>
      </c>
    </row>
    <row r="7" spans="1:17">
      <c r="C7" s="46">
        <f>C5</f>
        <v>0</v>
      </c>
      <c r="D7" s="46">
        <f t="shared" ref="D7:F8" si="6">D$4/D5</f>
        <v>6.4537712895377126</v>
      </c>
      <c r="E7" s="46">
        <f t="shared" si="6"/>
        <v>15.372945638432364</v>
      </c>
      <c r="F7" s="46">
        <f t="shared" si="6"/>
        <v>12.926008968609866</v>
      </c>
      <c r="G7" s="49">
        <f>(G5-G6)/($C6-$C5)</f>
        <v>2.4340304489220608</v>
      </c>
      <c r="H7" s="49">
        <f t="shared" ref="H7:I7" si="7">(H5-H6)/($C6-$C5)</f>
        <v>0.10154175557136075</v>
      </c>
      <c r="I7" s="49">
        <f t="shared" si="7"/>
        <v>0.35575662392661539</v>
      </c>
      <c r="K7" s="14" t="str">
        <f>linefmt("CCM" )</f>
        <v>"CCM",</v>
      </c>
      <c r="M7" s="46">
        <f t="shared" si="0"/>
        <v>60.281698184539898</v>
      </c>
      <c r="N7" s="46">
        <f t="shared" si="5"/>
        <v>4</v>
      </c>
      <c r="O7" s="50">
        <f t="shared" si="1"/>
        <v>110.24540506576322</v>
      </c>
      <c r="P7" s="50">
        <f t="shared" si="2"/>
        <v>49.963706881223324</v>
      </c>
      <c r="Q7" s="50">
        <f t="shared" si="3"/>
        <v>58.482032769977266</v>
      </c>
    </row>
    <row r="8" spans="1:17">
      <c r="C8" s="46">
        <f>C6</f>
        <v>37</v>
      </c>
      <c r="D8" s="46">
        <f t="shared" si="6"/>
        <v>25.878048780487806</v>
      </c>
      <c r="E8" s="46">
        <f t="shared" si="6"/>
        <v>16.612021857923498</v>
      </c>
      <c r="F8" s="46">
        <f t="shared" si="6"/>
        <v>16.566091954022991</v>
      </c>
      <c r="K8" s="15" t="str">
        <f>linefmt("",D54,E54,F54)</f>
        <v>0.3449601,1.042735,-0.3351777,</v>
      </c>
      <c r="M8" s="46">
        <f t="shared" si="0"/>
        <v>57.949209491189201</v>
      </c>
      <c r="N8" s="46">
        <f t="shared" si="5"/>
        <v>5</v>
      </c>
      <c r="O8" s="50">
        <f t="shared" si="1"/>
        <v>107.81137461684116</v>
      </c>
      <c r="P8" s="50">
        <f t="shared" si="2"/>
        <v>49.862165125651963</v>
      </c>
      <c r="Q8" s="50">
        <f t="shared" si="3"/>
        <v>58.12627614605065</v>
      </c>
    </row>
    <row r="9" spans="1:17">
      <c r="C9" s="46" t="s">
        <v>23</v>
      </c>
      <c r="D9" s="46">
        <f>(D8-D7)/($C8-$C7)</f>
        <v>0.52498047272838089</v>
      </c>
      <c r="E9" s="46">
        <f>(E8-E7)/($C8-$C7)</f>
        <v>3.348854647273334E-2</v>
      </c>
      <c r="F9" s="46">
        <f>(F8-F7)/($C8-$C7)</f>
        <v>9.8380621227381754E-2</v>
      </c>
      <c r="K9" s="15" t="str">
        <f>linefmt("",D55,E55,F55)</f>
        <v>0.1858799,1,6.893263E-04,</v>
      </c>
      <c r="M9" s="46">
        <f t="shared" si="0"/>
        <v>55.616720797838504</v>
      </c>
      <c r="N9" s="46">
        <f t="shared" si="5"/>
        <v>6</v>
      </c>
      <c r="O9" s="50">
        <f t="shared" si="1"/>
        <v>105.37734416791911</v>
      </c>
      <c r="P9" s="50">
        <f t="shared" si="2"/>
        <v>49.760623370080602</v>
      </c>
      <c r="Q9" s="50">
        <f t="shared" si="3"/>
        <v>57.770519522124033</v>
      </c>
    </row>
    <row r="10" spans="1:17">
      <c r="K10" s="16" t="str">
        <f>linefmt("",D56,E56,F56)</f>
        <v>-0.4356171,0.3190986,1.207834,</v>
      </c>
      <c r="M10" s="46">
        <f t="shared" si="0"/>
        <v>53.284232104487806</v>
      </c>
      <c r="N10" s="46">
        <f t="shared" si="5"/>
        <v>7</v>
      </c>
      <c r="O10" s="50">
        <f t="shared" si="1"/>
        <v>102.94331371899705</v>
      </c>
      <c r="P10" s="50">
        <f t="shared" si="2"/>
        <v>49.65908161450924</v>
      </c>
      <c r="Q10" s="50">
        <f t="shared" si="3"/>
        <v>57.414762898197417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50.951743411137109</v>
      </c>
      <c r="N11" s="46">
        <f t="shared" si="5"/>
        <v>8</v>
      </c>
      <c r="O11" s="50">
        <f t="shared" si="1"/>
        <v>100.50928327007499</v>
      </c>
      <c r="P11" s="50">
        <f t="shared" si="2"/>
        <v>49.557539858937879</v>
      </c>
      <c r="Q11" s="50">
        <f t="shared" si="3"/>
        <v>57.0590062742708</v>
      </c>
    </row>
    <row r="12" spans="1:17">
      <c r="A12" s="46" t="s">
        <v>16</v>
      </c>
      <c r="B12" s="10">
        <f>MATCH(M2,M3:M66,0)-1</f>
        <v>29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Compensation=29</v>
      </c>
      <c r="M12" s="46">
        <f t="shared" si="0"/>
        <v>48.619254717786404</v>
      </c>
      <c r="N12" s="46">
        <f t="shared" si="5"/>
        <v>9</v>
      </c>
      <c r="O12" s="50">
        <f t="shared" si="1"/>
        <v>98.07525282115293</v>
      </c>
      <c r="P12" s="50">
        <f t="shared" si="2"/>
        <v>49.455998103366525</v>
      </c>
      <c r="Q12" s="50">
        <f t="shared" si="3"/>
        <v>56.703249650344191</v>
      </c>
    </row>
    <row r="13" spans="1:17">
      <c r="A13" s="78" t="s">
        <v>12</v>
      </c>
      <c r="B13" s="79" t="s">
        <v>0</v>
      </c>
      <c r="C13" s="46">
        <v>0</v>
      </c>
      <c r="D13" s="7">
        <v>554</v>
      </c>
      <c r="E13" s="7">
        <v>513</v>
      </c>
      <c r="F13" s="7">
        <v>154.5</v>
      </c>
      <c r="G13" s="8">
        <v>81.099999999999994</v>
      </c>
      <c r="H13" s="8">
        <v>19.5</v>
      </c>
      <c r="I13" s="8">
        <v>34</v>
      </c>
      <c r="M13" s="46">
        <f t="shared" si="0"/>
        <v>46.286766024435693</v>
      </c>
      <c r="N13" s="46">
        <f t="shared" si="5"/>
        <v>10</v>
      </c>
      <c r="O13" s="50">
        <f t="shared" si="1"/>
        <v>95.641222372230857</v>
      </c>
      <c r="P13" s="50">
        <f t="shared" si="2"/>
        <v>49.354456347795164</v>
      </c>
      <c r="Q13" s="50">
        <f t="shared" si="3"/>
        <v>56.347493026417574</v>
      </c>
    </row>
    <row r="14" spans="1:17">
      <c r="A14" s="78"/>
      <c r="B14" s="79"/>
      <c r="C14" s="46">
        <f>C13+1</f>
        <v>1</v>
      </c>
      <c r="D14" s="7">
        <v>561.20000000000005</v>
      </c>
      <c r="E14" s="7">
        <v>518.6</v>
      </c>
      <c r="F14" s="7">
        <v>154.1</v>
      </c>
      <c r="G14" s="8">
        <v>85.6</v>
      </c>
      <c r="H14" s="8">
        <v>21.4</v>
      </c>
      <c r="I14" s="8">
        <v>37.200000000000003</v>
      </c>
      <c r="M14" s="46">
        <f t="shared" si="0"/>
        <v>43.954277331084995</v>
      </c>
      <c r="N14" s="46">
        <f t="shared" si="5"/>
        <v>11</v>
      </c>
      <c r="O14" s="50">
        <f t="shared" si="1"/>
        <v>93.207191923308798</v>
      </c>
      <c r="P14" s="50">
        <f t="shared" si="2"/>
        <v>49.252914592223803</v>
      </c>
      <c r="Q14" s="50">
        <f t="shared" si="3"/>
        <v>55.991736402490957</v>
      </c>
    </row>
    <row r="15" spans="1:17">
      <c r="A15" s="78"/>
      <c r="B15" s="79"/>
      <c r="C15" s="46">
        <f>C14+1</f>
        <v>2</v>
      </c>
      <c r="D15" s="6">
        <f>2*(D13-D14)/(D13+D14)</f>
        <v>-1.2912482065997212E-2</v>
      </c>
      <c r="E15" s="6">
        <f t="shared" ref="E15:F15" si="8">2*(E13-E14)/(E13+E14)</f>
        <v>-1.0856921287320713E-2</v>
      </c>
      <c r="F15" s="6">
        <f t="shared" si="8"/>
        <v>2.5923525599481894E-3</v>
      </c>
      <c r="G15" s="8">
        <v>92.9</v>
      </c>
      <c r="H15" s="8">
        <v>18.399999999999999</v>
      </c>
      <c r="I15" s="8">
        <v>34.200000000000003</v>
      </c>
      <c r="M15" s="46">
        <f t="shared" si="0"/>
        <v>41.621788637734298</v>
      </c>
      <c r="N15" s="46">
        <f t="shared" si="5"/>
        <v>12</v>
      </c>
      <c r="O15" s="50">
        <f t="shared" si="1"/>
        <v>90.77316147438674</v>
      </c>
      <c r="P15" s="50">
        <f t="shared" si="2"/>
        <v>49.151372836652442</v>
      </c>
      <c r="Q15" s="50">
        <f t="shared" si="3"/>
        <v>55.635979778564341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650</v>
      </c>
      <c r="G16" s="8">
        <v>64.2</v>
      </c>
      <c r="H16" s="8">
        <v>72.8</v>
      </c>
      <c r="I16" s="8">
        <v>40</v>
      </c>
      <c r="M16" s="46">
        <f t="shared" si="0"/>
        <v>39.2892999443836</v>
      </c>
      <c r="N16" s="46">
        <f t="shared" si="5"/>
        <v>13</v>
      </c>
      <c r="O16" s="50">
        <f t="shared" si="1"/>
        <v>88.339131025464681</v>
      </c>
      <c r="P16" s="50">
        <f t="shared" si="2"/>
        <v>49.049831081081081</v>
      </c>
      <c r="Q16" s="50">
        <f t="shared" si="3"/>
        <v>55.280223154637724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1211</v>
      </c>
      <c r="F17" s="7">
        <v>649</v>
      </c>
      <c r="G17" s="8">
        <v>68.5</v>
      </c>
      <c r="H17" s="8">
        <v>77.2</v>
      </c>
      <c r="I17" s="8">
        <v>43.8</v>
      </c>
      <c r="M17" s="46">
        <f t="shared" si="0"/>
        <v>36.956811251032903</v>
      </c>
      <c r="N17" s="46">
        <f t="shared" si="5"/>
        <v>14</v>
      </c>
      <c r="O17" s="50">
        <f t="shared" si="1"/>
        <v>85.905100576542623</v>
      </c>
      <c r="P17" s="50">
        <f t="shared" si="2"/>
        <v>48.94828932550972</v>
      </c>
      <c r="Q17" s="50">
        <f t="shared" si="3"/>
        <v>54.924466530711108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-8.2610491532424622E-4</v>
      </c>
      <c r="F18" s="6">
        <f t="shared" si="10"/>
        <v>1.539645881447267E-3</v>
      </c>
      <c r="G18" s="8">
        <v>58.6</v>
      </c>
      <c r="H18" s="8">
        <v>65.3</v>
      </c>
      <c r="I18" s="8">
        <v>41.2</v>
      </c>
      <c r="M18" s="46">
        <f t="shared" si="0"/>
        <v>34.624322557682191</v>
      </c>
      <c r="N18" s="46">
        <f t="shared" si="5"/>
        <v>15</v>
      </c>
      <c r="O18" s="50">
        <f t="shared" si="1"/>
        <v>83.47107012762055</v>
      </c>
      <c r="P18" s="50">
        <f t="shared" si="2"/>
        <v>48.846747569938358</v>
      </c>
      <c r="Q18" s="50">
        <f t="shared" si="3"/>
        <v>54.568709906784491</v>
      </c>
    </row>
    <row r="19" spans="1:21">
      <c r="A19" s="78"/>
      <c r="B19" s="79" t="s">
        <v>2</v>
      </c>
      <c r="C19" s="46">
        <f t="shared" si="9"/>
        <v>0</v>
      </c>
      <c r="D19" s="7">
        <v>510.9</v>
      </c>
      <c r="E19" s="7">
        <v>577.70000000000005</v>
      </c>
      <c r="F19" s="7">
        <v>530.70000000000005</v>
      </c>
      <c r="G19" s="8">
        <v>26.8</v>
      </c>
      <c r="H19" s="8">
        <v>34.799999999999997</v>
      </c>
      <c r="I19" s="8">
        <v>29.7</v>
      </c>
      <c r="M19" s="46">
        <f t="shared" si="0"/>
        <v>32.291833864331508</v>
      </c>
      <c r="N19" s="46">
        <f t="shared" si="5"/>
        <v>16</v>
      </c>
      <c r="O19" s="50">
        <f t="shared" si="1"/>
        <v>81.037039678698505</v>
      </c>
      <c r="P19" s="50">
        <f t="shared" si="2"/>
        <v>48.745205814366997</v>
      </c>
      <c r="Q19" s="50">
        <f t="shared" si="3"/>
        <v>54.212953282857882</v>
      </c>
    </row>
    <row r="20" spans="1:21">
      <c r="A20" s="78"/>
      <c r="B20" s="79"/>
      <c r="C20" s="46">
        <f t="shared" si="9"/>
        <v>1</v>
      </c>
      <c r="D20" s="7">
        <v>512.70000000000005</v>
      </c>
      <c r="E20" s="7">
        <v>579.4</v>
      </c>
      <c r="F20" s="7">
        <v>532</v>
      </c>
      <c r="G20" s="8">
        <v>29.4</v>
      </c>
      <c r="H20" s="8">
        <v>38.200000000000003</v>
      </c>
      <c r="I20" s="8">
        <v>32.5</v>
      </c>
      <c r="M20" s="46">
        <f t="shared" si="0"/>
        <v>29.959345170980797</v>
      </c>
      <c r="N20" s="46">
        <f t="shared" si="5"/>
        <v>17</v>
      </c>
      <c r="O20" s="50">
        <f t="shared" si="1"/>
        <v>78.603009229776433</v>
      </c>
      <c r="P20" s="50">
        <f t="shared" si="2"/>
        <v>48.643664058795636</v>
      </c>
      <c r="Q20" s="50">
        <f t="shared" si="3"/>
        <v>53.857196658931265</v>
      </c>
    </row>
    <row r="21" spans="1:21">
      <c r="A21" s="78"/>
      <c r="B21" s="79"/>
      <c r="C21" s="46">
        <f t="shared" si="9"/>
        <v>2</v>
      </c>
      <c r="D21" s="6">
        <f>2*(D19-D20)/(D19+D20)</f>
        <v>-3.5169988276671908E-3</v>
      </c>
      <c r="E21" s="6">
        <f t="shared" ref="E21:F21" si="11">2*(E19-E20)/(E19+E20)</f>
        <v>-2.9383804338431112E-3</v>
      </c>
      <c r="F21" s="6">
        <f t="shared" si="11"/>
        <v>-2.4465982873811132E-3</v>
      </c>
      <c r="G21" s="8">
        <v>25.7</v>
      </c>
      <c r="H21" s="8">
        <v>35</v>
      </c>
      <c r="I21" s="8">
        <v>28.9</v>
      </c>
      <c r="M21" s="46">
        <f t="shared" si="0"/>
        <v>27.626856477630099</v>
      </c>
      <c r="N21" s="46">
        <f t="shared" si="5"/>
        <v>18</v>
      </c>
      <c r="O21" s="50">
        <f t="shared" si="1"/>
        <v>76.168978780854374</v>
      </c>
      <c r="P21" s="50">
        <f t="shared" si="2"/>
        <v>48.542122303224275</v>
      </c>
      <c r="Q21" s="50">
        <f t="shared" si="3"/>
        <v>53.501440035004649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557.6</v>
      </c>
      <c r="E22" s="46">
        <f t="shared" ref="E22:F22" si="12">(E13+E14)/2</f>
        <v>515.79999999999995</v>
      </c>
      <c r="F22" s="46">
        <f t="shared" si="12"/>
        <v>154.30000000000001</v>
      </c>
      <c r="G22" s="5">
        <f>G13</f>
        <v>81.099999999999994</v>
      </c>
      <c r="H22" s="5">
        <f t="shared" ref="H22:I22" si="13">H13</f>
        <v>19.5</v>
      </c>
      <c r="I22" s="5">
        <f t="shared" si="13"/>
        <v>34</v>
      </c>
      <c r="J22" s="99">
        <f>AVERAGE(G22:I24)</f>
        <v>44.766666666666673</v>
      </c>
      <c r="M22" s="46">
        <f t="shared" si="0"/>
        <v>25.294367784279402</v>
      </c>
      <c r="N22" s="46">
        <f t="shared" si="5"/>
        <v>19</v>
      </c>
      <c r="O22" s="50">
        <f t="shared" si="1"/>
        <v>73.734948331932316</v>
      </c>
      <c r="P22" s="50">
        <f t="shared" si="2"/>
        <v>48.440580547652914</v>
      </c>
      <c r="Q22" s="50">
        <f t="shared" si="3"/>
        <v>53.145683411078032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1210.5</v>
      </c>
      <c r="F23" s="46">
        <f>(F16+F17)/2</f>
        <v>649.5</v>
      </c>
      <c r="G23" s="5">
        <f>G16</f>
        <v>64.2</v>
      </c>
      <c r="H23" s="5">
        <f>H16</f>
        <v>72.8</v>
      </c>
      <c r="I23" s="5">
        <f>I16</f>
        <v>40</v>
      </c>
      <c r="J23" s="99"/>
      <c r="M23" s="46">
        <f t="shared" si="0"/>
        <v>22.961879090928704</v>
      </c>
      <c r="N23" s="46">
        <f t="shared" si="5"/>
        <v>20</v>
      </c>
      <c r="O23" s="50">
        <f t="shared" si="1"/>
        <v>71.300917883010257</v>
      </c>
      <c r="P23" s="50">
        <f t="shared" si="2"/>
        <v>48.339038792081553</v>
      </c>
      <c r="Q23" s="50">
        <f t="shared" si="3"/>
        <v>52.789926787151416</v>
      </c>
    </row>
    <row r="24" spans="1:21">
      <c r="A24" s="78"/>
      <c r="B24" s="46" t="str">
        <f>B19</f>
        <v>D65</v>
      </c>
      <c r="C24" s="79"/>
      <c r="D24" s="46">
        <f>(D19+D20)/2</f>
        <v>511.8</v>
      </c>
      <c r="E24" s="46">
        <f>(E19+E20)/2</f>
        <v>578.54999999999995</v>
      </c>
      <c r="F24" s="46">
        <f>(F19+F20)/2</f>
        <v>531.35</v>
      </c>
      <c r="G24" s="5">
        <f>G19</f>
        <v>26.8</v>
      </c>
      <c r="H24" s="5">
        <f>H19</f>
        <v>34.799999999999997</v>
      </c>
      <c r="I24" s="5">
        <f>I19</f>
        <v>29.7</v>
      </c>
      <c r="J24" s="99"/>
      <c r="M24" s="46">
        <f t="shared" si="0"/>
        <v>20.629390397578007</v>
      </c>
      <c r="N24" s="46">
        <f t="shared" si="5"/>
        <v>21</v>
      </c>
      <c r="O24" s="50">
        <f t="shared" si="1"/>
        <v>68.866887434088198</v>
      </c>
      <c r="P24" s="50">
        <f t="shared" si="2"/>
        <v>48.237497036510192</v>
      </c>
      <c r="Q24" s="50">
        <f t="shared" si="3"/>
        <v>52.434170163224806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557.6</v>
      </c>
      <c r="E25" s="46">
        <f t="shared" ref="E25:F25" si="15">(E13+E14)/2</f>
        <v>515.79999999999995</v>
      </c>
      <c r="F25" s="46">
        <f t="shared" si="15"/>
        <v>154.30000000000001</v>
      </c>
      <c r="G25" s="5">
        <f t="shared" ref="G25:I25" si="16">G14</f>
        <v>85.6</v>
      </c>
      <c r="H25" s="5">
        <f t="shared" si="16"/>
        <v>21.4</v>
      </c>
      <c r="I25" s="5">
        <f t="shared" si="16"/>
        <v>37.200000000000003</v>
      </c>
      <c r="J25" s="99">
        <f>AVERAGE(G25:I27)</f>
        <v>48.199999999999996</v>
      </c>
      <c r="M25" s="46">
        <f t="shared" si="0"/>
        <v>18.296901704227295</v>
      </c>
      <c r="N25" s="46">
        <f t="shared" si="5"/>
        <v>22</v>
      </c>
      <c r="O25" s="50">
        <f t="shared" si="1"/>
        <v>66.432856985166126</v>
      </c>
      <c r="P25" s="50">
        <f t="shared" si="2"/>
        <v>48.13595528093883</v>
      </c>
      <c r="Q25" s="50">
        <f t="shared" si="3"/>
        <v>52.07841353929819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1210.5</v>
      </c>
      <c r="F26" s="46">
        <f>(F16+F17)/2</f>
        <v>649.5</v>
      </c>
      <c r="G26" s="5">
        <f>G17</f>
        <v>68.5</v>
      </c>
      <c r="H26" s="5">
        <f>H17</f>
        <v>77.2</v>
      </c>
      <c r="I26" s="5">
        <f>I17</f>
        <v>43.8</v>
      </c>
      <c r="J26" s="99"/>
      <c r="M26" s="46">
        <f t="shared" si="0"/>
        <v>15.964413010876605</v>
      </c>
      <c r="N26" s="46">
        <f t="shared" si="5"/>
        <v>23</v>
      </c>
      <c r="O26" s="50">
        <f t="shared" si="1"/>
        <v>63.998826536244074</v>
      </c>
      <c r="P26" s="50">
        <f t="shared" si="2"/>
        <v>48.034413525367469</v>
      </c>
      <c r="Q26" s="50">
        <f t="shared" si="3"/>
        <v>51.722656915371573</v>
      </c>
    </row>
    <row r="27" spans="1:21">
      <c r="A27" s="78"/>
      <c r="B27" s="46" t="str">
        <f>B19</f>
        <v>D65</v>
      </c>
      <c r="C27" s="79"/>
      <c r="D27" s="46">
        <f>(D19+D20)/2</f>
        <v>511.8</v>
      </c>
      <c r="E27" s="46">
        <f>(E19+E20)/2</f>
        <v>578.54999999999995</v>
      </c>
      <c r="F27" s="46">
        <f>(F19+F20)/2</f>
        <v>531.35</v>
      </c>
      <c r="G27" s="5">
        <f>G20</f>
        <v>29.4</v>
      </c>
      <c r="H27" s="5">
        <f>H20</f>
        <v>38.200000000000003</v>
      </c>
      <c r="I27" s="5">
        <f>I20</f>
        <v>32.5</v>
      </c>
      <c r="J27" s="99"/>
      <c r="M27" s="46">
        <f t="shared" si="0"/>
        <v>13.6319243175259</v>
      </c>
      <c r="N27" s="46">
        <f t="shared" si="5"/>
        <v>24</v>
      </c>
      <c r="O27" s="50">
        <f t="shared" si="1"/>
        <v>61.564796087322009</v>
      </c>
      <c r="P27" s="50">
        <f t="shared" si="2"/>
        <v>47.932871769796108</v>
      </c>
      <c r="Q27" s="50">
        <f t="shared" si="3"/>
        <v>51.366900291444956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557.6</v>
      </c>
      <c r="E28" s="46">
        <f t="shared" ref="E28:F28" si="17">(E13+E14)/2</f>
        <v>515.79999999999995</v>
      </c>
      <c r="F28" s="46">
        <f t="shared" si="17"/>
        <v>154.30000000000001</v>
      </c>
      <c r="G28" s="5">
        <f t="shared" ref="G28:I28" si="18">G15</f>
        <v>92.9</v>
      </c>
      <c r="H28" s="5">
        <f t="shared" si="18"/>
        <v>18.399999999999999</v>
      </c>
      <c r="I28" s="5">
        <f t="shared" si="18"/>
        <v>34.200000000000003</v>
      </c>
      <c r="J28" s="99">
        <f>AVERAGE(G28:I30)</f>
        <v>44.466666666666661</v>
      </c>
      <c r="M28" s="46">
        <f t="shared" si="0"/>
        <v>11.299435624175203</v>
      </c>
      <c r="N28" s="46">
        <f t="shared" si="5"/>
        <v>25</v>
      </c>
      <c r="O28" s="50">
        <f t="shared" si="1"/>
        <v>59.13076563839995</v>
      </c>
      <c r="P28" s="50">
        <f t="shared" si="2"/>
        <v>47.831330014224747</v>
      </c>
      <c r="Q28" s="50">
        <f t="shared" si="3"/>
        <v>51.01114366751834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1210.5</v>
      </c>
      <c r="F29" s="46">
        <f t="shared" si="20"/>
        <v>649.5</v>
      </c>
      <c r="G29" s="5">
        <f t="shared" ref="G29:I29" si="21">G18</f>
        <v>58.6</v>
      </c>
      <c r="H29" s="5">
        <f t="shared" si="21"/>
        <v>65.3</v>
      </c>
      <c r="I29" s="5">
        <f t="shared" si="21"/>
        <v>41.2</v>
      </c>
      <c r="J29" s="99"/>
      <c r="M29" s="46">
        <f t="shared" si="0"/>
        <v>8.9669469308245056</v>
      </c>
      <c r="N29" s="46">
        <f t="shared" si="5"/>
        <v>26</v>
      </c>
      <c r="O29" s="50">
        <f t="shared" si="1"/>
        <v>56.696735189477891</v>
      </c>
      <c r="P29" s="50">
        <f t="shared" si="2"/>
        <v>47.729788258653386</v>
      </c>
      <c r="Q29" s="50">
        <f t="shared" si="3"/>
        <v>50.655387043591723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511.8</v>
      </c>
      <c r="E30" s="46">
        <f t="shared" si="23"/>
        <v>578.54999999999995</v>
      </c>
      <c r="F30" s="46">
        <f t="shared" si="23"/>
        <v>531.35</v>
      </c>
      <c r="G30" s="5">
        <f t="shared" ref="G30:I30" si="24">G21</f>
        <v>25.7</v>
      </c>
      <c r="H30" s="5">
        <f t="shared" si="24"/>
        <v>35</v>
      </c>
      <c r="I30" s="5">
        <f t="shared" si="24"/>
        <v>28.9</v>
      </c>
      <c r="J30" s="99"/>
      <c r="M30" s="46">
        <f t="shared" si="0"/>
        <v>6.6344582374738081</v>
      </c>
      <c r="N30" s="46">
        <f t="shared" si="5"/>
        <v>27</v>
      </c>
      <c r="O30" s="50">
        <f t="shared" si="1"/>
        <v>54.262704740555833</v>
      </c>
      <c r="P30" s="50">
        <f t="shared" si="2"/>
        <v>47.628246503082025</v>
      </c>
      <c r="Q30" s="50">
        <f t="shared" si="3"/>
        <v>50.299630419665107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557.6</v>
      </c>
      <c r="E31" s="46">
        <f t="shared" si="25"/>
        <v>515.79999999999995</v>
      </c>
      <c r="F31" s="46">
        <f t="shared" si="25"/>
        <v>154.30000000000001</v>
      </c>
      <c r="G31" s="5">
        <f t="shared" ref="G31:I33" si="26">G22*$J$31</f>
        <v>81.099999999999994</v>
      </c>
      <c r="H31" s="5">
        <f t="shared" si="26"/>
        <v>19.5</v>
      </c>
      <c r="I31" s="5">
        <f t="shared" si="26"/>
        <v>34</v>
      </c>
      <c r="J31" s="96">
        <f>J$22/J22</f>
        <v>1</v>
      </c>
      <c r="M31" s="46">
        <f t="shared" si="0"/>
        <v>4.3019695441231107</v>
      </c>
      <c r="N31" s="46">
        <f t="shared" si="5"/>
        <v>28</v>
      </c>
      <c r="O31" s="50">
        <f t="shared" si="1"/>
        <v>51.828674291633774</v>
      </c>
      <c r="P31" s="50">
        <f t="shared" si="2"/>
        <v>47.526704747510664</v>
      </c>
      <c r="Q31" s="50">
        <f t="shared" si="3"/>
        <v>49.943873795738497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1210.5</v>
      </c>
      <c r="F32" s="46">
        <f t="shared" si="27"/>
        <v>649.5</v>
      </c>
      <c r="G32" s="5">
        <f t="shared" si="26"/>
        <v>64.2</v>
      </c>
      <c r="H32" s="5">
        <f t="shared" si="26"/>
        <v>72.8</v>
      </c>
      <c r="I32" s="5">
        <f t="shared" si="26"/>
        <v>40</v>
      </c>
      <c r="J32" s="96"/>
      <c r="M32" s="46">
        <f t="shared" si="0"/>
        <v>2.1629541798725711</v>
      </c>
      <c r="N32" s="46">
        <f t="shared" si="5"/>
        <v>29</v>
      </c>
      <c r="O32" s="50">
        <f t="shared" si="1"/>
        <v>49.394643842711702</v>
      </c>
      <c r="P32" s="50">
        <f t="shared" si="2"/>
        <v>47.42516299193931</v>
      </c>
      <c r="Q32" s="50">
        <f t="shared" si="3"/>
        <v>49.588117171811881</v>
      </c>
    </row>
    <row r="33" spans="1:17">
      <c r="A33" s="78"/>
      <c r="B33" s="46" t="str">
        <f t="shared" si="27"/>
        <v>D65</v>
      </c>
      <c r="C33" s="79"/>
      <c r="D33" s="46">
        <f t="shared" si="27"/>
        <v>511.8</v>
      </c>
      <c r="E33" s="46">
        <f t="shared" si="27"/>
        <v>578.54999999999995</v>
      </c>
      <c r="F33" s="46">
        <f t="shared" si="27"/>
        <v>531.35</v>
      </c>
      <c r="G33" s="5">
        <f t="shared" si="26"/>
        <v>26.8</v>
      </c>
      <c r="H33" s="5">
        <f t="shared" si="26"/>
        <v>34.799999999999997</v>
      </c>
      <c r="I33" s="5">
        <f t="shared" si="26"/>
        <v>29.7</v>
      </c>
      <c r="J33" s="96"/>
      <c r="M33" s="46">
        <f t="shared" si="0"/>
        <v>2.2717471540956211</v>
      </c>
      <c r="N33" s="46">
        <f t="shared" si="5"/>
        <v>30</v>
      </c>
      <c r="O33" s="50">
        <f t="shared" si="1"/>
        <v>46.960613393789643</v>
      </c>
      <c r="P33" s="50">
        <f t="shared" si="2"/>
        <v>47.323621236367948</v>
      </c>
      <c r="Q33" s="50">
        <f t="shared" si="3"/>
        <v>49.232360547885264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557.6</v>
      </c>
      <c r="E34" s="46">
        <f t="shared" si="27"/>
        <v>515.79999999999995</v>
      </c>
      <c r="F34" s="46">
        <f t="shared" si="27"/>
        <v>154.30000000000001</v>
      </c>
      <c r="G34" s="5">
        <f t="shared" ref="G34:I36" si="28">G25*$J$34</f>
        <v>79.502627939142485</v>
      </c>
      <c r="H34" s="5">
        <f t="shared" si="28"/>
        <v>19.875656984785621</v>
      </c>
      <c r="I34" s="5">
        <f t="shared" si="28"/>
        <v>34.550207468879677</v>
      </c>
      <c r="J34" s="96">
        <f>J$22/J25</f>
        <v>0.92876901798063649</v>
      </c>
      <c r="M34" s="46">
        <f t="shared" si="0"/>
        <v>4.3500209790910631</v>
      </c>
      <c r="N34" s="46">
        <f t="shared" si="5"/>
        <v>31</v>
      </c>
      <c r="O34" s="50">
        <f t="shared" si="1"/>
        <v>44.526582944867585</v>
      </c>
      <c r="P34" s="50">
        <f t="shared" si="2"/>
        <v>47.222079480796587</v>
      </c>
      <c r="Q34" s="50">
        <f t="shared" si="3"/>
        <v>48.876603923958648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1210.5</v>
      </c>
      <c r="F35" s="46">
        <f t="shared" si="27"/>
        <v>649.5</v>
      </c>
      <c r="G35" s="5">
        <f t="shared" si="28"/>
        <v>63.620677731673602</v>
      </c>
      <c r="H35" s="5">
        <f t="shared" si="28"/>
        <v>71.700968188105136</v>
      </c>
      <c r="I35" s="5">
        <f t="shared" si="28"/>
        <v>40.680082987551877</v>
      </c>
      <c r="J35" s="96"/>
      <c r="M35" s="46">
        <f t="shared" si="0"/>
        <v>6.4282948040865051</v>
      </c>
      <c r="N35" s="46">
        <f t="shared" si="5"/>
        <v>32</v>
      </c>
      <c r="O35" s="50">
        <f t="shared" si="1"/>
        <v>42.092552495945526</v>
      </c>
      <c r="P35" s="50">
        <f t="shared" si="2"/>
        <v>47.120537725225226</v>
      </c>
      <c r="Q35" s="50">
        <f t="shared" si="3"/>
        <v>48.520847300032031</v>
      </c>
    </row>
    <row r="36" spans="1:17">
      <c r="A36" s="78"/>
      <c r="B36" s="46" t="str">
        <f t="shared" si="27"/>
        <v>D65</v>
      </c>
      <c r="C36" s="79"/>
      <c r="D36" s="46">
        <f t="shared" si="27"/>
        <v>511.8</v>
      </c>
      <c r="E36" s="46">
        <f t="shared" si="27"/>
        <v>578.54999999999995</v>
      </c>
      <c r="F36" s="46">
        <f t="shared" si="27"/>
        <v>531.35</v>
      </c>
      <c r="G36" s="5">
        <f t="shared" si="28"/>
        <v>27.305809128630713</v>
      </c>
      <c r="H36" s="5">
        <f t="shared" si="28"/>
        <v>35.478976486860319</v>
      </c>
      <c r="I36" s="5">
        <f t="shared" si="28"/>
        <v>30.184993084370685</v>
      </c>
      <c r="J36" s="96"/>
      <c r="M36" s="46">
        <f t="shared" si="0"/>
        <v>8.5065686290819542</v>
      </c>
      <c r="N36" s="46">
        <f t="shared" si="5"/>
        <v>33</v>
      </c>
      <c r="O36" s="50">
        <f t="shared" si="1"/>
        <v>39.658522047023467</v>
      </c>
      <c r="P36" s="50">
        <f t="shared" si="2"/>
        <v>47.018995969653865</v>
      </c>
      <c r="Q36" s="50">
        <f t="shared" si="3"/>
        <v>48.165090676105422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557.6</v>
      </c>
      <c r="E37" s="46">
        <f t="shared" si="27"/>
        <v>515.79999999999995</v>
      </c>
      <c r="F37" s="46">
        <f t="shared" si="27"/>
        <v>154.30000000000001</v>
      </c>
      <c r="G37" s="5">
        <f t="shared" ref="G37:I39" si="29">G28*$J$37</f>
        <v>93.526761619190438</v>
      </c>
      <c r="H37" s="5">
        <f t="shared" si="29"/>
        <v>18.524137931034485</v>
      </c>
      <c r="I37" s="5">
        <f t="shared" si="29"/>
        <v>34.430734632683667</v>
      </c>
      <c r="J37" s="96">
        <f>J$22/J28</f>
        <v>1.0067466266866569</v>
      </c>
      <c r="K37" s="51" t="str">
        <f>CHAR(34) &amp; "EEpromVersion" &amp;CHAR(34)  &amp; ",3,"</f>
        <v>"EEpromVersion",3,</v>
      </c>
      <c r="M37" s="46">
        <f t="shared" si="0"/>
        <v>10.584842454077389</v>
      </c>
      <c r="N37" s="46">
        <f t="shared" si="5"/>
        <v>34</v>
      </c>
      <c r="O37" s="50">
        <f t="shared" si="1"/>
        <v>37.224491598101409</v>
      </c>
      <c r="P37" s="50">
        <f t="shared" si="2"/>
        <v>46.917454214082504</v>
      </c>
      <c r="Q37" s="50">
        <f t="shared" si="3"/>
        <v>47.809334052178798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1210.5</v>
      </c>
      <c r="F38" s="46">
        <f t="shared" si="27"/>
        <v>649.5</v>
      </c>
      <c r="G38" s="5">
        <f t="shared" si="29"/>
        <v>58.995352323838098</v>
      </c>
      <c r="H38" s="5">
        <f t="shared" si="29"/>
        <v>65.740554722638691</v>
      </c>
      <c r="I38" s="5">
        <f t="shared" si="29"/>
        <v>41.477961019490266</v>
      </c>
      <c r="J38" s="96"/>
      <c r="K38" s="52" t="str">
        <f>K4</f>
        <v>"Compensation",29,</v>
      </c>
      <c r="M38" s="46">
        <f t="shared" si="0"/>
        <v>12.663116279072838</v>
      </c>
      <c r="N38" s="46">
        <f t="shared" si="5"/>
        <v>35</v>
      </c>
      <c r="O38" s="50">
        <f t="shared" si="1"/>
        <v>34.79046114917935</v>
      </c>
      <c r="P38" s="50">
        <f t="shared" si="2"/>
        <v>46.815912458511143</v>
      </c>
      <c r="Q38" s="50">
        <f t="shared" si="3"/>
        <v>47.453577428252188</v>
      </c>
    </row>
    <row r="39" spans="1:17">
      <c r="A39" s="78"/>
      <c r="B39" s="46" t="str">
        <f t="shared" si="27"/>
        <v>D65</v>
      </c>
      <c r="C39" s="79"/>
      <c r="D39" s="46">
        <f t="shared" si="27"/>
        <v>511.8</v>
      </c>
      <c r="E39" s="46">
        <f t="shared" si="27"/>
        <v>578.54999999999995</v>
      </c>
      <c r="F39" s="46">
        <f t="shared" si="27"/>
        <v>531.35</v>
      </c>
      <c r="G39" s="5">
        <f t="shared" si="29"/>
        <v>25.873388305847083</v>
      </c>
      <c r="H39" s="5">
        <f t="shared" si="29"/>
        <v>35.23613193403299</v>
      </c>
      <c r="I39" s="5">
        <f t="shared" si="29"/>
        <v>29.094977511244384</v>
      </c>
      <c r="J39" s="96"/>
      <c r="K39" s="53" t="str">
        <f>linefmt("CardGain",J42,J45,J48)</f>
        <v>"CardGain",13.76438,14.46351,18.8166,</v>
      </c>
      <c r="M39" s="46">
        <f t="shared" si="0"/>
        <v>14.741390104068294</v>
      </c>
      <c r="N39" s="46">
        <f t="shared" si="5"/>
        <v>36</v>
      </c>
      <c r="O39" s="50">
        <f t="shared" si="1"/>
        <v>32.356430700257278</v>
      </c>
      <c r="P39" s="50">
        <f t="shared" si="2"/>
        <v>46.714370702939782</v>
      </c>
      <c r="Q39" s="50">
        <f t="shared" si="3"/>
        <v>47.097820804325572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"Range",1,0.928769,1.006747,</v>
      </c>
      <c r="M40" s="46">
        <f t="shared" si="0"/>
        <v>16.819663929063736</v>
      </c>
      <c r="N40" s="46">
        <f t="shared" si="5"/>
        <v>37</v>
      </c>
      <c r="O40" s="50">
        <f t="shared" si="1"/>
        <v>29.922400251335219</v>
      </c>
      <c r="P40" s="50">
        <f t="shared" si="2"/>
        <v>46.612828947368421</v>
      </c>
      <c r="Q40" s="50">
        <f t="shared" si="3"/>
        <v>46.742064180398955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19.022917389383899</v>
      </c>
      <c r="N41" s="46">
        <f t="shared" si="5"/>
        <v>38</v>
      </c>
      <c r="O41" s="50">
        <f t="shared" si="1"/>
        <v>27.48836980241316</v>
      </c>
      <c r="P41" s="50">
        <f t="shared" si="2"/>
        <v>46.511287191797059</v>
      </c>
      <c r="Q41" s="50">
        <f t="shared" si="3"/>
        <v>46.386307556472339</v>
      </c>
    </row>
    <row r="42" spans="1:17">
      <c r="A42" s="4"/>
      <c r="B42" s="46" t="s">
        <v>3</v>
      </c>
      <c r="C42" s="79">
        <f>C31</f>
        <v>0</v>
      </c>
      <c r="D42" s="46">
        <f>I42/$H$43</f>
        <v>0.37440078451878311</v>
      </c>
      <c r="E42" s="46">
        <f>H42/$H$43</f>
        <v>1.0292457404971758</v>
      </c>
      <c r="F42" s="46">
        <f>G42/$H$43</f>
        <v>-0.29187772175544868</v>
      </c>
      <c r="G42" s="46">
        <f t="array" ref="G42:I42">LINEST($D31:$D33,$G31:$I33,FALSE)</f>
        <v>-4.0175166469785495</v>
      </c>
      <c r="H42" s="46">
        <v>14.166932205068084</v>
      </c>
      <c r="I42" s="46">
        <v>5.1533956596602106</v>
      </c>
      <c r="J42" s="97">
        <f>H43</f>
        <v>13.764382642210176</v>
      </c>
      <c r="K42" s="53" t="str">
        <f t="shared" ref="K42:K50" si="30">linefmt("",D42,E42,F42)</f>
        <v>0.3744008,1.029246,-0.2918777,</v>
      </c>
      <c r="M42" s="46">
        <f t="shared" si="0"/>
        <v>21.355406082734596</v>
      </c>
      <c r="N42" s="46">
        <f t="shared" si="5"/>
        <v>39</v>
      </c>
      <c r="O42" s="50">
        <f t="shared" si="1"/>
        <v>25.054339353491102</v>
      </c>
      <c r="P42" s="50">
        <f t="shared" si="2"/>
        <v>46.409745436225698</v>
      </c>
      <c r="Q42" s="50">
        <f t="shared" si="3"/>
        <v>46.030550932545722</v>
      </c>
    </row>
    <row r="43" spans="1:17">
      <c r="A43" s="4"/>
      <c r="B43" s="46" t="s">
        <v>4</v>
      </c>
      <c r="C43" s="79"/>
      <c r="D43" s="46">
        <f>I43/$H$43</f>
        <v>0.192265834806012</v>
      </c>
      <c r="E43" s="46">
        <f>H43/$H$43</f>
        <v>1</v>
      </c>
      <c r="F43" s="46">
        <f>G43/$H$43</f>
        <v>7.0022657954528833E-2</v>
      </c>
      <c r="G43" s="46">
        <f t="array" ref="G43:I43">LINEST($E31:$E33,$G31:$I33,FALSE)</f>
        <v>0.96381865771073694</v>
      </c>
      <c r="H43" s="46">
        <v>13.764382642210176</v>
      </c>
      <c r="I43" s="46">
        <v>2.6464205192939207</v>
      </c>
      <c r="J43" s="97"/>
      <c r="K43" s="53" t="str">
        <f t="shared" si="30"/>
        <v>0.1922658,1,7.002266E-02,</v>
      </c>
      <c r="M43" s="46">
        <f t="shared" si="0"/>
        <v>23.687894776085294</v>
      </c>
      <c r="N43" s="46">
        <f t="shared" si="5"/>
        <v>40</v>
      </c>
      <c r="O43" s="50">
        <f t="shared" si="1"/>
        <v>22.620308904569043</v>
      </c>
      <c r="P43" s="50">
        <f t="shared" si="2"/>
        <v>46.308203680654337</v>
      </c>
      <c r="Q43" s="50">
        <f t="shared" si="3"/>
        <v>45.674794308619113</v>
      </c>
    </row>
    <row r="44" spans="1:17">
      <c r="A44" s="4"/>
      <c r="B44" s="46" t="s">
        <v>5</v>
      </c>
      <c r="C44" s="79"/>
      <c r="D44" s="46">
        <f>I44/$H$43</f>
        <v>-0.5071503785959679</v>
      </c>
      <c r="E44" s="46">
        <f>H44/$H$43</f>
        <v>0.36442102066968357</v>
      </c>
      <c r="F44" s="46">
        <f>G44/$H$43</f>
        <v>1.3304052385410516</v>
      </c>
      <c r="G44" s="46">
        <f t="array" ref="G44:I44">LINEST($F$31:$F$33,$G31:$I33,FALSE)</f>
        <v>18.312206772479939</v>
      </c>
      <c r="H44" s="46">
        <v>5.0160303713623087</v>
      </c>
      <c r="I44" s="46">
        <v>-6.98061186813666</v>
      </c>
      <c r="J44" s="97"/>
      <c r="K44" s="53" t="str">
        <f t="shared" si="30"/>
        <v>-0.5071504,0.364421,1.330405,</v>
      </c>
      <c r="M44" s="46">
        <f t="shared" si="0"/>
        <v>26.020383469435991</v>
      </c>
      <c r="N44" s="46">
        <f t="shared" si="5"/>
        <v>41</v>
      </c>
      <c r="O44" s="50">
        <f t="shared" si="1"/>
        <v>20.186278455646985</v>
      </c>
      <c r="P44" s="50">
        <f t="shared" si="2"/>
        <v>46.206661925082976</v>
      </c>
      <c r="Q44" s="50">
        <f t="shared" si="3"/>
        <v>45.319037684692496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0.4021049939369013</v>
      </c>
      <c r="E45" s="46">
        <f>H45/$H$46</f>
        <v>1.0297741191604595</v>
      </c>
      <c r="F45" s="46">
        <f>G45/$H$46</f>
        <v>-0.401840026524172</v>
      </c>
      <c r="G45" s="46">
        <f t="array" ref="G45:I45">LINEST($D34:$D36,$G34:$I36,FALSE)</f>
        <v>-5.8120182057544927</v>
      </c>
      <c r="H45" s="46">
        <v>14.8941507398974</v>
      </c>
      <c r="I45" s="46">
        <v>5.8158505652136414</v>
      </c>
      <c r="J45" s="97">
        <f>H46</f>
        <v>14.463512398272453</v>
      </c>
      <c r="K45" s="53" t="str">
        <f t="shared" si="30"/>
        <v>0.402105,1.029774,-0.40184,</v>
      </c>
      <c r="M45" s="46">
        <f t="shared" si="0"/>
        <v>28.352872162786703</v>
      </c>
      <c r="N45" s="46">
        <f t="shared" si="5"/>
        <v>42</v>
      </c>
      <c r="O45" s="50">
        <f t="shared" si="1"/>
        <v>17.752248006724912</v>
      </c>
      <c r="P45" s="50">
        <f t="shared" si="2"/>
        <v>46.105120169511615</v>
      </c>
      <c r="Q45" s="50">
        <f t="shared" si="3"/>
        <v>44.96328106076588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0.21992447442305299</v>
      </c>
      <c r="E46" s="46">
        <f>H46/$H$46</f>
        <v>1</v>
      </c>
      <c r="F46" s="46">
        <f>G46/$H$46</f>
        <v>-4.9148101424057511E-2</v>
      </c>
      <c r="G46" s="46">
        <f t="array" ref="G46:I46">LINEST($E34:$E36,$G34:$I36,FALSE)</f>
        <v>-0.7108541742984078</v>
      </c>
      <c r="H46" s="46">
        <v>14.463512398272453</v>
      </c>
      <c r="I46" s="46">
        <v>3.1808803625013797</v>
      </c>
      <c r="J46" s="97"/>
      <c r="K46" s="53" t="str">
        <f t="shared" si="30"/>
        <v>0.2199245,1,-0.0491481,</v>
      </c>
      <c r="M46" s="46">
        <f t="shared" si="0"/>
        <v>30.6853608561374</v>
      </c>
      <c r="N46" s="46">
        <f t="shared" si="5"/>
        <v>43</v>
      </c>
      <c r="O46" s="50">
        <f t="shared" si="1"/>
        <v>15.318217557802853</v>
      </c>
      <c r="P46" s="50">
        <f t="shared" si="2"/>
        <v>46.003578413940254</v>
      </c>
      <c r="Q46" s="50">
        <f t="shared" si="3"/>
        <v>44.607524436839263</v>
      </c>
    </row>
    <row r="47" spans="1:17">
      <c r="A47" s="4"/>
      <c r="B47" s="46" t="str">
        <f t="shared" si="31"/>
        <v>Z</v>
      </c>
      <c r="C47" s="79"/>
      <c r="D47" s="46">
        <f>I47/$H$46</f>
        <v>-0.49460236010581904</v>
      </c>
      <c r="E47" s="46">
        <f>H47/$H$46</f>
        <v>0.36260313059126498</v>
      </c>
      <c r="F47" s="46">
        <f>G47/$H$46</f>
        <v>1.238297532414963</v>
      </c>
      <c r="G47" s="46">
        <f t="array" ref="G47:I47">LINEST($F$31:$F$33,$G34:$I36,FALSE)</f>
        <v>17.910131712834001</v>
      </c>
      <c r="H47" s="46">
        <v>5.2445148749591661</v>
      </c>
      <c r="I47" s="46">
        <v>-7.1536873676053299</v>
      </c>
      <c r="J47" s="97"/>
      <c r="K47" s="53" t="str">
        <f t="shared" si="30"/>
        <v>-0.4946024,0.3626031,1.238298,</v>
      </c>
      <c r="M47" s="46">
        <f t="shared" si="0"/>
        <v>33.017849549488098</v>
      </c>
      <c r="N47" s="46">
        <f t="shared" si="5"/>
        <v>44</v>
      </c>
      <c r="O47" s="50">
        <f t="shared" si="1"/>
        <v>12.884187108880795</v>
      </c>
      <c r="P47" s="50">
        <f t="shared" si="2"/>
        <v>45.902036658368893</v>
      </c>
      <c r="Q47" s="50">
        <f t="shared" si="3"/>
        <v>44.251767812912647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0.36395092496402526</v>
      </c>
      <c r="E48" s="46">
        <f>H48/$H$49</f>
        <v>1.0982005545503943</v>
      </c>
      <c r="F48" s="46">
        <f>G48/$H$49</f>
        <v>-0.71880447554552351</v>
      </c>
      <c r="G48" s="46">
        <f t="array" ref="G48:I48">LINEST($D37:$D39,$G37:$I39,FALSE)</f>
        <v>-13.525458576809092</v>
      </c>
      <c r="H48" s="46">
        <v>20.664404041623715</v>
      </c>
      <c r="I48" s="46">
        <v>6.8483201302501042</v>
      </c>
      <c r="J48" s="97">
        <f>H49</f>
        <v>18.816603175076494</v>
      </c>
      <c r="K48" s="53" t="str">
        <f t="shared" si="30"/>
        <v>0.3639509,1.098201,-0.7188045,</v>
      </c>
      <c r="M48" s="46">
        <f t="shared" si="0"/>
        <v>35.350338242838802</v>
      </c>
      <c r="N48" s="46">
        <f t="shared" si="5"/>
        <v>45</v>
      </c>
      <c r="O48" s="50">
        <f t="shared" si="1"/>
        <v>10.450156659958736</v>
      </c>
      <c r="P48" s="50">
        <f t="shared" si="2"/>
        <v>45.800494902797539</v>
      </c>
      <c r="Q48" s="50">
        <f t="shared" si="3"/>
        <v>43.896011188986037</v>
      </c>
    </row>
    <row r="49" spans="1:24">
      <c r="A49" s="4"/>
      <c r="B49" s="46" t="str">
        <f t="shared" si="31"/>
        <v>Y</v>
      </c>
      <c r="C49" s="79"/>
      <c r="D49" s="46">
        <f>I49/$H$49</f>
        <v>0.22573254943568841</v>
      </c>
      <c r="E49" s="46">
        <f>H49/$H$49</f>
        <v>1</v>
      </c>
      <c r="F49" s="46">
        <f>G49/$H$49</f>
        <v>-0.35503775907356261</v>
      </c>
      <c r="G49" s="46">
        <f t="array" ref="G49:I49">LINEST($E37:$E39,$G37:$I39,FALSE)</f>
        <v>-6.6806046246556416</v>
      </c>
      <c r="H49" s="46">
        <v>18.816603175076494</v>
      </c>
      <c r="I49" s="46">
        <v>4.2475198064296862</v>
      </c>
      <c r="J49" s="97"/>
      <c r="K49" s="53" t="str">
        <f t="shared" si="30"/>
        <v>0.2257326,1,-0.3550377,</v>
      </c>
      <c r="M49" s="46">
        <f t="shared" si="0"/>
        <v>37.6828269361895</v>
      </c>
      <c r="N49" s="46">
        <f t="shared" si="5"/>
        <v>46</v>
      </c>
      <c r="O49" s="50">
        <f t="shared" si="1"/>
        <v>8.0161262110366778</v>
      </c>
      <c r="P49" s="50">
        <f t="shared" si="2"/>
        <v>45.698953147226177</v>
      </c>
      <c r="Q49" s="50">
        <f t="shared" si="3"/>
        <v>43.540254565059413</v>
      </c>
    </row>
    <row r="50" spans="1:24">
      <c r="A50" s="4"/>
      <c r="B50" s="46" t="str">
        <f t="shared" si="31"/>
        <v>Z</v>
      </c>
      <c r="C50" s="79"/>
      <c r="D50" s="46">
        <f>I50/$H$49</f>
        <v>-0.35220340436752773</v>
      </c>
      <c r="E50" s="46">
        <f>H50/$H$49</f>
        <v>0.13205556146424269</v>
      </c>
      <c r="F50" s="46">
        <f>G50/$H$49</f>
        <v>1.1238340870925057</v>
      </c>
      <c r="G50" s="46">
        <f t="array" ref="G50:I50">LINEST($F$31:$F$33,$G37:$I39,FALSE)</f>
        <v>21.146740051444034</v>
      </c>
      <c r="H50" s="46">
        <v>2.4848370971345779</v>
      </c>
      <c r="I50" s="46">
        <v>-6.6272716968947725</v>
      </c>
      <c r="J50" s="97"/>
      <c r="K50" s="54" t="str">
        <f t="shared" si="30"/>
        <v>-0.3522034,0.1320556,1.123834,</v>
      </c>
      <c r="M50" s="46">
        <f t="shared" si="0"/>
        <v>40.015315629540197</v>
      </c>
      <c r="N50" s="46">
        <f t="shared" si="5"/>
        <v>47</v>
      </c>
      <c r="O50" s="50">
        <f t="shared" si="1"/>
        <v>5.5820957621146192</v>
      </c>
      <c r="P50" s="50">
        <f t="shared" si="2"/>
        <v>45.597411391654816</v>
      </c>
      <c r="Q50" s="50">
        <f t="shared" si="3"/>
        <v>43.184497941132804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0.38015223447323648</v>
      </c>
      <c r="E51" s="46">
        <f t="shared" ref="E51:F51" si="32">(E42+E45+E48)/3</f>
        <v>1.0524068047360098</v>
      </c>
      <c r="F51" s="46">
        <f t="shared" si="32"/>
        <v>-0.4708407412750481</v>
      </c>
      <c r="J51" s="97">
        <f>(J42+J45+J48)/3</f>
        <v>15.681499405186374</v>
      </c>
      <c r="M51" s="46">
        <f t="shared" si="0"/>
        <v>42.347804322890909</v>
      </c>
      <c r="N51" s="46">
        <f t="shared" si="5"/>
        <v>48</v>
      </c>
      <c r="O51" s="50">
        <f t="shared" si="1"/>
        <v>3.1480653131925465</v>
      </c>
      <c r="P51" s="50">
        <f t="shared" si="2"/>
        <v>45.495869636083455</v>
      </c>
      <c r="Q51" s="50">
        <f t="shared" si="3"/>
        <v>42.828741317206187</v>
      </c>
    </row>
    <row r="52" spans="1:24">
      <c r="B52" s="46" t="str">
        <f t="shared" si="31"/>
        <v>Y</v>
      </c>
      <c r="C52" s="79"/>
      <c r="D52" s="46">
        <f t="shared" ref="D52:F53" si="33">(D43+D46+D49)/3</f>
        <v>0.21264095288825113</v>
      </c>
      <c r="E52" s="46">
        <f t="shared" si="33"/>
        <v>1</v>
      </c>
      <c r="F52" s="46">
        <f t="shared" si="33"/>
        <v>-0.11138773418103043</v>
      </c>
      <c r="J52" s="97"/>
      <c r="M52" s="46">
        <f t="shared" si="0"/>
        <v>44.680293016241606</v>
      </c>
      <c r="N52" s="46">
        <f t="shared" si="5"/>
        <v>49</v>
      </c>
      <c r="O52" s="50">
        <f t="shared" si="1"/>
        <v>0.7140348642704879</v>
      </c>
      <c r="P52" s="50">
        <f t="shared" si="2"/>
        <v>45.394327880512094</v>
      </c>
      <c r="Q52" s="50">
        <f t="shared" si="3"/>
        <v>42.472984693279571</v>
      </c>
    </row>
    <row r="53" spans="1:24" ht="15.75" thickBot="1">
      <c r="B53" s="46" t="str">
        <f t="shared" si="31"/>
        <v>Z</v>
      </c>
      <c r="C53" s="79"/>
      <c r="D53" s="46">
        <f t="shared" si="33"/>
        <v>-0.45131871435643828</v>
      </c>
      <c r="E53" s="46">
        <f t="shared" si="33"/>
        <v>0.28635990424173041</v>
      </c>
      <c r="F53" s="46">
        <f t="shared" si="33"/>
        <v>1.2308456193495068</v>
      </c>
      <c r="J53" s="100"/>
      <c r="M53" s="46">
        <f t="shared" si="0"/>
        <v>47.012781709592304</v>
      </c>
      <c r="N53" s="46">
        <f t="shared" si="5"/>
        <v>50</v>
      </c>
      <c r="O53" s="50">
        <f t="shared" si="1"/>
        <v>-1.7199955846515707</v>
      </c>
      <c r="P53" s="50">
        <f t="shared" si="2"/>
        <v>45.292786124940733</v>
      </c>
      <c r="Q53" s="50">
        <f t="shared" si="3"/>
        <v>42.117228069352954</v>
      </c>
    </row>
    <row r="54" spans="1:24">
      <c r="B54" s="79" t="s">
        <v>14</v>
      </c>
      <c r="C54" s="79"/>
      <c r="D54" s="19">
        <f>I54/$H$55</f>
        <v>0.34496009181505821</v>
      </c>
      <c r="E54" s="20">
        <f>H54/$H$55</f>
        <v>1.0427352058443073</v>
      </c>
      <c r="F54" s="21">
        <f>G54/$H$55</f>
        <v>-0.33517765227219387</v>
      </c>
      <c r="G54" s="46">
        <f t="array" ref="G54:I54">LINEST(D$31:D$39,$G$31:$I$39,FALSE)</f>
        <v>-4.9323567799617472</v>
      </c>
      <c r="H54" s="46">
        <v>15.344525589296424</v>
      </c>
      <c r="I54" s="46">
        <v>5.0763117294541109</v>
      </c>
      <c r="J54" s="98">
        <f>H55</f>
        <v>14.71564928784762</v>
      </c>
      <c r="M54" s="46">
        <f t="shared" si="0"/>
        <v>49.345270402943001</v>
      </c>
      <c r="N54" s="46">
        <f t="shared" si="5"/>
        <v>51</v>
      </c>
      <c r="O54" s="50">
        <f t="shared" si="1"/>
        <v>-4.1540260335736292</v>
      </c>
      <c r="P54" s="50">
        <f t="shared" si="2"/>
        <v>45.191244369369372</v>
      </c>
      <c r="Q54" s="50">
        <f t="shared" si="3"/>
        <v>41.761471445426338</v>
      </c>
    </row>
    <row r="55" spans="1:24" ht="15" customHeight="1">
      <c r="B55" s="79"/>
      <c r="C55" s="79"/>
      <c r="D55" s="22">
        <f>I55/$H$55</f>
        <v>0.18587992526780378</v>
      </c>
      <c r="E55" s="18">
        <f>H55/$H$55</f>
        <v>1</v>
      </c>
      <c r="F55" s="23">
        <f>G55/$H$55</f>
        <v>6.8932631255803835E-4</v>
      </c>
      <c r="G55" s="46">
        <f t="array" ref="G55:I55">LINEST(E$31:E$39,$G$31:$I$39,FALSE)</f>
        <v>1.0143884260489323E-2</v>
      </c>
      <c r="H55" s="46">
        <v>14.71564928784762</v>
      </c>
      <c r="I55" s="46">
        <v>2.7353437898923256</v>
      </c>
      <c r="J55" s="98"/>
      <c r="M55" s="46">
        <f t="shared" si="0"/>
        <v>51.677759096293698</v>
      </c>
      <c r="N55" s="46">
        <f t="shared" si="5"/>
        <v>52</v>
      </c>
      <c r="O55" s="50">
        <f t="shared" si="1"/>
        <v>-6.5880564824956878</v>
      </c>
      <c r="P55" s="50">
        <f t="shared" si="2"/>
        <v>45.089702613798011</v>
      </c>
      <c r="Q55" s="50">
        <f t="shared" si="3"/>
        <v>41.405714821499728</v>
      </c>
    </row>
    <row r="56" spans="1:24" ht="15" customHeight="1" thickBot="1">
      <c r="B56" s="79"/>
      <c r="C56" s="79"/>
      <c r="D56" s="24">
        <f>I56/$H$55</f>
        <v>-0.4356170760989736</v>
      </c>
      <c r="E56" s="25">
        <f>H56/$H$55</f>
        <v>0.31909856755442434</v>
      </c>
      <c r="F56" s="26">
        <f>G56/$H$55</f>
        <v>1.2078336977594468</v>
      </c>
      <c r="G56" s="46">
        <f t="array" ref="G56:I56">LINEST(F$31:F$39,$G$31:$I$39,FALSE)</f>
        <v>17.774057094272163</v>
      </c>
      <c r="H56" s="46">
        <v>4.6957426083854603</v>
      </c>
      <c r="I56" s="46">
        <v>-6.4103881156701235</v>
      </c>
      <c r="J56" s="98"/>
      <c r="M56" s="46">
        <f t="shared" si="0"/>
        <v>54.01024778964441</v>
      </c>
      <c r="N56" s="46">
        <f t="shared" si="5"/>
        <v>53</v>
      </c>
      <c r="O56" s="50">
        <f t="shared" si="1"/>
        <v>-9.0220869314177605</v>
      </c>
      <c r="P56" s="50">
        <f t="shared" si="2"/>
        <v>44.988160858226649</v>
      </c>
      <c r="Q56" s="50">
        <f t="shared" si="3"/>
        <v>41.049958197573105</v>
      </c>
    </row>
    <row r="57" spans="1:24">
      <c r="M57" s="46">
        <f t="shared" si="0"/>
        <v>56.342736482995093</v>
      </c>
      <c r="N57" s="46">
        <f t="shared" si="5"/>
        <v>54</v>
      </c>
      <c r="O57" s="50">
        <f t="shared" si="1"/>
        <v>-11.456117380339805</v>
      </c>
      <c r="P57" s="50">
        <f t="shared" si="2"/>
        <v>44.886619102655288</v>
      </c>
      <c r="Q57" s="50">
        <f t="shared" si="3"/>
        <v>40.694201573646495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58.675225176345805</v>
      </c>
      <c r="N58" s="46">
        <f t="shared" si="5"/>
        <v>55</v>
      </c>
      <c r="O58" s="50">
        <f t="shared" si="1"/>
        <v>-13.890147829261878</v>
      </c>
      <c r="P58" s="50">
        <f t="shared" si="2"/>
        <v>44.785077347083927</v>
      </c>
      <c r="Q58" s="50">
        <f t="shared" si="3"/>
        <v>40.338444949719879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61.007713869696488</v>
      </c>
      <c r="N59" s="46">
        <f t="shared" si="5"/>
        <v>56</v>
      </c>
      <c r="O59" s="50">
        <f t="shared" si="1"/>
        <v>-16.324178278183922</v>
      </c>
      <c r="P59" s="50">
        <f t="shared" si="2"/>
        <v>44.683535591512566</v>
      </c>
      <c r="Q59" s="50">
        <f t="shared" si="3"/>
        <v>39.982688325793262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515.79999999999995</v>
      </c>
      <c r="E60" s="32">
        <f t="shared" ref="E60:E68" si="37">getCCTfromXY(D22/SUM(D22:F22),E22/SUM(D22:F22))</f>
        <v>2861</v>
      </c>
      <c r="F60" s="31">
        <f t="shared" ref="F60:F68" si="38">V60</f>
        <v>509.13643453815274</v>
      </c>
      <c r="G60" s="32">
        <f t="shared" ref="G60:G68" si="39">getCCTfromXY(U60/X60,V60/X60)</f>
        <v>3004</v>
      </c>
      <c r="H60" s="33">
        <f>F60/D60-1</f>
        <v>-1.2918893877175708E-2</v>
      </c>
      <c r="I60" s="34">
        <f t="shared" ref="I60:I68" si="40">G60/E60-1</f>
        <v>4.9982523593149253E-2</v>
      </c>
      <c r="M60" s="46">
        <f t="shared" si="0"/>
        <v>63.3402025630472</v>
      </c>
      <c r="N60" s="46">
        <f t="shared" si="5"/>
        <v>57</v>
      </c>
      <c r="O60" s="50">
        <f t="shared" si="1"/>
        <v>-18.758208727105995</v>
      </c>
      <c r="P60" s="50">
        <f t="shared" si="2"/>
        <v>44.581993835941205</v>
      </c>
      <c r="Q60" s="50">
        <f t="shared" si="3"/>
        <v>39.626931701866653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543.20699973130934</v>
      </c>
      <c r="V60" s="50">
        <f>$J$54*$J$31*($D$55*G22+$E$55*H22+$F$55*I22)</f>
        <v>509.13643453815274</v>
      </c>
      <c r="W60" s="50">
        <f>$J$54*$J$31*($D$56*G22+$E$56*H22+$F$56*I22)</f>
        <v>176.00244588792305</v>
      </c>
      <c r="X60" s="29">
        <f>SUM(U60:W60)</f>
        <v>1228.3458801573852</v>
      </c>
    </row>
    <row r="61" spans="1:24">
      <c r="A61" s="87"/>
      <c r="B61" s="48" t="str">
        <f t="shared" si="35"/>
        <v>CWF</v>
      </c>
      <c r="C61" s="93"/>
      <c r="D61" s="31">
        <f t="shared" si="36"/>
        <v>1210.5</v>
      </c>
      <c r="E61" s="32">
        <f t="shared" si="37"/>
        <v>3854</v>
      </c>
      <c r="F61" s="31">
        <f t="shared" si="38"/>
        <v>1247.3140948368134</v>
      </c>
      <c r="G61" s="32">
        <f t="shared" si="39"/>
        <v>3754</v>
      </c>
      <c r="H61" s="33">
        <f t="shared" ref="H61:H68" si="41">F61/D61-1</f>
        <v>3.0412304697904569E-2</v>
      </c>
      <c r="I61" s="34">
        <f t="shared" si="40"/>
        <v>-2.5947067981318073E-2</v>
      </c>
      <c r="M61" s="46">
        <f t="shared" si="0"/>
        <v>65.672691256397911</v>
      </c>
      <c r="N61" s="46">
        <f t="shared" si="5"/>
        <v>58</v>
      </c>
      <c r="O61" s="50">
        <f t="shared" si="1"/>
        <v>-21.192239176028068</v>
      </c>
      <c r="P61" s="50">
        <f t="shared" si="2"/>
        <v>44.480452080369844</v>
      </c>
      <c r="Q61" s="50">
        <f t="shared" si="3"/>
        <v>39.271175077940029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1245.6864047332638</v>
      </c>
      <c r="V61" s="50">
        <f>$J$54*$J$31*($D$55*G23+$E$55*H23+$F$55*I23)</f>
        <v>1247.3140948368134</v>
      </c>
      <c r="W61" s="50">
        <f>$J$54*$J$31*($D$56*G23+$E$56*H23+$F$56*I23)</f>
        <v>641.26542863532597</v>
      </c>
      <c r="X61" s="29">
        <f t="shared" ref="X61:X68" si="43">SUM(U61:W61)</f>
        <v>3134.2659282054033</v>
      </c>
    </row>
    <row r="62" spans="1:24">
      <c r="A62" s="87"/>
      <c r="B62" s="48" t="str">
        <f t="shared" si="35"/>
        <v>D65</v>
      </c>
      <c r="C62" s="93"/>
      <c r="D62" s="31">
        <f t="shared" si="36"/>
        <v>578.54999999999995</v>
      </c>
      <c r="E62" s="32">
        <f t="shared" si="37"/>
        <v>6314</v>
      </c>
      <c r="F62" s="31">
        <f t="shared" si="38"/>
        <v>585.71308214874807</v>
      </c>
      <c r="G62" s="32">
        <f t="shared" si="39"/>
        <v>6043</v>
      </c>
      <c r="H62" s="33">
        <f t="shared" si="41"/>
        <v>1.2381094371701762E-2</v>
      </c>
      <c r="I62" s="34">
        <f t="shared" si="40"/>
        <v>-4.2920494140006316E-2</v>
      </c>
      <c r="M62" s="46">
        <f t="shared" si="0"/>
        <v>68.005179949748594</v>
      </c>
      <c r="N62" s="46">
        <f t="shared" si="5"/>
        <v>59</v>
      </c>
      <c r="O62" s="50">
        <f t="shared" si="1"/>
        <v>-23.626269624950112</v>
      </c>
      <c r="P62" s="50">
        <f t="shared" si="2"/>
        <v>44.378910324798483</v>
      </c>
      <c r="Q62" s="50">
        <f t="shared" si="3"/>
        <v>38.91541845401342</v>
      </c>
      <c r="R62" s="78"/>
      <c r="S62" s="46" t="str">
        <f t="shared" si="42"/>
        <v>D65</v>
      </c>
      <c r="T62" s="79"/>
      <c r="U62" s="50">
        <f>$J$54*$J$31*($D$54*G24+$E$54*H24+$F$54*I24)</f>
        <v>523.54364849202182</v>
      </c>
      <c r="V62" s="50">
        <f>$J$54*$J$31*($D$55*G24+$E$55*H24+$F$55*I24)</f>
        <v>585.71308214874807</v>
      </c>
      <c r="W62" s="50">
        <f>$J$54*$J$31*($D$56*G24+$E$56*H24+$F$56*I24)</f>
        <v>519.50293697173788</v>
      </c>
      <c r="X62" s="29">
        <f t="shared" si="43"/>
        <v>1628.7596676125079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515.79999999999995</v>
      </c>
      <c r="E63" s="32">
        <f t="shared" si="37"/>
        <v>2861</v>
      </c>
      <c r="F63" s="31">
        <f t="shared" si="38"/>
        <v>510.30069047285781</v>
      </c>
      <c r="G63" s="32">
        <f t="shared" si="39"/>
        <v>3142</v>
      </c>
      <c r="H63" s="33">
        <f t="shared" si="41"/>
        <v>-1.0661709048356283E-2</v>
      </c>
      <c r="I63" s="34">
        <f t="shared" si="40"/>
        <v>9.8217406501223348E-2</v>
      </c>
      <c r="M63" s="46">
        <f t="shared" si="0"/>
        <v>70.337668643099306</v>
      </c>
      <c r="N63" s="46">
        <f t="shared" si="5"/>
        <v>60</v>
      </c>
      <c r="O63" s="50">
        <f t="shared" si="1"/>
        <v>-26.060300073872185</v>
      </c>
      <c r="P63" s="50">
        <f t="shared" si="2"/>
        <v>44.277368569227121</v>
      </c>
      <c r="Q63" s="50">
        <f t="shared" si="3"/>
        <v>38.559661830086803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538.14869987880252</v>
      </c>
      <c r="V63" s="50">
        <f>$J$54*$J$34*($D$55*G25+$E$55*H25+$F$55*I25)</f>
        <v>510.30069047285781</v>
      </c>
      <c r="W63" s="50">
        <f>$J$54*$J$34*($D$56*G25+$E$56*H25+$F$56*I25)</f>
        <v>197.78562823830543</v>
      </c>
      <c r="X63" s="29">
        <f t="shared" si="43"/>
        <v>1246.2350185899659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1210.5</v>
      </c>
      <c r="E64" s="32">
        <f t="shared" si="37"/>
        <v>3854</v>
      </c>
      <c r="F64" s="31">
        <f t="shared" si="38"/>
        <v>1229.5633812508815</v>
      </c>
      <c r="G64" s="32">
        <f t="shared" si="39"/>
        <v>3825</v>
      </c>
      <c r="H64" s="33">
        <f t="shared" si="41"/>
        <v>1.5748352954053413E-2</v>
      </c>
      <c r="I64" s="34">
        <f t="shared" si="40"/>
        <v>-7.5246497145822211E-3</v>
      </c>
      <c r="M64" s="46">
        <f t="shared" si="0"/>
        <v>72.670157336449989</v>
      </c>
      <c r="N64" s="46">
        <f t="shared" si="5"/>
        <v>61</v>
      </c>
      <c r="O64" s="50">
        <f t="shared" si="1"/>
        <v>-28.494330522794229</v>
      </c>
      <c r="P64" s="50">
        <f t="shared" si="2"/>
        <v>44.17582681365576</v>
      </c>
      <c r="Q64" s="50">
        <f t="shared" si="3"/>
        <v>38.203905206160186</v>
      </c>
      <c r="R64" s="78"/>
      <c r="S64" s="46" t="str">
        <f t="shared" si="42"/>
        <v>CWF</v>
      </c>
      <c r="T64" s="79"/>
      <c r="U64" s="50">
        <f>$J$54*$J$34*($D$54*G26+$E$54*H26+$F$54*I26)</f>
        <v>1222.5270506117647</v>
      </c>
      <c r="V64" s="50">
        <f>$J$54*$J$34*($D$55*G26+$E$55*H26+$F$55*I26)</f>
        <v>1229.5633812508815</v>
      </c>
      <c r="W64" s="50">
        <f>$J$54*$J$34*($D$56*G26+$E$56*H26+$F$56*I26)</f>
        <v>651.90617256185305</v>
      </c>
      <c r="X64" s="29">
        <f t="shared" si="43"/>
        <v>3103.9966044244993</v>
      </c>
    </row>
    <row r="65" spans="1:24">
      <c r="A65" s="87"/>
      <c r="B65" s="48" t="str">
        <f t="shared" si="35"/>
        <v>D65</v>
      </c>
      <c r="C65" s="93"/>
      <c r="D65" s="31">
        <f t="shared" si="36"/>
        <v>578.54999999999995</v>
      </c>
      <c r="E65" s="32">
        <f t="shared" si="37"/>
        <v>6314</v>
      </c>
      <c r="F65" s="31">
        <f t="shared" si="38"/>
        <v>597.09314357666517</v>
      </c>
      <c r="G65" s="32">
        <f t="shared" si="39"/>
        <v>6022</v>
      </c>
      <c r="H65" s="33">
        <f t="shared" si="41"/>
        <v>3.2051064863305223E-2</v>
      </c>
      <c r="I65" s="34">
        <f t="shared" si="40"/>
        <v>-4.6246436490338882E-2</v>
      </c>
      <c r="M65" s="46">
        <f t="shared" si="0"/>
        <v>75.002646029800701</v>
      </c>
      <c r="N65" s="46">
        <f t="shared" si="5"/>
        <v>62</v>
      </c>
      <c r="O65" s="50">
        <f t="shared" si="1"/>
        <v>-30.928360971716302</v>
      </c>
      <c r="P65" s="50">
        <f t="shared" si="2"/>
        <v>44.074285058084399</v>
      </c>
      <c r="Q65" s="50">
        <f t="shared" si="3"/>
        <v>37.84814858223357</v>
      </c>
      <c r="R65" s="78"/>
      <c r="S65" s="46" t="str">
        <f t="shared" si="42"/>
        <v>D65</v>
      </c>
      <c r="T65" s="79"/>
      <c r="U65" s="50">
        <f>$J$54*$J$34*($D$54*G27+$E$54*H27+$F$54*I27)</f>
        <v>534.13770645378327</v>
      </c>
      <c r="V65" s="50">
        <f>$J$54*$J$34*($D$55*G27+$E$55*H27+$F$55*I27)</f>
        <v>597.09314357666517</v>
      </c>
      <c r="W65" s="50">
        <f>$J$54*$J$34*($D$56*G27+$E$56*H27+$F$56*I27)</f>
        <v>528.06909773613961</v>
      </c>
      <c r="X65" s="29">
        <f t="shared" si="43"/>
        <v>1659.299947766588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515.79999999999995</v>
      </c>
      <c r="E66" s="32">
        <f t="shared" si="37"/>
        <v>2861</v>
      </c>
      <c r="F66" s="31">
        <f t="shared" si="38"/>
        <v>528.77182512372872</v>
      </c>
      <c r="G66" s="32">
        <f t="shared" si="39"/>
        <v>2568</v>
      </c>
      <c r="H66" s="33">
        <f t="shared" si="41"/>
        <v>2.5148943628787723E-2</v>
      </c>
      <c r="I66" s="34">
        <f t="shared" si="40"/>
        <v>-0.10241174414540366</v>
      </c>
      <c r="M66" s="46">
        <f t="shared" si="0"/>
        <v>77.335134723151384</v>
      </c>
      <c r="N66" s="46">
        <f t="shared" si="5"/>
        <v>63</v>
      </c>
      <c r="O66" s="50">
        <f t="shared" si="1"/>
        <v>-33.362391420638346</v>
      </c>
      <c r="P66" s="50">
        <f t="shared" si="2"/>
        <v>43.972743302513038</v>
      </c>
      <c r="Q66" s="50">
        <f t="shared" si="3"/>
        <v>37.492391958306953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589.1904381231891</v>
      </c>
      <c r="V66" s="50">
        <f>$J$54*$J$37*($D$55*G28+$E$55*H28+$F$55*I28)</f>
        <v>528.77182512372872</v>
      </c>
      <c r="W66" s="50">
        <f>$J$54*$J$37*($D$56*G28+$E$56*H28+$F$56*I28)</f>
        <v>99.415585744650244</v>
      </c>
      <c r="X66" s="29">
        <f t="shared" si="43"/>
        <v>1217.377848991568</v>
      </c>
    </row>
    <row r="67" spans="1:24">
      <c r="A67" s="87"/>
      <c r="B67" s="48" t="str">
        <f t="shared" si="35"/>
        <v>CWF</v>
      </c>
      <c r="C67" s="93"/>
      <c r="D67" s="31">
        <f t="shared" si="36"/>
        <v>1210.5</v>
      </c>
      <c r="E67" s="32">
        <f t="shared" si="37"/>
        <v>3854</v>
      </c>
      <c r="F67" s="31">
        <f t="shared" si="38"/>
        <v>1129.2082655343688</v>
      </c>
      <c r="G67" s="32">
        <f t="shared" si="39"/>
        <v>4116</v>
      </c>
      <c r="H67" s="33">
        <f t="shared" si="41"/>
        <v>-6.7155501417291319E-2</v>
      </c>
      <c r="I67" s="34">
        <f t="shared" si="40"/>
        <v>6.7981318111053346E-2</v>
      </c>
      <c r="R67" s="78"/>
      <c r="S67" s="46" t="str">
        <f t="shared" si="42"/>
        <v>CWF</v>
      </c>
      <c r="T67" s="79"/>
      <c r="U67" s="50">
        <f>$J$54*$J$37*($D$54*G29+$E$54*H29+$F$54*I29)</f>
        <v>1103.6523209273764</v>
      </c>
      <c r="V67" s="50">
        <f>$J$54*$J$37*($D$55*G29+$E$55*H29+$F$55*I29)</f>
        <v>1129.2082655343688</v>
      </c>
      <c r="W67" s="50">
        <f>$J$54*$J$37*($D$56*G29+$E$56*H29+$F$56*I29)</f>
        <v>667.74926580790213</v>
      </c>
      <c r="X67" s="29">
        <f t="shared" si="43"/>
        <v>2900.6098522696475</v>
      </c>
    </row>
    <row r="68" spans="1:24">
      <c r="A68" s="87"/>
      <c r="B68" s="48" t="str">
        <f t="shared" si="35"/>
        <v>D65</v>
      </c>
      <c r="C68" s="93"/>
      <c r="D68" s="31">
        <f t="shared" si="36"/>
        <v>578.54999999999995</v>
      </c>
      <c r="E68" s="32">
        <f t="shared" si="37"/>
        <v>6314</v>
      </c>
      <c r="F68" s="31">
        <f t="shared" si="38"/>
        <v>589.59030791186444</v>
      </c>
      <c r="G68" s="32">
        <f t="shared" si="39"/>
        <v>5962</v>
      </c>
      <c r="H68" s="33">
        <f t="shared" si="41"/>
        <v>1.9082720442251233E-2</v>
      </c>
      <c r="I68" s="34">
        <f t="shared" si="40"/>
        <v>-5.5749128919860613E-2</v>
      </c>
      <c r="R68" s="78"/>
      <c r="S68" s="46" t="str">
        <f t="shared" si="42"/>
        <v>D65</v>
      </c>
      <c r="T68" s="79"/>
      <c r="U68" s="50">
        <f>$J$54*$J$37*($D$54*G30+$E$54*H30+$F$54*I30)</f>
        <v>528.51630307686571</v>
      </c>
      <c r="V68" s="50">
        <f>$J$54*$J$37*($D$55*G30+$E$55*H30+$F$55*I30)</f>
        <v>589.59030791186444</v>
      </c>
      <c r="W68" s="50">
        <f>$J$54*$J$37*($D$56*G30+$E$56*H30+$F$56*I30)</f>
        <v>516.73713661083207</v>
      </c>
      <c r="X68" s="29">
        <f t="shared" si="43"/>
        <v>1634.8437475995622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6.7155501417291319E-2</v>
      </c>
      <c r="G69" s="47"/>
      <c r="H69" s="36" t="str">
        <f>I59</f>
        <v>CCT</v>
      </c>
      <c r="I69" s="38">
        <f>MAX(MAX(I60:I68,-MIN(I60:I68)))</f>
        <v>0.10241174414540366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515.79999999999995</v>
      </c>
      <c r="E72" s="31">
        <f t="shared" ref="E72:E80" si="47">E60</f>
        <v>2861</v>
      </c>
      <c r="F72" s="31">
        <f t="shared" ref="F72:F80" si="48">V72</f>
        <v>516.83083100545696</v>
      </c>
      <c r="G72" s="32">
        <f t="shared" ref="G72:G80" si="49">getCCTfromXY(U72/X72,V72/X72)</f>
        <v>2949</v>
      </c>
      <c r="H72" s="33">
        <f>F72/D72-1</f>
        <v>1.9985091226386587E-3</v>
      </c>
      <c r="I72" s="34">
        <f t="shared" ref="I72:I80" si="50">G72/E72-1</f>
        <v>3.0758476057322515E-2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554.24211180859743</v>
      </c>
      <c r="V72" s="50">
        <f>$J$51*$J$31*($D$52*G22+$E$52*H22+$F$52*I22)</f>
        <v>516.83083100545696</v>
      </c>
      <c r="W72" s="50">
        <f>$J$51*$J$31*($D$53*G22+$E$53*H22+$F$53*I22)</f>
        <v>169.84352022448883</v>
      </c>
      <c r="X72" s="29">
        <f>SUM(U72:W72)</f>
        <v>1240.9164630385433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1210.5</v>
      </c>
      <c r="E73" s="31">
        <f t="shared" si="47"/>
        <v>3854</v>
      </c>
      <c r="F73" s="31">
        <f t="shared" si="48"/>
        <v>1285.8208494796836</v>
      </c>
      <c r="G73" s="32">
        <f t="shared" si="49"/>
        <v>3698</v>
      </c>
      <c r="H73" s="33">
        <f t="shared" ref="H73:H80" si="52">F73/D73-1</f>
        <v>6.2222923981564371E-2</v>
      </c>
      <c r="I73" s="34">
        <f t="shared" si="50"/>
        <v>-4.0477426050856247E-2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1288.8210242041735</v>
      </c>
      <c r="V73" s="50">
        <f t="shared" ref="V73:V74" si="55">$J$51*$J$31*($D$52*G23+$E$52*H23+$F$52*I23)</f>
        <v>1285.8208494796836</v>
      </c>
      <c r="W73" s="50">
        <f t="shared" ref="W73:W74" si="56">$J$51*$J$31*($D$53*G23+$E$53*H23+$F$53*I23)</f>
        <v>644.6062916643732</v>
      </c>
      <c r="X73" s="29">
        <f t="shared" ref="X73:X80" si="57">SUM(U73:W73)</f>
        <v>3219.24816534823</v>
      </c>
    </row>
    <row r="74" spans="1:24">
      <c r="A74" s="87"/>
      <c r="B74" s="48" t="str">
        <f t="shared" si="46"/>
        <v>X</v>
      </c>
      <c r="C74" s="93"/>
      <c r="D74" s="31">
        <f t="shared" si="51"/>
        <v>578.54999999999995</v>
      </c>
      <c r="E74" s="31">
        <f t="shared" si="47"/>
        <v>6314</v>
      </c>
      <c r="F74" s="31">
        <f t="shared" si="48"/>
        <v>583.20377325063862</v>
      </c>
      <c r="G74" s="32">
        <f t="shared" si="49"/>
        <v>6376</v>
      </c>
      <c r="H74" s="33">
        <f t="shared" si="52"/>
        <v>8.0438566254232846E-3</v>
      </c>
      <c r="I74" s="34">
        <f t="shared" si="50"/>
        <v>9.8194488438390071E-3</v>
      </c>
      <c r="R74" s="78"/>
      <c r="S74" s="46" t="str">
        <f t="shared" si="53"/>
        <v>D65</v>
      </c>
      <c r="T74" s="79"/>
      <c r="U74" s="50">
        <f t="shared" si="54"/>
        <v>514.79017170347345</v>
      </c>
      <c r="V74" s="50">
        <f t="shared" si="55"/>
        <v>583.20377325063862</v>
      </c>
      <c r="W74" s="50">
        <f t="shared" si="56"/>
        <v>539.85283558494166</v>
      </c>
      <c r="X74" s="29">
        <f t="shared" si="57"/>
        <v>1637.8467805390537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515.79999999999995</v>
      </c>
      <c r="E75" s="31">
        <f t="shared" si="47"/>
        <v>2861</v>
      </c>
      <c r="F75" s="31">
        <f t="shared" si="48"/>
        <v>516.4341502967219</v>
      </c>
      <c r="G75" s="32">
        <f t="shared" si="49"/>
        <v>3095</v>
      </c>
      <c r="H75" s="33">
        <f t="shared" si="52"/>
        <v>1.229449974257335E-3</v>
      </c>
      <c r="I75" s="34">
        <f t="shared" si="50"/>
        <v>8.178958406151704E-2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546.85674212748609</v>
      </c>
      <c r="V75" s="50">
        <f>$J$51*$J$34*($D$52*G25+$E$52*H25+$F$52*I25)</f>
        <v>516.4341502967219</v>
      </c>
      <c r="W75" s="50">
        <f>$J$51*$J$34*($D$53*G25+$E$53*H25+$F$53*I25)</f>
        <v>193.45542761277912</v>
      </c>
      <c r="X75" s="29">
        <f t="shared" si="57"/>
        <v>1256.7463200369871</v>
      </c>
    </row>
    <row r="76" spans="1:24">
      <c r="A76" s="87"/>
      <c r="B76" s="48" t="str">
        <f t="shared" si="46"/>
        <v>Z</v>
      </c>
      <c r="C76" s="93"/>
      <c r="D76" s="31">
        <f t="shared" si="51"/>
        <v>1210.5</v>
      </c>
      <c r="E76" s="31">
        <f t="shared" si="47"/>
        <v>3854</v>
      </c>
      <c r="F76" s="31">
        <f t="shared" si="48"/>
        <v>1265.4666967809217</v>
      </c>
      <c r="G76" s="32">
        <f t="shared" si="49"/>
        <v>3775</v>
      </c>
      <c r="H76" s="33">
        <f t="shared" si="52"/>
        <v>4.5408258389856737E-2</v>
      </c>
      <c r="I76" s="34">
        <f t="shared" si="50"/>
        <v>-2.0498183705241257E-2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1262.2084221618009</v>
      </c>
      <c r="V76" s="50">
        <f t="shared" ref="V76:V77" si="59">$J$51*$J$34*($D$52*G26+$E$52*H26+$F$52*I26)</f>
        <v>1265.4666967809217</v>
      </c>
      <c r="W76" s="50">
        <f t="shared" ref="W76:W77" si="60">$J$51*$J$34*($D$53*G26+$E$53*H26+$F$53*I26)</f>
        <v>656.89772537063698</v>
      </c>
      <c r="X76" s="29">
        <f t="shared" si="57"/>
        <v>3184.5728443133594</v>
      </c>
    </row>
    <row r="77" spans="1:24">
      <c r="A77" s="87"/>
      <c r="B77" s="48" t="str">
        <f t="shared" si="46"/>
        <v>X</v>
      </c>
      <c r="C77" s="93"/>
      <c r="D77" s="31">
        <f t="shared" si="51"/>
        <v>578.54999999999995</v>
      </c>
      <c r="E77" s="31">
        <f t="shared" si="47"/>
        <v>6314</v>
      </c>
      <c r="F77" s="31">
        <f t="shared" si="48"/>
        <v>594.69062745770918</v>
      </c>
      <c r="G77" s="32">
        <f t="shared" si="49"/>
        <v>6350</v>
      </c>
      <c r="H77" s="33">
        <f t="shared" si="52"/>
        <v>2.7898414065697485E-2</v>
      </c>
      <c r="I77" s="34">
        <f t="shared" si="50"/>
        <v>5.7016154577129718E-3</v>
      </c>
      <c r="R77" s="78"/>
      <c r="S77" s="46" t="str">
        <f t="shared" si="53"/>
        <v>D65</v>
      </c>
      <c r="T77" s="79"/>
      <c r="U77" s="50">
        <f t="shared" si="58"/>
        <v>525.4299034867405</v>
      </c>
      <c r="V77" s="50">
        <f t="shared" si="59"/>
        <v>594.69062745770918</v>
      </c>
      <c r="W77" s="50">
        <f t="shared" si="60"/>
        <v>548.6831212926387</v>
      </c>
      <c r="X77" s="29">
        <f t="shared" si="57"/>
        <v>1668.8036522370885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515.79999999999995</v>
      </c>
      <c r="E78" s="31">
        <f t="shared" si="47"/>
        <v>2861</v>
      </c>
      <c r="F78" s="31">
        <f t="shared" si="48"/>
        <v>542.21287157333529</v>
      </c>
      <c r="G78" s="32">
        <f t="shared" si="49"/>
        <v>2499</v>
      </c>
      <c r="H78" s="33">
        <f t="shared" si="52"/>
        <v>5.1207583507823395E-2</v>
      </c>
      <c r="I78" s="34">
        <f t="shared" si="50"/>
        <v>-0.12652918559944071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609.03718955572526</v>
      </c>
      <c r="V78" s="50">
        <f>$J$51*$J$37*($D$52*G28+$E$52*H28+$F$52*I28)</f>
        <v>542.21287157333529</v>
      </c>
      <c r="W78" s="50">
        <f>$J$51*$J$37*($D$53*G28+$E$53*H28+$F$53*I28)</f>
        <v>85.826593882169831</v>
      </c>
      <c r="X78" s="29">
        <f t="shared" si="57"/>
        <v>1237.0766550112305</v>
      </c>
    </row>
    <row r="79" spans="1:24">
      <c r="A79" s="87"/>
      <c r="B79" s="48" t="str">
        <f t="shared" si="46"/>
        <v>Z</v>
      </c>
      <c r="C79" s="93"/>
      <c r="D79" s="31">
        <f t="shared" si="51"/>
        <v>1210.5</v>
      </c>
      <c r="E79" s="31">
        <f t="shared" si="47"/>
        <v>3854</v>
      </c>
      <c r="F79" s="31">
        <f t="shared" si="48"/>
        <v>1155.1815201189986</v>
      </c>
      <c r="G79" s="32">
        <f t="shared" si="49"/>
        <v>4095</v>
      </c>
      <c r="H79" s="33">
        <f t="shared" si="52"/>
        <v>-4.5698868137960647E-2</v>
      </c>
      <c r="I79" s="34">
        <f t="shared" si="50"/>
        <v>6.2532433834976642E-2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1130.3774914900987</v>
      </c>
      <c r="V79" s="50">
        <f t="shared" ref="V79:V80" si="62">$J$51*$J$37*($D$52*G29+$E$52*H29+$F$52*I29)</f>
        <v>1155.1815201189986</v>
      </c>
      <c r="W79" s="50">
        <f t="shared" ref="W79:W80" si="63">$J$51*$J$37*($D$53*G29+$E$53*H29+$F$53*I29)</f>
        <v>678.26748745564748</v>
      </c>
      <c r="X79" s="29">
        <f t="shared" si="57"/>
        <v>2963.8264990647444</v>
      </c>
    </row>
    <row r="80" spans="1:24">
      <c r="A80" s="87"/>
      <c r="B80" s="48" t="str">
        <f t="shared" si="46"/>
        <v>X</v>
      </c>
      <c r="C80" s="93"/>
      <c r="D80" s="31">
        <f t="shared" si="51"/>
        <v>578.54999999999995</v>
      </c>
      <c r="E80" s="31">
        <f t="shared" si="47"/>
        <v>6314</v>
      </c>
      <c r="F80" s="31">
        <f t="shared" si="48"/>
        <v>588.00997129841755</v>
      </c>
      <c r="G80" s="32">
        <f t="shared" si="49"/>
        <v>6268</v>
      </c>
      <c r="H80" s="33">
        <f t="shared" si="52"/>
        <v>1.6351173275287456E-2</v>
      </c>
      <c r="I80" s="34">
        <f t="shared" si="50"/>
        <v>-7.2853975293000195E-3</v>
      </c>
      <c r="R80" s="78"/>
      <c r="S80" s="46" t="str">
        <f t="shared" si="53"/>
        <v>D65</v>
      </c>
      <c r="T80" s="79"/>
      <c r="U80" s="50">
        <f t="shared" si="61"/>
        <v>520.93110875305774</v>
      </c>
      <c r="V80" s="50">
        <f t="shared" si="62"/>
        <v>588.00997129841755</v>
      </c>
      <c r="W80" s="50">
        <f t="shared" si="63"/>
        <v>536.69142362496984</v>
      </c>
      <c r="X80" s="29">
        <f t="shared" si="57"/>
        <v>1645.6325036764451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6.2222923981564371E-2</v>
      </c>
      <c r="G81" s="47"/>
      <c r="H81" s="36" t="str">
        <f>I71</f>
        <v>CCT</v>
      </c>
      <c r="I81" s="38">
        <f>MAX(MAX(I72:I80,-MIN(I72:I80)))</f>
        <v>0.12652918559944071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515.79999999999995</v>
      </c>
      <c r="E84" s="31">
        <f t="shared" ref="E84:E92" si="67">E72</f>
        <v>2861</v>
      </c>
      <c r="F84" s="31">
        <f t="shared" ref="F84:F92" si="68">V84</f>
        <v>515.80000000000052</v>
      </c>
      <c r="G84" s="32">
        <f t="shared" ref="G84:G92" si="69">getCCTfromXY(U84/X84,V84/X84)</f>
        <v>2861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557.6</v>
      </c>
      <c r="V84" s="50">
        <f>$J$42*$J$31*($D$43*G22+$E$43*H22+$F$43*I22)</f>
        <v>515.80000000000052</v>
      </c>
      <c r="W84" s="50">
        <f>$J$42*$J$31*($D$44*G22+$E$44*H22+$F$44*I22)</f>
        <v>154.29999999999987</v>
      </c>
      <c r="X84" s="29">
        <f>SUM(U84:W84)</f>
        <v>1227.7000000000005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1210.5</v>
      </c>
      <c r="E85" s="31">
        <f t="shared" si="67"/>
        <v>3854</v>
      </c>
      <c r="F85" s="31">
        <f t="shared" si="68"/>
        <v>1210.5</v>
      </c>
      <c r="G85" s="32">
        <f t="shared" si="69"/>
        <v>3854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1201.5000000000005</v>
      </c>
      <c r="V85" s="50">
        <f t="shared" ref="V85:V86" si="75">$J$42*$J$31*($D$43*G23+$E$43*H23+$F$43*I23)</f>
        <v>1210.5</v>
      </c>
      <c r="W85" s="50">
        <f t="shared" ref="W85:W86" si="76">$J$42*$J$31*($D$44*G23+$E$44*H23+$F$44*I23)</f>
        <v>649.50000000000011</v>
      </c>
      <c r="X85" s="29">
        <f t="shared" ref="X85:X92" si="77">SUM(U85:W85)</f>
        <v>3061.5000000000005</v>
      </c>
    </row>
    <row r="86" spans="1:24">
      <c r="A86" s="87"/>
      <c r="B86" s="48">
        <f t="shared" si="66"/>
        <v>0</v>
      </c>
      <c r="C86" s="93"/>
      <c r="D86" s="31">
        <f t="shared" si="71"/>
        <v>578.54999999999995</v>
      </c>
      <c r="E86" s="31">
        <f t="shared" si="67"/>
        <v>6314</v>
      </c>
      <c r="F86" s="31">
        <f t="shared" si="68"/>
        <v>578.55000000000007</v>
      </c>
      <c r="G86" s="32">
        <f t="shared" si="69"/>
        <v>6314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511.80000000000007</v>
      </c>
      <c r="V86" s="50">
        <f t="shared" si="75"/>
        <v>578.55000000000007</v>
      </c>
      <c r="W86" s="50">
        <f t="shared" si="76"/>
        <v>531.35</v>
      </c>
      <c r="X86" s="29">
        <f t="shared" si="77"/>
        <v>1621.7000000000003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515.79999999999995</v>
      </c>
      <c r="E87" s="31">
        <f t="shared" si="67"/>
        <v>2861</v>
      </c>
      <c r="F87" s="31">
        <f t="shared" si="68"/>
        <v>515.79999999999995</v>
      </c>
      <c r="G87" s="32">
        <f t="shared" si="69"/>
        <v>2861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557.59999999999968</v>
      </c>
      <c r="V87" s="50">
        <f>$J$45*$J$34*($D$46*G25+$E$46*H25+$F$46*I25)</f>
        <v>515.79999999999995</v>
      </c>
      <c r="W87" s="50">
        <f>$J$45*$J$34*($D$47*G25+$E$47*H25+$F$47*I25)</f>
        <v>154.3000000000003</v>
      </c>
      <c r="X87" s="29">
        <f t="shared" si="77"/>
        <v>1227.6999999999998</v>
      </c>
    </row>
    <row r="88" spans="1:24">
      <c r="A88" s="87"/>
      <c r="B88" s="48">
        <f t="shared" si="66"/>
        <v>0</v>
      </c>
      <c r="C88" s="93"/>
      <c r="D88" s="31">
        <f t="shared" si="71"/>
        <v>1210.5</v>
      </c>
      <c r="E88" s="31">
        <f t="shared" si="67"/>
        <v>3854</v>
      </c>
      <c r="F88" s="31">
        <f t="shared" si="68"/>
        <v>1210.4999999999998</v>
      </c>
      <c r="G88" s="32">
        <f t="shared" si="69"/>
        <v>3854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1201.5</v>
      </c>
      <c r="V88" s="50">
        <f t="shared" ref="V88:V89" si="79">$J$45*$J$34*($D$46*G26+$E$46*H26+$F$46*I26)</f>
        <v>1210.4999999999998</v>
      </c>
      <c r="W88" s="50">
        <f t="shared" ref="W88:W89" si="80">$J$45*$J$34*($D$47*G26+$E$47*H26+$F$47*I26)</f>
        <v>649.5</v>
      </c>
      <c r="X88" s="29">
        <f t="shared" si="77"/>
        <v>3061.5</v>
      </c>
    </row>
    <row r="89" spans="1:24">
      <c r="A89" s="87"/>
      <c r="B89" s="48" t="str">
        <f t="shared" si="66"/>
        <v>A</v>
      </c>
      <c r="C89" s="93"/>
      <c r="D89" s="31">
        <f t="shared" si="71"/>
        <v>578.54999999999995</v>
      </c>
      <c r="E89" s="31">
        <f t="shared" si="67"/>
        <v>6314</v>
      </c>
      <c r="F89" s="31">
        <f t="shared" si="68"/>
        <v>578.54999999999995</v>
      </c>
      <c r="G89" s="32">
        <f t="shared" si="69"/>
        <v>6314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511.79999999999978</v>
      </c>
      <c r="V89" s="50">
        <f t="shared" si="79"/>
        <v>578.54999999999995</v>
      </c>
      <c r="W89" s="50">
        <f t="shared" si="80"/>
        <v>531.35</v>
      </c>
      <c r="X89" s="29">
        <f t="shared" si="77"/>
        <v>1621.6999999999998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515.79999999999995</v>
      </c>
      <c r="E90" s="31">
        <f t="shared" si="67"/>
        <v>2861</v>
      </c>
      <c r="F90" s="31">
        <f t="shared" si="68"/>
        <v>515.79999999999984</v>
      </c>
      <c r="G90" s="32">
        <f t="shared" si="69"/>
        <v>2861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557.59999999999968</v>
      </c>
      <c r="V90" s="50">
        <f>$J$48*$J$37*($D$49*G28+$E$49*H28+$F$49*I28)</f>
        <v>515.79999999999984</v>
      </c>
      <c r="W90" s="50">
        <f>$J$48*$J$37*($D$50*G28+$E$50*H28+$F$50*I28)</f>
        <v>154.3000000000001</v>
      </c>
      <c r="X90" s="29">
        <f t="shared" si="77"/>
        <v>1227.6999999999998</v>
      </c>
    </row>
    <row r="91" spans="1:24">
      <c r="A91" s="87"/>
      <c r="B91" s="48" t="str">
        <f t="shared" si="66"/>
        <v>D65</v>
      </c>
      <c r="C91" s="93"/>
      <c r="D91" s="31">
        <f t="shared" si="71"/>
        <v>1210.5</v>
      </c>
      <c r="E91" s="31">
        <f t="shared" si="67"/>
        <v>3854</v>
      </c>
      <c r="F91" s="31">
        <f t="shared" si="68"/>
        <v>1210.4999999999998</v>
      </c>
      <c r="G91" s="32">
        <f t="shared" si="69"/>
        <v>3854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1201.5</v>
      </c>
      <c r="V91" s="50">
        <f t="shared" ref="V91:V92" si="82">$J$48*$J$37*($D$49*G29+$E$49*H29+$F$49*I29)</f>
        <v>1210.4999999999998</v>
      </c>
      <c r="W91" s="50">
        <f t="shared" ref="W91:W92" si="83">$J$48*$J$37*($D$50*G29+$E$50*H29+$F$50*I29)</f>
        <v>649.50000000000034</v>
      </c>
      <c r="X91" s="29">
        <f t="shared" si="77"/>
        <v>3061.5000000000005</v>
      </c>
    </row>
    <row r="92" spans="1:24">
      <c r="A92" s="87"/>
      <c r="B92" s="48" t="str">
        <f t="shared" si="66"/>
        <v>A</v>
      </c>
      <c r="C92" s="93"/>
      <c r="D92" s="31">
        <f t="shared" si="71"/>
        <v>578.54999999999995</v>
      </c>
      <c r="E92" s="31">
        <f t="shared" si="67"/>
        <v>6314</v>
      </c>
      <c r="F92" s="31">
        <f t="shared" si="68"/>
        <v>578.54999999999995</v>
      </c>
      <c r="G92" s="32">
        <f t="shared" si="69"/>
        <v>6314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511.80000000000018</v>
      </c>
      <c r="V92" s="50">
        <f t="shared" si="82"/>
        <v>578.54999999999995</v>
      </c>
      <c r="W92" s="50">
        <f t="shared" si="83"/>
        <v>531.35000000000014</v>
      </c>
      <c r="X92" s="29">
        <f t="shared" si="77"/>
        <v>1621.7000000000003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6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1.0729190207559469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77.003148604397353</v>
      </c>
      <c r="N3" s="46">
        <v>0</v>
      </c>
      <c r="O3" s="50">
        <f>G$5-N3*G$7</f>
        <v>130.20913207547173</v>
      </c>
      <c r="P3" s="50">
        <f>H$5-N3*H$7</f>
        <v>53.205983471074383</v>
      </c>
      <c r="Q3" s="50">
        <f>I$5-N3*I$7</f>
        <v>62.205117517656603</v>
      </c>
    </row>
    <row r="4" spans="1:17">
      <c r="C4" s="46" t="s">
        <v>20</v>
      </c>
      <c r="D4" s="7">
        <v>530</v>
      </c>
      <c r="E4" s="7">
        <v>1210</v>
      </c>
      <c r="F4" s="7">
        <v>575.79999999999995</v>
      </c>
      <c r="G4" s="50">
        <f>AVERAGE(D4:F4)</f>
        <v>771.93333333333339</v>
      </c>
      <c r="H4" s="50">
        <f>G4</f>
        <v>771.93333333333339</v>
      </c>
      <c r="I4" s="50">
        <f>H4</f>
        <v>771.93333333333339</v>
      </c>
      <c r="K4" s="13" t="str">
        <f>linefmt("Compensation",B12)</f>
        <v>"Compensation",36,</v>
      </c>
      <c r="M4" s="46">
        <f t="shared" si="0"/>
        <v>74.881242920393731</v>
      </c>
      <c r="N4" s="46">
        <f>N3+1</f>
        <v>1</v>
      </c>
      <c r="O4" s="50">
        <f t="shared" ref="O4:O66" si="1">G$5-N4*G$7</f>
        <v>127.98138279016584</v>
      </c>
      <c r="P4" s="50">
        <f t="shared" ref="P4:P66" si="2">H$5-N4*H$7</f>
        <v>53.100139869772107</v>
      </c>
      <c r="Q4" s="50">
        <f t="shared" ref="Q4:Q66" si="3">I$5-N4*I$7</f>
        <v>61.879101276748038</v>
      </c>
    </row>
    <row r="5" spans="1:17">
      <c r="C5" s="46">
        <v>0</v>
      </c>
      <c r="D5" s="9">
        <v>89.4</v>
      </c>
      <c r="E5" s="9">
        <v>83.4</v>
      </c>
      <c r="F5" s="9">
        <v>46.4</v>
      </c>
      <c r="G5" s="50">
        <f>G$4/D$4*D5</f>
        <v>130.20913207547173</v>
      </c>
      <c r="H5" s="50">
        <f t="shared" ref="H5:I6" si="4">H$4/E$4*E5</f>
        <v>53.205983471074383</v>
      </c>
      <c r="I5" s="50">
        <f t="shared" si="4"/>
        <v>62.205117517656603</v>
      </c>
      <c r="K5" s="14" t="str">
        <f>linefmt("CardGain",J54)</f>
        <v>"CardGain",14.08933,</v>
      </c>
      <c r="M5" s="46">
        <f t="shared" si="0"/>
        <v>72.759337236390124</v>
      </c>
      <c r="N5" s="46">
        <f t="shared" ref="N5:N66" si="5">N4+1</f>
        <v>2</v>
      </c>
      <c r="O5" s="50">
        <f t="shared" si="1"/>
        <v>125.75363350485995</v>
      </c>
      <c r="P5" s="50">
        <f t="shared" si="2"/>
        <v>52.994296268469824</v>
      </c>
      <c r="Q5" s="50">
        <f t="shared" si="3"/>
        <v>61.553085035839473</v>
      </c>
    </row>
    <row r="6" spans="1:17">
      <c r="B6" s="50">
        <f>D5/4</f>
        <v>22.35</v>
      </c>
      <c r="C6" s="7">
        <v>44</v>
      </c>
      <c r="D6" s="9">
        <v>22.1</v>
      </c>
      <c r="E6" s="9">
        <v>76.099999999999994</v>
      </c>
      <c r="F6" s="9">
        <v>35.700000000000003</v>
      </c>
      <c r="G6" s="50">
        <f>G$4/D$4*D6</f>
        <v>32.188163522012587</v>
      </c>
      <c r="H6" s="50">
        <f t="shared" si="4"/>
        <v>48.548865013774105</v>
      </c>
      <c r="I6" s="50">
        <f t="shared" si="4"/>
        <v>47.860402917679764</v>
      </c>
      <c r="K6" s="14" t="str">
        <f>linefmt("Range",1,J34,J37)</f>
        <v>"Range",1,0.9621792,0.9818516,</v>
      </c>
      <c r="M6" s="46">
        <f t="shared" si="0"/>
        <v>70.637431552386516</v>
      </c>
      <c r="N6" s="46">
        <f t="shared" si="5"/>
        <v>3</v>
      </c>
      <c r="O6" s="50">
        <f t="shared" si="1"/>
        <v>123.52588421955406</v>
      </c>
      <c r="P6" s="50">
        <f t="shared" si="2"/>
        <v>52.888452667167549</v>
      </c>
      <c r="Q6" s="50">
        <f t="shared" si="3"/>
        <v>61.227068794930908</v>
      </c>
    </row>
    <row r="7" spans="1:17">
      <c r="C7" s="46">
        <f>C5</f>
        <v>0</v>
      </c>
      <c r="D7" s="46">
        <f t="shared" ref="D7:F8" si="6">D$4/D5</f>
        <v>5.9284116331096195</v>
      </c>
      <c r="E7" s="46">
        <f t="shared" si="6"/>
        <v>14.508393285371701</v>
      </c>
      <c r="F7" s="46">
        <f t="shared" si="6"/>
        <v>12.409482758620689</v>
      </c>
      <c r="G7" s="49">
        <f>(G5-G6)/($C6-$C5)</f>
        <v>2.2277492853058898</v>
      </c>
      <c r="H7" s="49">
        <f t="shared" ref="H7:I7" si="7">(H5-H6)/($C6-$C5)</f>
        <v>0.10584360130227904</v>
      </c>
      <c r="I7" s="49">
        <f t="shared" si="7"/>
        <v>0.32601624090856451</v>
      </c>
      <c r="K7" s="14" t="str">
        <f>linefmt("CCM" )</f>
        <v>"CCM",</v>
      </c>
      <c r="M7" s="46">
        <f t="shared" si="0"/>
        <v>68.515525868382895</v>
      </c>
      <c r="N7" s="46">
        <f t="shared" si="5"/>
        <v>4</v>
      </c>
      <c r="O7" s="50">
        <f t="shared" si="1"/>
        <v>121.29813493424817</v>
      </c>
      <c r="P7" s="50">
        <f t="shared" si="2"/>
        <v>52.782609065865266</v>
      </c>
      <c r="Q7" s="50">
        <f t="shared" si="3"/>
        <v>60.901052554022343</v>
      </c>
    </row>
    <row r="8" spans="1:17">
      <c r="C8" s="46">
        <f>C6</f>
        <v>44</v>
      </c>
      <c r="D8" s="46">
        <f t="shared" si="6"/>
        <v>23.981900452488688</v>
      </c>
      <c r="E8" s="46">
        <f t="shared" si="6"/>
        <v>15.900131406044679</v>
      </c>
      <c r="F8" s="46">
        <f t="shared" si="6"/>
        <v>16.128851540616242</v>
      </c>
      <c r="K8" s="15" t="str">
        <f>linefmt("",D54,E54,F54)</f>
        <v>0.3466527,1.039029,-0.324464,</v>
      </c>
      <c r="M8" s="46">
        <f t="shared" si="0"/>
        <v>66.393620184379287</v>
      </c>
      <c r="N8" s="46">
        <f t="shared" si="5"/>
        <v>5</v>
      </c>
      <c r="O8" s="50">
        <f t="shared" si="1"/>
        <v>119.07038564894228</v>
      </c>
      <c r="P8" s="50">
        <f t="shared" si="2"/>
        <v>52.67676546456299</v>
      </c>
      <c r="Q8" s="50">
        <f t="shared" si="3"/>
        <v>60.575036313113777</v>
      </c>
    </row>
    <row r="9" spans="1:17">
      <c r="C9" s="46" t="s">
        <v>23</v>
      </c>
      <c r="D9" s="46">
        <f>(D8-D7)/($C8-$C7)</f>
        <v>0.41030656407679705</v>
      </c>
      <c r="E9" s="46">
        <f>(E8-E7)/($C8-$C7)</f>
        <v>3.1630411833476764E-2</v>
      </c>
      <c r="F9" s="46">
        <f>(F8-F7)/($C8-$C7)</f>
        <v>8.4531108681717135E-2</v>
      </c>
      <c r="K9" s="15" t="str">
        <f>linefmt("",D55,E55,F55)</f>
        <v>0.1656392,1,2.876317E-02,</v>
      </c>
      <c r="M9" s="46">
        <f t="shared" si="0"/>
        <v>64.27171450037568</v>
      </c>
      <c r="N9" s="46">
        <f t="shared" si="5"/>
        <v>6</v>
      </c>
      <c r="O9" s="50">
        <f t="shared" si="1"/>
        <v>116.84263636363639</v>
      </c>
      <c r="P9" s="50">
        <f t="shared" si="2"/>
        <v>52.570921863260708</v>
      </c>
      <c r="Q9" s="50">
        <f t="shared" si="3"/>
        <v>60.249020072205219</v>
      </c>
    </row>
    <row r="10" spans="1:17">
      <c r="K10" s="16" t="str">
        <f>linefmt("",D56,E56,F56)</f>
        <v>-0.5141949,0.3373347,1.260427,</v>
      </c>
      <c r="M10" s="46">
        <f t="shared" si="0"/>
        <v>62.149808816372065</v>
      </c>
      <c r="N10" s="46">
        <f t="shared" si="5"/>
        <v>7</v>
      </c>
      <c r="O10" s="50">
        <f t="shared" si="1"/>
        <v>114.6148870783305</v>
      </c>
      <c r="P10" s="50">
        <f t="shared" si="2"/>
        <v>52.465078261958432</v>
      </c>
      <c r="Q10" s="50">
        <f t="shared" si="3"/>
        <v>59.923003831296654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60.027903132368458</v>
      </c>
      <c r="N11" s="46">
        <f t="shared" si="5"/>
        <v>8</v>
      </c>
      <c r="O11" s="50">
        <f t="shared" si="1"/>
        <v>112.38713779302461</v>
      </c>
      <c r="P11" s="50">
        <f t="shared" si="2"/>
        <v>52.359234660656149</v>
      </c>
      <c r="Q11" s="50">
        <f t="shared" si="3"/>
        <v>59.596987590388089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57.905997448364843</v>
      </c>
      <c r="N12" s="46">
        <f t="shared" si="5"/>
        <v>9</v>
      </c>
      <c r="O12" s="50">
        <f t="shared" si="1"/>
        <v>110.15938850771872</v>
      </c>
      <c r="P12" s="50">
        <f t="shared" si="2"/>
        <v>52.253391059353874</v>
      </c>
      <c r="Q12" s="50">
        <f t="shared" si="3"/>
        <v>59.270971349479524</v>
      </c>
    </row>
    <row r="13" spans="1:17">
      <c r="A13" s="78" t="s">
        <v>12</v>
      </c>
      <c r="B13" s="79" t="s">
        <v>0</v>
      </c>
      <c r="C13" s="46">
        <v>0</v>
      </c>
      <c r="D13" s="7">
        <v>547.5</v>
      </c>
      <c r="E13" s="7">
        <v>506.9</v>
      </c>
      <c r="F13" s="7">
        <v>155.5</v>
      </c>
      <c r="G13" s="8">
        <v>86.5</v>
      </c>
      <c r="H13" s="8">
        <v>20.7</v>
      </c>
      <c r="I13" s="8">
        <v>39.1</v>
      </c>
      <c r="M13" s="46">
        <f t="shared" si="0"/>
        <v>55.784091764361236</v>
      </c>
      <c r="N13" s="46">
        <f t="shared" si="5"/>
        <v>10</v>
      </c>
      <c r="O13" s="50">
        <f t="shared" si="1"/>
        <v>107.93163922241283</v>
      </c>
      <c r="P13" s="50">
        <f t="shared" si="2"/>
        <v>52.147547458051591</v>
      </c>
      <c r="Q13" s="50">
        <f t="shared" si="3"/>
        <v>58.944955108570959</v>
      </c>
    </row>
    <row r="14" spans="1:17">
      <c r="A14" s="78"/>
      <c r="B14" s="79"/>
      <c r="C14" s="46">
        <f>C13+1</f>
        <v>1</v>
      </c>
      <c r="D14" s="7">
        <v>553.9</v>
      </c>
      <c r="E14" s="7">
        <v>512.4</v>
      </c>
      <c r="F14" s="7">
        <v>154.6</v>
      </c>
      <c r="G14" s="8">
        <v>87.7</v>
      </c>
      <c r="H14" s="8">
        <v>21.9</v>
      </c>
      <c r="I14" s="8">
        <v>41.3</v>
      </c>
      <c r="M14" s="46">
        <f t="shared" si="0"/>
        <v>53.662186080357621</v>
      </c>
      <c r="N14" s="46">
        <f t="shared" si="5"/>
        <v>11</v>
      </c>
      <c r="O14" s="50">
        <f t="shared" si="1"/>
        <v>105.70388993710694</v>
      </c>
      <c r="P14" s="50">
        <f t="shared" si="2"/>
        <v>52.041703856749315</v>
      </c>
      <c r="Q14" s="50">
        <f t="shared" si="3"/>
        <v>58.618938867662393</v>
      </c>
    </row>
    <row r="15" spans="1:17">
      <c r="A15" s="78"/>
      <c r="B15" s="79"/>
      <c r="C15" s="46">
        <f>C14+1</f>
        <v>2</v>
      </c>
      <c r="D15" s="6">
        <f>2*(D13-D14)/(D13+D14)</f>
        <v>-1.1621572544034823E-2</v>
      </c>
      <c r="E15" s="6">
        <f t="shared" ref="E15:F15" si="8">2*(E13-E14)/(E13+E14)</f>
        <v>-1.0791719807711174E-2</v>
      </c>
      <c r="F15" s="6">
        <f t="shared" si="8"/>
        <v>5.8045791680103554E-3</v>
      </c>
      <c r="G15" s="8">
        <v>97.4</v>
      </c>
      <c r="H15" s="8">
        <v>19.8</v>
      </c>
      <c r="I15" s="8">
        <v>40.799999999999997</v>
      </c>
      <c r="M15" s="46">
        <f t="shared" si="0"/>
        <v>51.540280396354014</v>
      </c>
      <c r="N15" s="46">
        <f t="shared" si="5"/>
        <v>12</v>
      </c>
      <c r="O15" s="50">
        <f t="shared" si="1"/>
        <v>103.47614065180105</v>
      </c>
      <c r="P15" s="50">
        <f t="shared" si="2"/>
        <v>51.935860255447032</v>
      </c>
      <c r="Q15" s="50">
        <f t="shared" si="3"/>
        <v>58.292922626753828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651</v>
      </c>
      <c r="G16" s="8">
        <v>66.099999999999994</v>
      </c>
      <c r="H16" s="8">
        <v>76</v>
      </c>
      <c r="I16" s="8">
        <v>42.8</v>
      </c>
      <c r="M16" s="46">
        <f t="shared" si="0"/>
        <v>49.418374712350399</v>
      </c>
      <c r="N16" s="46">
        <f t="shared" si="5"/>
        <v>13</v>
      </c>
      <c r="O16" s="50">
        <f t="shared" si="1"/>
        <v>101.24839136649516</v>
      </c>
      <c r="P16" s="50">
        <f t="shared" si="2"/>
        <v>51.830016654144757</v>
      </c>
      <c r="Q16" s="50">
        <f t="shared" si="3"/>
        <v>57.966906385845263</v>
      </c>
    </row>
    <row r="17" spans="1:21">
      <c r="A17" s="78"/>
      <c r="B17" s="79"/>
      <c r="C17" s="46">
        <f t="shared" ref="C17:C21" si="9">C14</f>
        <v>1</v>
      </c>
      <c r="D17" s="7">
        <v>1203</v>
      </c>
      <c r="E17" s="7">
        <v>1213</v>
      </c>
      <c r="F17" s="7">
        <v>652</v>
      </c>
      <c r="G17" s="8">
        <v>68.2</v>
      </c>
      <c r="H17" s="8">
        <v>78.2</v>
      </c>
      <c r="I17" s="8">
        <v>45.2</v>
      </c>
      <c r="M17" s="46">
        <f t="shared" si="0"/>
        <v>47.296469028346792</v>
      </c>
      <c r="N17" s="46">
        <f t="shared" si="5"/>
        <v>14</v>
      </c>
      <c r="O17" s="50">
        <f t="shared" si="1"/>
        <v>99.020642081189266</v>
      </c>
      <c r="P17" s="50">
        <f t="shared" si="2"/>
        <v>51.724173052842474</v>
      </c>
      <c r="Q17" s="50">
        <f t="shared" si="3"/>
        <v>57.640890144936698</v>
      </c>
    </row>
    <row r="18" spans="1:21">
      <c r="A18" s="78"/>
      <c r="B18" s="79"/>
      <c r="C18" s="46">
        <f t="shared" si="9"/>
        <v>2</v>
      </c>
      <c r="D18" s="6">
        <f>2*(D16-D17)/(D16+D17)</f>
        <v>-1.6638935108153079E-3</v>
      </c>
      <c r="E18" s="6">
        <f t="shared" ref="E18:F18" si="10">2*(E16-E17)/(E16+E17)</f>
        <v>-2.4762690879075525E-3</v>
      </c>
      <c r="F18" s="6">
        <f t="shared" si="10"/>
        <v>-1.5349194167306216E-3</v>
      </c>
      <c r="G18" s="8">
        <v>64.599999999999994</v>
      </c>
      <c r="H18" s="8">
        <v>70.599999999999994</v>
      </c>
      <c r="I18" s="8">
        <v>45.6</v>
      </c>
      <c r="M18" s="46">
        <f t="shared" si="0"/>
        <v>45.174563344343177</v>
      </c>
      <c r="N18" s="46">
        <f t="shared" si="5"/>
        <v>15</v>
      </c>
      <c r="O18" s="50">
        <f t="shared" si="1"/>
        <v>96.792892795883375</v>
      </c>
      <c r="P18" s="50">
        <f t="shared" si="2"/>
        <v>51.618329451540198</v>
      </c>
      <c r="Q18" s="50">
        <f t="shared" si="3"/>
        <v>57.314873904028133</v>
      </c>
    </row>
    <row r="19" spans="1:21">
      <c r="A19" s="78"/>
      <c r="B19" s="79" t="s">
        <v>2</v>
      </c>
      <c r="C19" s="46">
        <f t="shared" si="9"/>
        <v>0</v>
      </c>
      <c r="D19" s="7">
        <v>517.4</v>
      </c>
      <c r="E19" s="7">
        <v>584.1</v>
      </c>
      <c r="F19" s="7">
        <v>530.79999999999995</v>
      </c>
      <c r="G19" s="8">
        <v>28.7</v>
      </c>
      <c r="H19" s="8">
        <v>36.1</v>
      </c>
      <c r="I19" s="8">
        <v>31.4</v>
      </c>
      <c r="M19" s="46">
        <f t="shared" si="0"/>
        <v>43.05265766033957</v>
      </c>
      <c r="N19" s="46">
        <f t="shared" si="5"/>
        <v>16</v>
      </c>
      <c r="O19" s="50">
        <f t="shared" si="1"/>
        <v>94.565143510577485</v>
      </c>
      <c r="P19" s="50">
        <f t="shared" si="2"/>
        <v>51.512485850237915</v>
      </c>
      <c r="Q19" s="50">
        <f t="shared" si="3"/>
        <v>56.988857663119575</v>
      </c>
    </row>
    <row r="20" spans="1:21">
      <c r="A20" s="78"/>
      <c r="B20" s="79"/>
      <c r="C20" s="46">
        <f t="shared" si="9"/>
        <v>1</v>
      </c>
      <c r="D20" s="7">
        <v>517.9</v>
      </c>
      <c r="E20" s="7">
        <v>584.5</v>
      </c>
      <c r="F20" s="7">
        <v>530.70000000000005</v>
      </c>
      <c r="G20" s="8">
        <v>30.3</v>
      </c>
      <c r="H20" s="8">
        <v>38.200000000000003</v>
      </c>
      <c r="I20" s="8">
        <v>33.200000000000003</v>
      </c>
      <c r="M20" s="46">
        <f t="shared" si="0"/>
        <v>40.930751976335955</v>
      </c>
      <c r="N20" s="46">
        <f t="shared" si="5"/>
        <v>17</v>
      </c>
      <c r="O20" s="50">
        <f t="shared" si="1"/>
        <v>92.337394225271595</v>
      </c>
      <c r="P20" s="50">
        <f t="shared" si="2"/>
        <v>51.40664224893564</v>
      </c>
      <c r="Q20" s="50">
        <f t="shared" si="3"/>
        <v>56.66284142221101</v>
      </c>
    </row>
    <row r="21" spans="1:21">
      <c r="A21" s="78"/>
      <c r="B21" s="79"/>
      <c r="C21" s="46">
        <f t="shared" si="9"/>
        <v>2</v>
      </c>
      <c r="D21" s="6">
        <f>2*(D19-D20)/(D19+D20)</f>
        <v>-9.6590360282043858E-4</v>
      </c>
      <c r="E21" s="6">
        <f t="shared" ref="E21:F21" si="11">2*(E19-E20)/(E19+E20)</f>
        <v>-6.8457983912369896E-4</v>
      </c>
      <c r="F21" s="6">
        <f t="shared" si="11"/>
        <v>1.8841262364561291E-4</v>
      </c>
      <c r="G21" s="8">
        <v>28</v>
      </c>
      <c r="H21" s="8">
        <v>37.1</v>
      </c>
      <c r="I21" s="8">
        <v>31.4</v>
      </c>
      <c r="M21" s="46">
        <f t="shared" si="0"/>
        <v>38.808846292332348</v>
      </c>
      <c r="N21" s="46">
        <f t="shared" si="5"/>
        <v>18</v>
      </c>
      <c r="O21" s="50">
        <f t="shared" si="1"/>
        <v>90.109644939965705</v>
      </c>
      <c r="P21" s="50">
        <f t="shared" si="2"/>
        <v>51.300798647633357</v>
      </c>
      <c r="Q21" s="50">
        <f t="shared" si="3"/>
        <v>56.336825181302444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550.70000000000005</v>
      </c>
      <c r="E22" s="46">
        <f t="shared" ref="E22:F22" si="12">(E13+E14)/2</f>
        <v>509.65</v>
      </c>
      <c r="F22" s="46">
        <f t="shared" si="12"/>
        <v>155.05000000000001</v>
      </c>
      <c r="G22" s="5">
        <f>G13</f>
        <v>86.5</v>
      </c>
      <c r="H22" s="5">
        <f t="shared" ref="H22:I22" si="13">H13</f>
        <v>20.7</v>
      </c>
      <c r="I22" s="5">
        <f t="shared" si="13"/>
        <v>39.1</v>
      </c>
      <c r="J22" s="99">
        <f>AVERAGE(G22:I24)</f>
        <v>47.488888888888887</v>
      </c>
      <c r="M22" s="46">
        <f t="shared" si="0"/>
        <v>36.686940608328733</v>
      </c>
      <c r="N22" s="46">
        <f t="shared" si="5"/>
        <v>19</v>
      </c>
      <c r="O22" s="50">
        <f t="shared" si="1"/>
        <v>87.881895654659814</v>
      </c>
      <c r="P22" s="50">
        <f t="shared" si="2"/>
        <v>51.194955046331081</v>
      </c>
      <c r="Q22" s="50">
        <f t="shared" si="3"/>
        <v>56.010808940393879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1202</v>
      </c>
      <c r="E23" s="46">
        <f>(E16+E17)/2</f>
        <v>1211.5</v>
      </c>
      <c r="F23" s="46">
        <f>(F16+F17)/2</f>
        <v>651.5</v>
      </c>
      <c r="G23" s="5">
        <f>G16</f>
        <v>66.099999999999994</v>
      </c>
      <c r="H23" s="5">
        <f>H16</f>
        <v>76</v>
      </c>
      <c r="I23" s="5">
        <f>I16</f>
        <v>42.8</v>
      </c>
      <c r="J23" s="99"/>
      <c r="M23" s="46">
        <f t="shared" si="0"/>
        <v>34.565034924325118</v>
      </c>
      <c r="N23" s="46">
        <f t="shared" si="5"/>
        <v>20</v>
      </c>
      <c r="O23" s="50">
        <f t="shared" si="1"/>
        <v>85.654146369353924</v>
      </c>
      <c r="P23" s="50">
        <f t="shared" si="2"/>
        <v>51.089111445028806</v>
      </c>
      <c r="Q23" s="50">
        <f t="shared" si="3"/>
        <v>55.684792699485314</v>
      </c>
    </row>
    <row r="24" spans="1:21">
      <c r="A24" s="78"/>
      <c r="B24" s="46" t="str">
        <f>B19</f>
        <v>D65</v>
      </c>
      <c r="C24" s="79"/>
      <c r="D24" s="46">
        <f>(D19+D20)/2</f>
        <v>517.65</v>
      </c>
      <c r="E24" s="46">
        <f>(E19+E20)/2</f>
        <v>584.29999999999995</v>
      </c>
      <c r="F24" s="46">
        <f>(F19+F20)/2</f>
        <v>530.75</v>
      </c>
      <c r="G24" s="5">
        <f>G19</f>
        <v>28.7</v>
      </c>
      <c r="H24" s="5">
        <f>H19</f>
        <v>36.1</v>
      </c>
      <c r="I24" s="5">
        <f>I19</f>
        <v>31.4</v>
      </c>
      <c r="J24" s="99"/>
      <c r="M24" s="46">
        <f t="shared" si="0"/>
        <v>32.443129240321511</v>
      </c>
      <c r="N24" s="46">
        <f t="shared" si="5"/>
        <v>21</v>
      </c>
      <c r="O24" s="50">
        <f t="shared" si="1"/>
        <v>83.426397084048034</v>
      </c>
      <c r="P24" s="50">
        <f t="shared" si="2"/>
        <v>50.983267843726523</v>
      </c>
      <c r="Q24" s="50">
        <f t="shared" si="3"/>
        <v>55.358776458576749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550.70000000000005</v>
      </c>
      <c r="E25" s="46">
        <f t="shared" ref="E25:F25" si="15">(E13+E14)/2</f>
        <v>509.65</v>
      </c>
      <c r="F25" s="46">
        <f t="shared" si="15"/>
        <v>155.05000000000001</v>
      </c>
      <c r="G25" s="5">
        <f t="shared" ref="G25:I25" si="16">G14</f>
        <v>87.7</v>
      </c>
      <c r="H25" s="5">
        <f t="shared" si="16"/>
        <v>21.9</v>
      </c>
      <c r="I25" s="5">
        <f t="shared" si="16"/>
        <v>41.3</v>
      </c>
      <c r="J25" s="99">
        <f>AVERAGE(G25:I27)</f>
        <v>49.355555555555547</v>
      </c>
      <c r="M25" s="46">
        <f t="shared" si="0"/>
        <v>30.321223556317904</v>
      </c>
      <c r="N25" s="46">
        <f t="shared" si="5"/>
        <v>22</v>
      </c>
      <c r="O25" s="50">
        <f t="shared" si="1"/>
        <v>81.198647798742144</v>
      </c>
      <c r="P25" s="50">
        <f t="shared" si="2"/>
        <v>50.87742424242424</v>
      </c>
      <c r="Q25" s="50">
        <f t="shared" si="3"/>
        <v>55.032760217668184</v>
      </c>
    </row>
    <row r="26" spans="1:21">
      <c r="A26" s="78"/>
      <c r="B26" s="46" t="str">
        <f>B16</f>
        <v>CWF</v>
      </c>
      <c r="C26" s="79"/>
      <c r="D26" s="46">
        <f>(D16+D17)/2</f>
        <v>1202</v>
      </c>
      <c r="E26" s="46">
        <f>(E16+E17)/2</f>
        <v>1211.5</v>
      </c>
      <c r="F26" s="46">
        <f>(F16+F17)/2</f>
        <v>651.5</v>
      </c>
      <c r="G26" s="5">
        <f>G17</f>
        <v>68.2</v>
      </c>
      <c r="H26" s="5">
        <f>H17</f>
        <v>78.2</v>
      </c>
      <c r="I26" s="5">
        <f>I17</f>
        <v>45.2</v>
      </c>
      <c r="J26" s="99"/>
      <c r="M26" s="46">
        <f t="shared" si="0"/>
        <v>28.199317872314289</v>
      </c>
      <c r="N26" s="46">
        <f t="shared" si="5"/>
        <v>23</v>
      </c>
      <c r="O26" s="50">
        <f t="shared" si="1"/>
        <v>78.970898513436254</v>
      </c>
      <c r="P26" s="50">
        <f t="shared" si="2"/>
        <v>50.771580641121965</v>
      </c>
      <c r="Q26" s="50">
        <f t="shared" si="3"/>
        <v>54.706743976759618</v>
      </c>
    </row>
    <row r="27" spans="1:21">
      <c r="A27" s="78"/>
      <c r="B27" s="46" t="str">
        <f>B19</f>
        <v>D65</v>
      </c>
      <c r="C27" s="79"/>
      <c r="D27" s="46">
        <f>(D19+D20)/2</f>
        <v>517.65</v>
      </c>
      <c r="E27" s="46">
        <f>(E19+E20)/2</f>
        <v>584.29999999999995</v>
      </c>
      <c r="F27" s="46">
        <f>(F19+F20)/2</f>
        <v>530.75</v>
      </c>
      <c r="G27" s="5">
        <f>G20</f>
        <v>30.3</v>
      </c>
      <c r="H27" s="5">
        <f>H20</f>
        <v>38.200000000000003</v>
      </c>
      <c r="I27" s="5">
        <f>I20</f>
        <v>33.200000000000003</v>
      </c>
      <c r="J27" s="99"/>
      <c r="M27" s="46">
        <f t="shared" si="0"/>
        <v>26.077412188310689</v>
      </c>
      <c r="N27" s="46">
        <f t="shared" si="5"/>
        <v>24</v>
      </c>
      <c r="O27" s="50">
        <f t="shared" si="1"/>
        <v>76.743149228130378</v>
      </c>
      <c r="P27" s="50">
        <f t="shared" si="2"/>
        <v>50.665737039819689</v>
      </c>
      <c r="Q27" s="50">
        <f t="shared" si="3"/>
        <v>54.380727735851053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550.70000000000005</v>
      </c>
      <c r="E28" s="46">
        <f t="shared" ref="E28:F28" si="17">(E13+E14)/2</f>
        <v>509.65</v>
      </c>
      <c r="F28" s="46">
        <f t="shared" si="17"/>
        <v>155.05000000000001</v>
      </c>
      <c r="G28" s="5">
        <f t="shared" ref="G28:I28" si="18">G15</f>
        <v>97.4</v>
      </c>
      <c r="H28" s="5">
        <f t="shared" si="18"/>
        <v>19.8</v>
      </c>
      <c r="I28" s="5">
        <f t="shared" si="18"/>
        <v>40.799999999999997</v>
      </c>
      <c r="J28" s="99">
        <f>AVERAGE(G28:I30)</f>
        <v>48.366666666666667</v>
      </c>
      <c r="M28" s="46">
        <f t="shared" si="0"/>
        <v>23.955506504307081</v>
      </c>
      <c r="N28" s="46">
        <f t="shared" si="5"/>
        <v>25</v>
      </c>
      <c r="O28" s="50">
        <f t="shared" si="1"/>
        <v>74.515399942824487</v>
      </c>
      <c r="P28" s="50">
        <f t="shared" si="2"/>
        <v>50.559893438517406</v>
      </c>
      <c r="Q28" s="50">
        <f t="shared" si="3"/>
        <v>54.054711494942488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1202</v>
      </c>
      <c r="E29" s="46">
        <f t="shared" si="20"/>
        <v>1211.5</v>
      </c>
      <c r="F29" s="46">
        <f t="shared" si="20"/>
        <v>651.5</v>
      </c>
      <c r="G29" s="5">
        <f t="shared" ref="G29:I29" si="21">G18</f>
        <v>64.599999999999994</v>
      </c>
      <c r="H29" s="5">
        <f t="shared" si="21"/>
        <v>70.599999999999994</v>
      </c>
      <c r="I29" s="5">
        <f t="shared" si="21"/>
        <v>45.6</v>
      </c>
      <c r="J29" s="99"/>
      <c r="M29" s="46">
        <f t="shared" si="0"/>
        <v>21.833600820303467</v>
      </c>
      <c r="N29" s="46">
        <f t="shared" si="5"/>
        <v>26</v>
      </c>
      <c r="O29" s="50">
        <f t="shared" si="1"/>
        <v>72.287650657518597</v>
      </c>
      <c r="P29" s="50">
        <f t="shared" si="2"/>
        <v>50.45404983721513</v>
      </c>
      <c r="Q29" s="50">
        <f t="shared" si="3"/>
        <v>53.728695254033923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517.65</v>
      </c>
      <c r="E30" s="46">
        <f t="shared" si="23"/>
        <v>584.29999999999995</v>
      </c>
      <c r="F30" s="46">
        <f t="shared" si="23"/>
        <v>530.75</v>
      </c>
      <c r="G30" s="5">
        <f t="shared" ref="G30:I30" si="24">G21</f>
        <v>28</v>
      </c>
      <c r="H30" s="5">
        <f t="shared" si="24"/>
        <v>37.1</v>
      </c>
      <c r="I30" s="5">
        <f t="shared" si="24"/>
        <v>31.4</v>
      </c>
      <c r="J30" s="99"/>
      <c r="M30" s="46">
        <f t="shared" si="0"/>
        <v>19.711695136299859</v>
      </c>
      <c r="N30" s="46">
        <f t="shared" si="5"/>
        <v>27</v>
      </c>
      <c r="O30" s="50">
        <f t="shared" si="1"/>
        <v>70.059901372212707</v>
      </c>
      <c r="P30" s="50">
        <f t="shared" si="2"/>
        <v>50.348206235912848</v>
      </c>
      <c r="Q30" s="50">
        <f t="shared" si="3"/>
        <v>53.402679013125365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550.70000000000005</v>
      </c>
      <c r="E31" s="46">
        <f t="shared" si="25"/>
        <v>509.65</v>
      </c>
      <c r="F31" s="46">
        <f t="shared" si="25"/>
        <v>155.05000000000001</v>
      </c>
      <c r="G31" s="5">
        <f t="shared" ref="G31:I33" si="26">G22*$J$31</f>
        <v>86.5</v>
      </c>
      <c r="H31" s="5">
        <f t="shared" si="26"/>
        <v>20.7</v>
      </c>
      <c r="I31" s="5">
        <f t="shared" si="26"/>
        <v>39.1</v>
      </c>
      <c r="J31" s="96">
        <f>J$22/J22</f>
        <v>1</v>
      </c>
      <c r="M31" s="46">
        <f t="shared" si="0"/>
        <v>17.589789452296245</v>
      </c>
      <c r="N31" s="46">
        <f t="shared" si="5"/>
        <v>28</v>
      </c>
      <c r="O31" s="50">
        <f t="shared" si="1"/>
        <v>67.832152086906817</v>
      </c>
      <c r="P31" s="50">
        <f t="shared" si="2"/>
        <v>50.242362634610572</v>
      </c>
      <c r="Q31" s="50">
        <f t="shared" si="3"/>
        <v>53.076662772216793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1202</v>
      </c>
      <c r="E32" s="46">
        <f t="shared" si="27"/>
        <v>1211.5</v>
      </c>
      <c r="F32" s="46">
        <f t="shared" si="27"/>
        <v>651.5</v>
      </c>
      <c r="G32" s="5">
        <f t="shared" si="26"/>
        <v>66.099999999999994</v>
      </c>
      <c r="H32" s="5">
        <f t="shared" si="26"/>
        <v>76</v>
      </c>
      <c r="I32" s="5">
        <f t="shared" si="26"/>
        <v>42.8</v>
      </c>
      <c r="J32" s="96"/>
      <c r="M32" s="46">
        <f t="shared" si="0"/>
        <v>15.467883768292637</v>
      </c>
      <c r="N32" s="46">
        <f t="shared" si="5"/>
        <v>29</v>
      </c>
      <c r="O32" s="50">
        <f t="shared" si="1"/>
        <v>65.604402801600926</v>
      </c>
      <c r="P32" s="50">
        <f t="shared" si="2"/>
        <v>50.136519033308289</v>
      </c>
      <c r="Q32" s="50">
        <f t="shared" si="3"/>
        <v>52.750646531308234</v>
      </c>
    </row>
    <row r="33" spans="1:17">
      <c r="A33" s="78"/>
      <c r="B33" s="46" t="str">
        <f t="shared" si="27"/>
        <v>D65</v>
      </c>
      <c r="C33" s="79"/>
      <c r="D33" s="46">
        <f t="shared" si="27"/>
        <v>517.65</v>
      </c>
      <c r="E33" s="46">
        <f t="shared" si="27"/>
        <v>584.29999999999995</v>
      </c>
      <c r="F33" s="46">
        <f t="shared" si="27"/>
        <v>530.75</v>
      </c>
      <c r="G33" s="5">
        <f t="shared" si="26"/>
        <v>28.7</v>
      </c>
      <c r="H33" s="5">
        <f t="shared" si="26"/>
        <v>36.1</v>
      </c>
      <c r="I33" s="5">
        <f t="shared" si="26"/>
        <v>31.4</v>
      </c>
      <c r="J33" s="96"/>
      <c r="M33" s="46">
        <f t="shared" si="0"/>
        <v>13.345978084289023</v>
      </c>
      <c r="N33" s="46">
        <f t="shared" si="5"/>
        <v>30</v>
      </c>
      <c r="O33" s="50">
        <f t="shared" si="1"/>
        <v>63.376653516295036</v>
      </c>
      <c r="P33" s="50">
        <f t="shared" si="2"/>
        <v>50.030675432006014</v>
      </c>
      <c r="Q33" s="50">
        <f t="shared" si="3"/>
        <v>52.424630290399669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550.70000000000005</v>
      </c>
      <c r="E34" s="46">
        <f t="shared" si="27"/>
        <v>509.65</v>
      </c>
      <c r="F34" s="46">
        <f t="shared" si="27"/>
        <v>155.05000000000001</v>
      </c>
      <c r="G34" s="5">
        <f t="shared" ref="G34:I36" si="28">G25*$J$34</f>
        <v>84.383115713642511</v>
      </c>
      <c r="H34" s="5">
        <f t="shared" si="28"/>
        <v>21.071724448446645</v>
      </c>
      <c r="I34" s="5">
        <f t="shared" si="28"/>
        <v>39.738000900495273</v>
      </c>
      <c r="J34" s="96">
        <f>J$22/J25</f>
        <v>0.96217919855920764</v>
      </c>
      <c r="M34" s="46">
        <f t="shared" si="0"/>
        <v>11.224072400285415</v>
      </c>
      <c r="N34" s="46">
        <f t="shared" si="5"/>
        <v>31</v>
      </c>
      <c r="O34" s="50">
        <f t="shared" si="1"/>
        <v>61.148904230989146</v>
      </c>
      <c r="P34" s="50">
        <f t="shared" si="2"/>
        <v>49.924831830703731</v>
      </c>
      <c r="Q34" s="50">
        <f t="shared" si="3"/>
        <v>52.098614049491104</v>
      </c>
    </row>
    <row r="35" spans="1:17">
      <c r="A35" s="78"/>
      <c r="B35" s="46" t="str">
        <f t="shared" si="27"/>
        <v>CWF</v>
      </c>
      <c r="C35" s="79"/>
      <c r="D35" s="46">
        <f t="shared" si="27"/>
        <v>1202</v>
      </c>
      <c r="E35" s="46">
        <f t="shared" si="27"/>
        <v>1211.5</v>
      </c>
      <c r="F35" s="46">
        <f t="shared" si="27"/>
        <v>651.5</v>
      </c>
      <c r="G35" s="5">
        <f t="shared" si="28"/>
        <v>65.620621341737959</v>
      </c>
      <c r="H35" s="5">
        <f t="shared" si="28"/>
        <v>75.242413327330041</v>
      </c>
      <c r="I35" s="5">
        <f t="shared" si="28"/>
        <v>43.490499774876191</v>
      </c>
      <c r="J35" s="96"/>
      <c r="M35" s="46">
        <f t="shared" si="0"/>
        <v>9.1021667162818005</v>
      </c>
      <c r="N35" s="46">
        <f t="shared" si="5"/>
        <v>32</v>
      </c>
      <c r="O35" s="50">
        <f t="shared" si="1"/>
        <v>58.921154945683256</v>
      </c>
      <c r="P35" s="50">
        <f t="shared" si="2"/>
        <v>49.818988229401455</v>
      </c>
      <c r="Q35" s="50">
        <f t="shared" si="3"/>
        <v>51.772597808582539</v>
      </c>
    </row>
    <row r="36" spans="1:17">
      <c r="A36" s="78"/>
      <c r="B36" s="46" t="str">
        <f t="shared" si="27"/>
        <v>D65</v>
      </c>
      <c r="C36" s="79"/>
      <c r="D36" s="46">
        <f t="shared" si="27"/>
        <v>517.65</v>
      </c>
      <c r="E36" s="46">
        <f t="shared" si="27"/>
        <v>584.29999999999995</v>
      </c>
      <c r="F36" s="46">
        <f t="shared" si="27"/>
        <v>530.75</v>
      </c>
      <c r="G36" s="5">
        <f t="shared" si="28"/>
        <v>29.154029716343992</v>
      </c>
      <c r="H36" s="5">
        <f t="shared" si="28"/>
        <v>36.755245384961732</v>
      </c>
      <c r="I36" s="5">
        <f t="shared" si="28"/>
        <v>31.944349392165698</v>
      </c>
      <c r="J36" s="96"/>
      <c r="M36" s="46">
        <f t="shared" si="0"/>
        <v>6.9802610322781931</v>
      </c>
      <c r="N36" s="46">
        <f t="shared" si="5"/>
        <v>33</v>
      </c>
      <c r="O36" s="50">
        <f t="shared" si="1"/>
        <v>56.693405660377366</v>
      </c>
      <c r="P36" s="50">
        <f t="shared" si="2"/>
        <v>49.713144628099172</v>
      </c>
      <c r="Q36" s="50">
        <f t="shared" si="3"/>
        <v>51.446581567673974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550.70000000000005</v>
      </c>
      <c r="E37" s="46">
        <f t="shared" si="27"/>
        <v>509.65</v>
      </c>
      <c r="F37" s="46">
        <f t="shared" si="27"/>
        <v>155.05000000000001</v>
      </c>
      <c r="G37" s="5">
        <f t="shared" ref="G37:I39" si="29">G28*$J$37</f>
        <v>95.63234550884448</v>
      </c>
      <c r="H37" s="5">
        <f t="shared" si="29"/>
        <v>19.440661612680909</v>
      </c>
      <c r="I37" s="5">
        <f t="shared" si="29"/>
        <v>40.059545141281873</v>
      </c>
      <c r="J37" s="96">
        <f>J$22/J28</f>
        <v>0.98185159660004595</v>
      </c>
      <c r="K37" s="51" t="str">
        <f>CHAR(34) &amp; "EEpromVersion" &amp;CHAR(34)  &amp; ",3,"</f>
        <v>"EEpromVersion",3,</v>
      </c>
      <c r="M37" s="46">
        <f t="shared" si="0"/>
        <v>4.8583553482745785</v>
      </c>
      <c r="N37" s="46">
        <f t="shared" si="5"/>
        <v>34</v>
      </c>
      <c r="O37" s="50">
        <f t="shared" si="1"/>
        <v>54.465656375071475</v>
      </c>
      <c r="P37" s="50">
        <f t="shared" si="2"/>
        <v>49.607301026796897</v>
      </c>
      <c r="Q37" s="50">
        <f t="shared" si="3"/>
        <v>51.120565326765409</v>
      </c>
    </row>
    <row r="38" spans="1:17">
      <c r="A38" s="78"/>
      <c r="B38" s="46" t="str">
        <f t="shared" si="27"/>
        <v>CWF</v>
      </c>
      <c r="C38" s="79"/>
      <c r="D38" s="46">
        <f t="shared" si="27"/>
        <v>1202</v>
      </c>
      <c r="E38" s="46">
        <f t="shared" si="27"/>
        <v>1211.5</v>
      </c>
      <c r="F38" s="46">
        <f t="shared" si="27"/>
        <v>651.5</v>
      </c>
      <c r="G38" s="5">
        <f t="shared" si="29"/>
        <v>63.427613140362965</v>
      </c>
      <c r="H38" s="5">
        <f t="shared" si="29"/>
        <v>69.318722719963233</v>
      </c>
      <c r="I38" s="5">
        <f t="shared" si="29"/>
        <v>44.772432804962094</v>
      </c>
      <c r="J38" s="96"/>
      <c r="K38" s="52" t="str">
        <f>K4</f>
        <v>"Compensation",36,</v>
      </c>
      <c r="M38" s="46">
        <f t="shared" si="0"/>
        <v>2.736449664270971</v>
      </c>
      <c r="N38" s="46">
        <f t="shared" si="5"/>
        <v>35</v>
      </c>
      <c r="O38" s="50">
        <f t="shared" si="1"/>
        <v>52.237907089765585</v>
      </c>
      <c r="P38" s="50">
        <f t="shared" si="2"/>
        <v>49.501457425494614</v>
      </c>
      <c r="Q38" s="50">
        <f t="shared" si="3"/>
        <v>50.794549085856843</v>
      </c>
    </row>
    <row r="39" spans="1:17">
      <c r="A39" s="78"/>
      <c r="B39" s="46" t="str">
        <f t="shared" si="27"/>
        <v>D65</v>
      </c>
      <c r="C39" s="79"/>
      <c r="D39" s="46">
        <f t="shared" si="27"/>
        <v>517.65</v>
      </c>
      <c r="E39" s="46">
        <f t="shared" si="27"/>
        <v>584.29999999999995</v>
      </c>
      <c r="F39" s="46">
        <f t="shared" si="27"/>
        <v>530.75</v>
      </c>
      <c r="G39" s="5">
        <f t="shared" si="29"/>
        <v>27.491844704801288</v>
      </c>
      <c r="H39" s="5">
        <f t="shared" si="29"/>
        <v>36.426694233861703</v>
      </c>
      <c r="I39" s="5">
        <f t="shared" si="29"/>
        <v>30.830140133241443</v>
      </c>
      <c r="J39" s="96"/>
      <c r="K39" s="53" t="str">
        <f>linefmt("CardGain",J42,J45,J48)</f>
        <v>"CardGain",13.37816,13.8506,16.84431,</v>
      </c>
      <c r="M39" s="46">
        <f t="shared" si="0"/>
        <v>1.0729190207559469</v>
      </c>
      <c r="N39" s="46">
        <f t="shared" si="5"/>
        <v>36</v>
      </c>
      <c r="O39" s="50">
        <f t="shared" si="1"/>
        <v>50.010157804459695</v>
      </c>
      <c r="P39" s="50">
        <f t="shared" si="2"/>
        <v>49.395613824192338</v>
      </c>
      <c r="Q39" s="50">
        <f t="shared" si="3"/>
        <v>50.468532844948285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"Range",1,0.9621792,0.9818516,</v>
      </c>
      <c r="M40" s="46">
        <f t="shared" si="0"/>
        <v>2.3601080848859084</v>
      </c>
      <c r="N40" s="46">
        <f t="shared" si="5"/>
        <v>37</v>
      </c>
      <c r="O40" s="50">
        <f t="shared" si="1"/>
        <v>47.782408519153805</v>
      </c>
      <c r="P40" s="50">
        <f t="shared" si="2"/>
        <v>49.289770222890056</v>
      </c>
      <c r="Q40" s="50">
        <f t="shared" si="3"/>
        <v>50.142516604039713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4.2618411292832405</v>
      </c>
      <c r="N41" s="46">
        <f t="shared" si="5"/>
        <v>38</v>
      </c>
      <c r="O41" s="50">
        <f t="shared" si="1"/>
        <v>45.554659233847914</v>
      </c>
      <c r="P41" s="50">
        <f t="shared" si="2"/>
        <v>49.18392662158778</v>
      </c>
      <c r="Q41" s="50">
        <f t="shared" si="3"/>
        <v>49.816500363131155</v>
      </c>
    </row>
    <row r="42" spans="1:17">
      <c r="A42" s="4"/>
      <c r="B42" s="46" t="s">
        <v>3</v>
      </c>
      <c r="C42" s="79">
        <f>C31</f>
        <v>0</v>
      </c>
      <c r="D42" s="46">
        <f>I42/$H$43</f>
        <v>0.35338839995324556</v>
      </c>
      <c r="E42" s="46">
        <f>H42/$H$43</f>
        <v>1.0290410533088377</v>
      </c>
      <c r="F42" s="46">
        <f>G42/$H$43</f>
        <v>-0.27378866693468196</v>
      </c>
      <c r="G42" s="46">
        <f t="array" ref="G42:I42">LINEST($D31:$D33,$G31:$I33,FALSE)</f>
        <v>-3.6627883034671163</v>
      </c>
      <c r="H42" s="46">
        <v>13.766674771627066</v>
      </c>
      <c r="I42" s="46">
        <v>4.7276861837327635</v>
      </c>
      <c r="J42" s="97">
        <f>H43</f>
        <v>13.378158944544449</v>
      </c>
      <c r="K42" s="53" t="str">
        <f t="shared" ref="K42:K50" si="30">linefmt("",D42,E42,F42)</f>
        <v>0.3533884,1.029041,-0.2737887,</v>
      </c>
      <c r="M42" s="46">
        <f t="shared" si="0"/>
        <v>6.1635741736805656</v>
      </c>
      <c r="N42" s="46">
        <f t="shared" si="5"/>
        <v>39</v>
      </c>
      <c r="O42" s="50">
        <f t="shared" si="1"/>
        <v>43.326909948542024</v>
      </c>
      <c r="P42" s="50">
        <f t="shared" si="2"/>
        <v>49.078083020285497</v>
      </c>
      <c r="Q42" s="50">
        <f t="shared" si="3"/>
        <v>49.49048412222259</v>
      </c>
    </row>
    <row r="43" spans="1:17">
      <c r="A43" s="4"/>
      <c r="B43" s="46" t="s">
        <v>4</v>
      </c>
      <c r="C43" s="79"/>
      <c r="D43" s="46">
        <f>I43/$H$43</f>
        <v>0.15685486231146423</v>
      </c>
      <c r="E43" s="46">
        <f>H43/$H$43</f>
        <v>1</v>
      </c>
      <c r="F43" s="46">
        <f>G43/$H$43</f>
        <v>9.7895901921648792E-2</v>
      </c>
      <c r="G43" s="46">
        <f t="array" ref="G43:I43">LINEST($E31:$E33,$G31:$I33,FALSE)</f>
        <v>1.3096669359273518</v>
      </c>
      <c r="H43" s="46">
        <v>13.378158944544449</v>
      </c>
      <c r="I43" s="46">
        <v>2.0984292792274033</v>
      </c>
      <c r="J43" s="97"/>
      <c r="K43" s="53" t="str">
        <f t="shared" si="30"/>
        <v>0.1568549,1,9.789591E-02,</v>
      </c>
      <c r="M43" s="46">
        <f t="shared" si="0"/>
        <v>8.0653072180778906</v>
      </c>
      <c r="N43" s="46">
        <f t="shared" si="5"/>
        <v>40</v>
      </c>
      <c r="O43" s="50">
        <f t="shared" si="1"/>
        <v>41.099160663236134</v>
      </c>
      <c r="P43" s="50">
        <f t="shared" si="2"/>
        <v>48.972239418983222</v>
      </c>
      <c r="Q43" s="50">
        <f t="shared" si="3"/>
        <v>49.164467881314025</v>
      </c>
    </row>
    <row r="44" spans="1:17">
      <c r="A44" s="4"/>
      <c r="B44" s="46" t="s">
        <v>5</v>
      </c>
      <c r="C44" s="79"/>
      <c r="D44" s="46">
        <f>I44/$H$43</f>
        <v>-0.56766917721056009</v>
      </c>
      <c r="E44" s="46">
        <f>H44/$H$43</f>
        <v>0.37091791289392256</v>
      </c>
      <c r="F44" s="46">
        <f>G44/$H$43</f>
        <v>1.3558866774558669</v>
      </c>
      <c r="G44" s="46">
        <f t="array" ref="G44:I44">LINEST($F$31:$F$33,$G31:$I33,FALSE)</f>
        <v>18.13926748179486</v>
      </c>
      <c r="H44" s="46">
        <v>4.962198794073589</v>
      </c>
      <c r="I44" s="46">
        <v>-7.5943684806416423</v>
      </c>
      <c r="J44" s="97"/>
      <c r="K44" s="53" t="str">
        <f t="shared" si="30"/>
        <v>-0.5676692,0.3709179,1.355887,</v>
      </c>
      <c r="M44" s="46">
        <f t="shared" si="0"/>
        <v>9.9949844397506951</v>
      </c>
      <c r="N44" s="46">
        <f t="shared" si="5"/>
        <v>41</v>
      </c>
      <c r="O44" s="50">
        <f t="shared" si="1"/>
        <v>38.871411377930244</v>
      </c>
      <c r="P44" s="50">
        <f t="shared" si="2"/>
        <v>48.866395817680939</v>
      </c>
      <c r="Q44" s="50">
        <f t="shared" si="3"/>
        <v>48.838451640405459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0.38628452097278865</v>
      </c>
      <c r="E45" s="46">
        <f>H45/$H$46</f>
        <v>1.0270889835198334</v>
      </c>
      <c r="F45" s="46">
        <f>G45/$H$46</f>
        <v>-0.36434662088532493</v>
      </c>
      <c r="G45" s="46">
        <f t="array" ref="G45:I45">LINEST($D34:$D36,$G34:$I36,FALSE)</f>
        <v>-5.0464179452468079</v>
      </c>
      <c r="H45" s="46">
        <v>14.225794835712593</v>
      </c>
      <c r="I45" s="46">
        <v>5.350270942190761</v>
      </c>
      <c r="J45" s="97">
        <f>H46</f>
        <v>13.850596261835857</v>
      </c>
      <c r="K45" s="53" t="str">
        <f t="shared" si="30"/>
        <v>0.3862845,1.027089,-0.3643466,</v>
      </c>
      <c r="M45" s="46">
        <f t="shared" si="0"/>
        <v>12.11689012375431</v>
      </c>
      <c r="N45" s="46">
        <f t="shared" si="5"/>
        <v>42</v>
      </c>
      <c r="O45" s="50">
        <f t="shared" si="1"/>
        <v>36.643662092624353</v>
      </c>
      <c r="P45" s="50">
        <f t="shared" si="2"/>
        <v>48.760552216378663</v>
      </c>
      <c r="Q45" s="50">
        <f t="shared" si="3"/>
        <v>48.512435399496894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0.18640102742280418</v>
      </c>
      <c r="E46" s="46">
        <f>H46/$H$46</f>
        <v>1</v>
      </c>
      <c r="F46" s="46">
        <f>G46/$H$46</f>
        <v>-1.1510668403804954E-4</v>
      </c>
      <c r="G46" s="46">
        <f t="array" ref="G46:I46">LINEST($E34:$E36,$G34:$I36,FALSE)</f>
        <v>-1.5942962076497301E-3</v>
      </c>
      <c r="H46" s="46">
        <v>13.850596261835857</v>
      </c>
      <c r="I46" s="46">
        <v>2.5817653736246546</v>
      </c>
      <c r="J46" s="97"/>
      <c r="K46" s="53" t="str">
        <f t="shared" si="30"/>
        <v>0.186401,1,-1.151067E-04,</v>
      </c>
      <c r="M46" s="46">
        <f t="shared" si="0"/>
        <v>14.238795807757924</v>
      </c>
      <c r="N46" s="46">
        <f t="shared" si="5"/>
        <v>43</v>
      </c>
      <c r="O46" s="50">
        <f t="shared" si="1"/>
        <v>34.415912807318463</v>
      </c>
      <c r="P46" s="50">
        <f t="shared" si="2"/>
        <v>48.654708615076387</v>
      </c>
      <c r="Q46" s="50">
        <f t="shared" si="3"/>
        <v>48.186419158588329</v>
      </c>
    </row>
    <row r="47" spans="1:17">
      <c r="A47" s="4"/>
      <c r="B47" s="46" t="str">
        <f t="shared" si="31"/>
        <v>Z</v>
      </c>
      <c r="C47" s="79"/>
      <c r="D47" s="46">
        <f>I47/$H$46</f>
        <v>-0.56471866304396634</v>
      </c>
      <c r="E47" s="46">
        <f>H47/$H$46</f>
        <v>0.3773546773057555</v>
      </c>
      <c r="F47" s="46">
        <f>G47/$H$46</f>
        <v>1.280780846230601</v>
      </c>
      <c r="G47" s="46">
        <f t="array" ref="G47:I47">LINEST($F$31:$F$33,$G34:$I36,FALSE)</f>
        <v>17.739578401032528</v>
      </c>
      <c r="H47" s="46">
        <v>5.2265872828773734</v>
      </c>
      <c r="I47" s="46">
        <v>-7.8216902033457032</v>
      </c>
      <c r="J47" s="97"/>
      <c r="K47" s="53" t="str">
        <f t="shared" si="30"/>
        <v>-0.5647187,0.3773547,1.280781,</v>
      </c>
      <c r="M47" s="46">
        <f t="shared" si="0"/>
        <v>16.360701491761532</v>
      </c>
      <c r="N47" s="46">
        <f t="shared" si="5"/>
        <v>44</v>
      </c>
      <c r="O47" s="50">
        <f t="shared" si="1"/>
        <v>32.188163522012573</v>
      </c>
      <c r="P47" s="50">
        <f t="shared" si="2"/>
        <v>48.548865013774105</v>
      </c>
      <c r="Q47" s="50">
        <f t="shared" si="3"/>
        <v>47.860402917679764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0.38232196499232268</v>
      </c>
      <c r="E48" s="46">
        <f>H48/$H$49</f>
        <v>1.0807439698477652</v>
      </c>
      <c r="F48" s="46">
        <f>G48/$H$49</f>
        <v>-0.62105531876144027</v>
      </c>
      <c r="G48" s="46">
        <f t="array" ref="G48:I48">LINEST($D37:$D39,$G37:$I39,FALSE)</f>
        <v>-10.461249029877973</v>
      </c>
      <c r="H48" s="46">
        <v>18.204387700380096</v>
      </c>
      <c r="I48" s="46">
        <v>6.4399501373778412</v>
      </c>
      <c r="J48" s="97">
        <f>H49</f>
        <v>16.844311148869409</v>
      </c>
      <c r="K48" s="53" t="str">
        <f t="shared" si="30"/>
        <v>0.382322,1.080744,-0.6210553,</v>
      </c>
      <c r="M48" s="46">
        <f t="shared" si="0"/>
        <v>18.482607175765139</v>
      </c>
      <c r="N48" s="46">
        <f t="shared" si="5"/>
        <v>45</v>
      </c>
      <c r="O48" s="50">
        <f t="shared" si="1"/>
        <v>29.960414236706683</v>
      </c>
      <c r="P48" s="50">
        <f t="shared" si="2"/>
        <v>48.443021412471822</v>
      </c>
      <c r="Q48" s="50">
        <f t="shared" si="3"/>
        <v>47.534386676771199</v>
      </c>
    </row>
    <row r="49" spans="1:24">
      <c r="A49" s="4"/>
      <c r="B49" s="46" t="str">
        <f t="shared" si="31"/>
        <v>Y</v>
      </c>
      <c r="C49" s="79"/>
      <c r="D49" s="46">
        <f>I49/$H$49</f>
        <v>0.21823718187507288</v>
      </c>
      <c r="E49" s="46">
        <f>H49/$H$49</f>
        <v>1</v>
      </c>
      <c r="F49" s="46">
        <f>G49/$H$49</f>
        <v>-0.25099359557934686</v>
      </c>
      <c r="G49" s="46">
        <f t="array" ref="G49:I49">LINEST($E37:$E39,$G37:$I39,FALSE)</f>
        <v>-4.2278142203120117</v>
      </c>
      <c r="H49" s="46">
        <v>16.844311148869409</v>
      </c>
      <c r="I49" s="46">
        <v>3.676054995756131</v>
      </c>
      <c r="J49" s="97"/>
      <c r="K49" s="53" t="str">
        <f t="shared" si="30"/>
        <v>0.2182372,1,-0.2509936,</v>
      </c>
      <c r="M49" s="46">
        <f t="shared" si="0"/>
        <v>20.604512859768754</v>
      </c>
      <c r="N49" s="46">
        <f t="shared" si="5"/>
        <v>46</v>
      </c>
      <c r="O49" s="50">
        <f t="shared" si="1"/>
        <v>27.732664951400793</v>
      </c>
      <c r="P49" s="50">
        <f t="shared" si="2"/>
        <v>48.337177811169546</v>
      </c>
      <c r="Q49" s="50">
        <f t="shared" si="3"/>
        <v>47.208370435862633</v>
      </c>
    </row>
    <row r="50" spans="1:24">
      <c r="A50" s="4"/>
      <c r="B50" s="46" t="str">
        <f t="shared" si="31"/>
        <v>Z</v>
      </c>
      <c r="C50" s="79"/>
      <c r="D50" s="46">
        <f>I50/$H$49</f>
        <v>-0.43837224527526414</v>
      </c>
      <c r="E50" s="46">
        <f>H50/$H$49</f>
        <v>0.19626017401459048</v>
      </c>
      <c r="F50" s="46">
        <f>G50/$H$49</f>
        <v>1.1810425297750262</v>
      </c>
      <c r="G50" s="46">
        <f t="array" ref="G50:I50">LINEST($F$31:$F$33,$G37:$I39,FALSE)</f>
        <v>19.893847851578403</v>
      </c>
      <c r="H50" s="46">
        <v>3.3058674372330166</v>
      </c>
      <c r="I50" s="46">
        <v>-7.3840784984450467</v>
      </c>
      <c r="J50" s="97"/>
      <c r="K50" s="54" t="str">
        <f t="shared" si="30"/>
        <v>-0.4383723,0.1962602,1.181043,</v>
      </c>
      <c r="M50" s="46">
        <f t="shared" si="0"/>
        <v>22.726418543772368</v>
      </c>
      <c r="N50" s="46">
        <f t="shared" si="5"/>
        <v>47</v>
      </c>
      <c r="O50" s="50">
        <f t="shared" si="1"/>
        <v>25.504915666094902</v>
      </c>
      <c r="P50" s="50">
        <f t="shared" si="2"/>
        <v>48.231334209867271</v>
      </c>
      <c r="Q50" s="50">
        <f t="shared" si="3"/>
        <v>46.882354194954075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0.37399829530611894</v>
      </c>
      <c r="E51" s="46">
        <f t="shared" ref="E51:F51" si="32">(E42+E45+E48)/3</f>
        <v>1.0456246688921456</v>
      </c>
      <c r="F51" s="46">
        <f t="shared" si="32"/>
        <v>-0.41973020219381568</v>
      </c>
      <c r="J51" s="97">
        <f>(J42+J45+J48)/3</f>
        <v>14.691022118416571</v>
      </c>
      <c r="M51" s="46">
        <f t="shared" si="0"/>
        <v>24.848324227775962</v>
      </c>
      <c r="N51" s="46">
        <f t="shared" si="5"/>
        <v>48</v>
      </c>
      <c r="O51" s="50">
        <f t="shared" si="1"/>
        <v>23.277166380789026</v>
      </c>
      <c r="P51" s="50">
        <f t="shared" si="2"/>
        <v>48.125490608564988</v>
      </c>
      <c r="Q51" s="50">
        <f t="shared" si="3"/>
        <v>46.556337954045503</v>
      </c>
    </row>
    <row r="52" spans="1:24">
      <c r="B52" s="46" t="str">
        <f t="shared" si="31"/>
        <v>Y</v>
      </c>
      <c r="C52" s="79"/>
      <c r="D52" s="46">
        <f t="shared" ref="D52:F53" si="33">(D43+D46+D49)/3</f>
        <v>0.18716435720311375</v>
      </c>
      <c r="E52" s="46">
        <f t="shared" si="33"/>
        <v>1</v>
      </c>
      <c r="F52" s="46">
        <f t="shared" si="33"/>
        <v>-5.1070933447245372E-2</v>
      </c>
      <c r="J52" s="97"/>
      <c r="M52" s="46">
        <f t="shared" si="0"/>
        <v>26.970229911779576</v>
      </c>
      <c r="N52" s="46">
        <f t="shared" si="5"/>
        <v>49</v>
      </c>
      <c r="O52" s="50">
        <f t="shared" si="1"/>
        <v>21.049417095483136</v>
      </c>
      <c r="P52" s="50">
        <f t="shared" si="2"/>
        <v>48.019647007262712</v>
      </c>
      <c r="Q52" s="50">
        <f t="shared" si="3"/>
        <v>46.230321713136945</v>
      </c>
    </row>
    <row r="53" spans="1:24" ht="15.75" thickBot="1">
      <c r="B53" s="46" t="str">
        <f t="shared" si="31"/>
        <v>Z</v>
      </c>
      <c r="C53" s="79"/>
      <c r="D53" s="46">
        <f t="shared" si="33"/>
        <v>-0.52358669517659684</v>
      </c>
      <c r="E53" s="46">
        <f t="shared" si="33"/>
        <v>0.31484425473808952</v>
      </c>
      <c r="F53" s="46">
        <f t="shared" si="33"/>
        <v>1.2725700178204979</v>
      </c>
      <c r="J53" s="100"/>
      <c r="M53" s="46">
        <f t="shared" si="0"/>
        <v>29.092135595783184</v>
      </c>
      <c r="N53" s="46">
        <f t="shared" si="5"/>
        <v>50</v>
      </c>
      <c r="O53" s="50">
        <f t="shared" si="1"/>
        <v>18.821667810177246</v>
      </c>
      <c r="P53" s="50">
        <f t="shared" si="2"/>
        <v>47.913803405960429</v>
      </c>
      <c r="Q53" s="50">
        <f t="shared" si="3"/>
        <v>45.904305472228373</v>
      </c>
    </row>
    <row r="54" spans="1:24">
      <c r="B54" s="79" t="s">
        <v>14</v>
      </c>
      <c r="C54" s="79"/>
      <c r="D54" s="19">
        <f>I54/$H$55</f>
        <v>0.34665274729338963</v>
      </c>
      <c r="E54" s="20">
        <f>H54/$H$55</f>
        <v>1.0390291611286111</v>
      </c>
      <c r="F54" s="21">
        <f>G54/$H$55</f>
        <v>-0.32446400498973688</v>
      </c>
      <c r="G54" s="46">
        <f t="array" ref="G54:I54">LINEST(D$31:D$39,$G$31:$I$39,FALSE)</f>
        <v>-4.5714813308865825</v>
      </c>
      <c r="H54" s="46">
        <v>14.639227585495767</v>
      </c>
      <c r="I54" s="46">
        <v>4.8841059044512543</v>
      </c>
      <c r="J54" s="98">
        <f>H55</f>
        <v>14.089332747499013</v>
      </c>
      <c r="M54" s="46">
        <f t="shared" si="0"/>
        <v>31.214041279786798</v>
      </c>
      <c r="N54" s="46">
        <f t="shared" si="5"/>
        <v>51</v>
      </c>
      <c r="O54" s="50">
        <f t="shared" si="1"/>
        <v>16.593918524871356</v>
      </c>
      <c r="P54" s="50">
        <f t="shared" si="2"/>
        <v>47.807959804658154</v>
      </c>
      <c r="Q54" s="50">
        <f t="shared" si="3"/>
        <v>45.578289231319815</v>
      </c>
    </row>
    <row r="55" spans="1:24" ht="15" customHeight="1">
      <c r="B55" s="79"/>
      <c r="C55" s="79"/>
      <c r="D55" s="22">
        <f>I55/$H$55</f>
        <v>0.16563917808449766</v>
      </c>
      <c r="E55" s="18">
        <f>H55/$H$55</f>
        <v>1</v>
      </c>
      <c r="F55" s="23">
        <f>G55/$H$55</f>
        <v>2.8763171587297881E-2</v>
      </c>
      <c r="G55" s="46">
        <f t="array" ref="G55:I55">LINEST(E$31:E$39,$G$31:$I$39,FALSE)</f>
        <v>0.40525389536684919</v>
      </c>
      <c r="H55" s="46">
        <v>14.089332747499013</v>
      </c>
      <c r="I55" s="46">
        <v>2.3337454960547337</v>
      </c>
      <c r="J55" s="98"/>
      <c r="M55" s="46">
        <f t="shared" si="0"/>
        <v>33.335946963790406</v>
      </c>
      <c r="N55" s="46">
        <f t="shared" si="5"/>
        <v>52</v>
      </c>
      <c r="O55" s="50">
        <f t="shared" si="1"/>
        <v>14.366169239565465</v>
      </c>
      <c r="P55" s="50">
        <f t="shared" si="2"/>
        <v>47.702116203355871</v>
      </c>
      <c r="Q55" s="50">
        <f t="shared" si="3"/>
        <v>45.25227299041125</v>
      </c>
    </row>
    <row r="56" spans="1:24" ht="15" customHeight="1" thickBot="1">
      <c r="B56" s="79"/>
      <c r="C56" s="79"/>
      <c r="D56" s="24">
        <f>I56/$H$55</f>
        <v>-0.51419493021460527</v>
      </c>
      <c r="E56" s="25">
        <f>H56/$H$55</f>
        <v>0.33733473302151346</v>
      </c>
      <c r="F56" s="26">
        <f>G56/$H$55</f>
        <v>1.2604270476455361</v>
      </c>
      <c r="G56" s="46">
        <f t="array" ref="G56:I56">LINEST(F$31:F$39,$G$31:$I$39,FALSE)</f>
        <v>17.758576078225751</v>
      </c>
      <c r="H56" s="46">
        <v>4.7528213008288462</v>
      </c>
      <c r="I56" s="46">
        <v>-7.2446634688706082</v>
      </c>
      <c r="J56" s="98"/>
      <c r="M56" s="46">
        <f t="shared" si="0"/>
        <v>35.45785264779402</v>
      </c>
      <c r="N56" s="46">
        <f t="shared" si="5"/>
        <v>53</v>
      </c>
      <c r="O56" s="50">
        <f t="shared" si="1"/>
        <v>12.138419954259575</v>
      </c>
      <c r="P56" s="50">
        <f t="shared" si="2"/>
        <v>47.596272602053595</v>
      </c>
      <c r="Q56" s="50">
        <f t="shared" si="3"/>
        <v>44.926256749502684</v>
      </c>
    </row>
    <row r="57" spans="1:24">
      <c r="M57" s="46">
        <f t="shared" si="0"/>
        <v>37.579758331797628</v>
      </c>
      <c r="N57" s="46">
        <f t="shared" si="5"/>
        <v>54</v>
      </c>
      <c r="O57" s="50">
        <f t="shared" si="1"/>
        <v>9.910670668953685</v>
      </c>
      <c r="P57" s="50">
        <f t="shared" si="2"/>
        <v>47.490429000751313</v>
      </c>
      <c r="Q57" s="50">
        <f t="shared" si="3"/>
        <v>44.600240508594119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39.701664015801242</v>
      </c>
      <c r="N58" s="46">
        <f t="shared" si="5"/>
        <v>55</v>
      </c>
      <c r="O58" s="50">
        <f t="shared" si="1"/>
        <v>7.6829213836477948</v>
      </c>
      <c r="P58" s="50">
        <f t="shared" si="2"/>
        <v>47.384585399449037</v>
      </c>
      <c r="Q58" s="50">
        <f t="shared" si="3"/>
        <v>44.274224267685554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41.82356969980485</v>
      </c>
      <c r="N59" s="46">
        <f t="shared" si="5"/>
        <v>56</v>
      </c>
      <c r="O59" s="50">
        <f t="shared" si="1"/>
        <v>5.4551720983419045</v>
      </c>
      <c r="P59" s="50">
        <f t="shared" si="2"/>
        <v>47.278741798146754</v>
      </c>
      <c r="Q59" s="50">
        <f t="shared" si="3"/>
        <v>43.948208026776989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509.65</v>
      </c>
      <c r="E60" s="32">
        <f t="shared" ref="E60:E68" si="37">getCCTfromXY(D22/SUM(D22:F22),E22/SUM(D22:F22))</f>
        <v>2871</v>
      </c>
      <c r="F60" s="31">
        <f t="shared" ref="F60:F68" si="38">V60</f>
        <v>509.36360059080783</v>
      </c>
      <c r="G60" s="32">
        <f t="shared" ref="G60:G68" si="39">getCCTfromXY(U60/X60,V60/X60)</f>
        <v>2939</v>
      </c>
      <c r="H60" s="33">
        <f>F60/D60-1</f>
        <v>-5.6195312310824974E-4</v>
      </c>
      <c r="I60" s="34">
        <f t="shared" ref="I60:I68" si="40">G60/E60-1</f>
        <v>2.3685127133403094E-2</v>
      </c>
      <c r="M60" s="46">
        <f t="shared" si="0"/>
        <v>43.945475383808464</v>
      </c>
      <c r="N60" s="46">
        <f t="shared" si="5"/>
        <v>57</v>
      </c>
      <c r="O60" s="50">
        <f t="shared" si="1"/>
        <v>3.2274228130360143</v>
      </c>
      <c r="P60" s="50">
        <f t="shared" si="2"/>
        <v>47.172898196844478</v>
      </c>
      <c r="Q60" s="50">
        <f t="shared" si="3"/>
        <v>43.622191785868424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546.76225171713043</v>
      </c>
      <c r="V60" s="50">
        <f>$J$54*$J$31*($D$55*G22+$E$55*H22+$F$55*I22)</f>
        <v>509.36360059080783</v>
      </c>
      <c r="W60" s="50">
        <f>$J$54*$J$31*($D$56*G22+$E$56*H22+$F$56*I22)</f>
        <v>166.08033552847641</v>
      </c>
      <c r="X60" s="29">
        <f>SUM(U60:W60)</f>
        <v>1222.2061878364145</v>
      </c>
    </row>
    <row r="61" spans="1:24">
      <c r="A61" s="87"/>
      <c r="B61" s="48" t="str">
        <f t="shared" si="35"/>
        <v>CWF</v>
      </c>
      <c r="C61" s="93"/>
      <c r="D61" s="31">
        <f t="shared" si="36"/>
        <v>1211.5</v>
      </c>
      <c r="E61" s="32">
        <f t="shared" si="37"/>
        <v>3860</v>
      </c>
      <c r="F61" s="31">
        <f t="shared" si="38"/>
        <v>1242.3947328208437</v>
      </c>
      <c r="G61" s="32">
        <f t="shared" si="39"/>
        <v>3767</v>
      </c>
      <c r="H61" s="33">
        <f t="shared" ref="H61:H68" si="41">F61/D61-1</f>
        <v>2.550122395447274E-2</v>
      </c>
      <c r="I61" s="34">
        <f t="shared" si="40"/>
        <v>-2.4093264248704616E-2</v>
      </c>
      <c r="M61" s="46">
        <f t="shared" si="0"/>
        <v>46.067381067812072</v>
      </c>
      <c r="N61" s="46">
        <f t="shared" si="5"/>
        <v>58</v>
      </c>
      <c r="O61" s="50">
        <f t="shared" si="1"/>
        <v>0.99967352773012408</v>
      </c>
      <c r="P61" s="50">
        <f t="shared" si="2"/>
        <v>47.067054595542196</v>
      </c>
      <c r="Q61" s="50">
        <f t="shared" si="3"/>
        <v>43.296175544959866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1239.7612958199607</v>
      </c>
      <c r="V61" s="50">
        <f>$J$54*$J$31*($D$55*G23+$E$55*H23+$F$55*I23)</f>
        <v>1242.3947328208437</v>
      </c>
      <c r="W61" s="50">
        <f>$J$54*$J$31*($D$56*G23+$E$56*H23+$F$56*I23)</f>
        <v>642.40921971870716</v>
      </c>
      <c r="X61" s="29">
        <f t="shared" ref="X61:X68" si="43">SUM(U61:W61)</f>
        <v>3124.5652483595113</v>
      </c>
    </row>
    <row r="62" spans="1:24">
      <c r="A62" s="87"/>
      <c r="B62" s="48" t="str">
        <f t="shared" si="35"/>
        <v>D65</v>
      </c>
      <c r="C62" s="93"/>
      <c r="D62" s="31">
        <f t="shared" si="36"/>
        <v>584.29999999999995</v>
      </c>
      <c r="E62" s="32">
        <f t="shared" si="37"/>
        <v>6243</v>
      </c>
      <c r="F62" s="31">
        <f t="shared" si="38"/>
        <v>588.32838023600436</v>
      </c>
      <c r="G62" s="32">
        <f t="shared" si="39"/>
        <v>6052</v>
      </c>
      <c r="H62" s="33">
        <f t="shared" si="41"/>
        <v>6.8943697347327859E-3</v>
      </c>
      <c r="I62" s="34">
        <f t="shared" si="40"/>
        <v>-3.0594265577446711E-2</v>
      </c>
      <c r="M62" s="46">
        <f t="shared" si="0"/>
        <v>48.189286751815686</v>
      </c>
      <c r="N62" s="46">
        <f t="shared" si="5"/>
        <v>59</v>
      </c>
      <c r="O62" s="50">
        <f t="shared" si="1"/>
        <v>-1.2280757575757661</v>
      </c>
      <c r="P62" s="50">
        <f t="shared" si="2"/>
        <v>46.96121099423992</v>
      </c>
      <c r="Q62" s="50">
        <f t="shared" si="3"/>
        <v>42.970159304051293</v>
      </c>
      <c r="R62" s="78"/>
      <c r="S62" s="46" t="str">
        <f t="shared" si="42"/>
        <v>D65</v>
      </c>
      <c r="T62" s="79"/>
      <c r="U62" s="50">
        <f>$J$54*$J$31*($D$54*G24+$E$54*H24+$F$54*I24)</f>
        <v>525.10544150430962</v>
      </c>
      <c r="V62" s="50">
        <f>$J$54*$J$31*($D$55*G24+$E$55*H24+$F$55*I24)</f>
        <v>588.32838023600436</v>
      </c>
      <c r="W62" s="50">
        <f>$J$54*$J$31*($D$56*G24+$E$56*H24+$F$56*I24)</f>
        <v>521.2742962596235</v>
      </c>
      <c r="X62" s="29">
        <f t="shared" si="43"/>
        <v>1634.7081179999375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509.65</v>
      </c>
      <c r="E63" s="32">
        <f t="shared" si="37"/>
        <v>2871</v>
      </c>
      <c r="F63" s="31">
        <f t="shared" si="38"/>
        <v>509.9192332165706</v>
      </c>
      <c r="G63" s="32">
        <f t="shared" si="39"/>
        <v>3118</v>
      </c>
      <c r="H63" s="33">
        <f t="shared" si="41"/>
        <v>5.2827080657436021E-4</v>
      </c>
      <c r="I63" s="34">
        <f t="shared" si="40"/>
        <v>8.6032741205154917E-2</v>
      </c>
      <c r="M63" s="46">
        <f t="shared" si="0"/>
        <v>50.311192435819294</v>
      </c>
      <c r="N63" s="46">
        <f t="shared" si="5"/>
        <v>60</v>
      </c>
      <c r="O63" s="50">
        <f t="shared" si="1"/>
        <v>-3.4558250428816564</v>
      </c>
      <c r="P63" s="50">
        <f t="shared" si="2"/>
        <v>46.855367392937637</v>
      </c>
      <c r="Q63" s="50">
        <f t="shared" si="3"/>
        <v>42.644143063142735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538.94831426929215</v>
      </c>
      <c r="V63" s="50">
        <f>$J$54*$J$34*($D$55*G25+$E$55*H25+$F$55*I25)</f>
        <v>509.9192332165706</v>
      </c>
      <c r="W63" s="50">
        <f>$J$54*$J$34*($D$56*G25+$E$56*H25+$F$56*I25)</f>
        <v>194.51317719171468</v>
      </c>
      <c r="X63" s="29">
        <f t="shared" si="43"/>
        <v>1243.3807246775775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1211.5</v>
      </c>
      <c r="E64" s="32">
        <f t="shared" si="37"/>
        <v>3860</v>
      </c>
      <c r="F64" s="31">
        <f t="shared" si="38"/>
        <v>1230.8819220434211</v>
      </c>
      <c r="G64" s="32">
        <f t="shared" si="39"/>
        <v>3833</v>
      </c>
      <c r="H64" s="33">
        <f t="shared" si="41"/>
        <v>1.599828480678589E-2</v>
      </c>
      <c r="I64" s="34">
        <f t="shared" si="40"/>
        <v>-6.994818652849788E-3</v>
      </c>
      <c r="M64" s="46">
        <f t="shared" si="0"/>
        <v>52.433098119822908</v>
      </c>
      <c r="N64" s="46">
        <f t="shared" si="5"/>
        <v>61</v>
      </c>
      <c r="O64" s="50">
        <f t="shared" si="1"/>
        <v>-5.6835743281875466</v>
      </c>
      <c r="P64" s="50">
        <f t="shared" si="2"/>
        <v>46.749523791635362</v>
      </c>
      <c r="Q64" s="50">
        <f t="shared" si="3"/>
        <v>42.318126822234163</v>
      </c>
      <c r="R64" s="78"/>
      <c r="S64" s="46" t="str">
        <f t="shared" si="42"/>
        <v>CWF</v>
      </c>
      <c r="T64" s="79"/>
      <c r="U64" s="50">
        <f>$J$54*$J$34*($D$54*G26+$E$54*H26+$F$54*I26)</f>
        <v>1223.172869137893</v>
      </c>
      <c r="V64" s="50">
        <f>$J$54*$J$34*($D$55*G26+$E$55*H26+$F$55*I26)</f>
        <v>1230.8819220434211</v>
      </c>
      <c r="W64" s="50">
        <f>$J$54*$J$34*($D$56*G26+$E$56*H26+$F$56*I26)</f>
        <v>654.54377548102127</v>
      </c>
      <c r="X64" s="29">
        <f t="shared" si="43"/>
        <v>3108.5985666623355</v>
      </c>
    </row>
    <row r="65" spans="1:24">
      <c r="A65" s="87"/>
      <c r="B65" s="48" t="str">
        <f t="shared" si="35"/>
        <v>D65</v>
      </c>
      <c r="C65" s="93"/>
      <c r="D65" s="31">
        <f t="shared" si="36"/>
        <v>584.29999999999995</v>
      </c>
      <c r="E65" s="32">
        <f t="shared" si="37"/>
        <v>6243</v>
      </c>
      <c r="F65" s="31">
        <f t="shared" si="38"/>
        <v>598.8405400132018</v>
      </c>
      <c r="G65" s="32">
        <f t="shared" si="39"/>
        <v>6055</v>
      </c>
      <c r="H65" s="33">
        <f t="shared" si="41"/>
        <v>2.4885401357525039E-2</v>
      </c>
      <c r="I65" s="34">
        <f t="shared" si="40"/>
        <v>-3.0113727374659671E-2</v>
      </c>
      <c r="M65" s="46">
        <f t="shared" si="0"/>
        <v>54.555003803826523</v>
      </c>
      <c r="N65" s="46">
        <f t="shared" si="5"/>
        <v>62</v>
      </c>
      <c r="O65" s="50">
        <f t="shared" si="1"/>
        <v>-7.9113236134934368</v>
      </c>
      <c r="P65" s="50">
        <f t="shared" si="2"/>
        <v>46.643680190333086</v>
      </c>
      <c r="Q65" s="50">
        <f t="shared" si="3"/>
        <v>41.992110581325605</v>
      </c>
      <c r="R65" s="78"/>
      <c r="S65" s="46" t="str">
        <f t="shared" si="42"/>
        <v>D65</v>
      </c>
      <c r="T65" s="79"/>
      <c r="U65" s="50">
        <f>$J$54*$J$34*($D$54*G27+$E$54*H27+$F$54*I27)</f>
        <v>534.42677395373721</v>
      </c>
      <c r="V65" s="50">
        <f>$J$54*$J$34*($D$55*G27+$E$55*H27+$F$55*I27)</f>
        <v>598.8405400132018</v>
      </c>
      <c r="W65" s="50">
        <f>$J$54*$J$34*($D$56*G27+$E$56*H27+$F$56*I27)</f>
        <v>530.76613807667081</v>
      </c>
      <c r="X65" s="29">
        <f t="shared" si="43"/>
        <v>1664.0334520436099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509.65</v>
      </c>
      <c r="E66" s="32">
        <f t="shared" si="37"/>
        <v>2871</v>
      </c>
      <c r="F66" s="31">
        <f t="shared" si="38"/>
        <v>513.32179261613669</v>
      </c>
      <c r="G66" s="32">
        <f t="shared" si="39"/>
        <v>2630</v>
      </c>
      <c r="H66" s="33">
        <f t="shared" si="41"/>
        <v>7.2045376555218699E-3</v>
      </c>
      <c r="I66" s="34">
        <f t="shared" si="40"/>
        <v>-8.3942877046325304E-2</v>
      </c>
      <c r="M66" s="46">
        <f t="shared" si="0"/>
        <v>56.67690948783013</v>
      </c>
      <c r="N66" s="46">
        <f t="shared" si="5"/>
        <v>63</v>
      </c>
      <c r="O66" s="50">
        <f t="shared" si="1"/>
        <v>-10.139072898799327</v>
      </c>
      <c r="P66" s="50">
        <f t="shared" si="2"/>
        <v>46.537836589030803</v>
      </c>
      <c r="Q66" s="50">
        <f t="shared" si="3"/>
        <v>41.66609434041704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568.54331037973839</v>
      </c>
      <c r="V66" s="50">
        <f>$J$54*$J$37*($D$55*G28+$E$55*H28+$F$55*I28)</f>
        <v>513.32179261613669</v>
      </c>
      <c r="W66" s="50">
        <f>$J$54*$J$37*($D$56*G28+$E$56*H28+$F$56*I28)</f>
        <v>110.9743107151907</v>
      </c>
      <c r="X66" s="29">
        <f t="shared" si="43"/>
        <v>1192.8394137110658</v>
      </c>
    </row>
    <row r="67" spans="1:24">
      <c r="A67" s="87"/>
      <c r="B67" s="48" t="str">
        <f t="shared" si="35"/>
        <v>CWF</v>
      </c>
      <c r="C67" s="93"/>
      <c r="D67" s="31">
        <f t="shared" si="36"/>
        <v>1211.5</v>
      </c>
      <c r="E67" s="32">
        <f t="shared" si="37"/>
        <v>3860</v>
      </c>
      <c r="F67" s="31">
        <f t="shared" si="38"/>
        <v>1142.8226593242675</v>
      </c>
      <c r="G67" s="32">
        <f t="shared" si="39"/>
        <v>4069</v>
      </c>
      <c r="H67" s="33">
        <f t="shared" si="41"/>
        <v>-5.6687858585004136E-2</v>
      </c>
      <c r="I67" s="34">
        <f t="shared" si="40"/>
        <v>5.4145077720207269E-2</v>
      </c>
      <c r="R67" s="78"/>
      <c r="S67" s="46" t="str">
        <f t="shared" si="42"/>
        <v>CWF</v>
      </c>
      <c r="T67" s="79"/>
      <c r="U67" s="50">
        <f>$J$54*$J$37*($D$54*G29+$E$54*H29+$F$54*I29)</f>
        <v>1119.8833969712566</v>
      </c>
      <c r="V67" s="50">
        <f>$J$54*$J$37*($D$55*G29+$E$55*H29+$F$55*I29)</f>
        <v>1142.8226593242675</v>
      </c>
      <c r="W67" s="50">
        <f>$J$54*$J$37*($D$56*G29+$E$56*H29+$F$56*I29)</f>
        <v>665.04244422821455</v>
      </c>
      <c r="X67" s="29">
        <f t="shared" si="43"/>
        <v>2927.7485005237386</v>
      </c>
    </row>
    <row r="68" spans="1:24">
      <c r="A68" s="87"/>
      <c r="B68" s="48" t="str">
        <f t="shared" si="35"/>
        <v>D65</v>
      </c>
      <c r="C68" s="93"/>
      <c r="D68" s="31">
        <f t="shared" si="36"/>
        <v>584.29999999999995</v>
      </c>
      <c r="E68" s="32">
        <f t="shared" si="37"/>
        <v>6243</v>
      </c>
      <c r="F68" s="31">
        <f t="shared" si="38"/>
        <v>589.88081909404934</v>
      </c>
      <c r="G68" s="32">
        <f t="shared" si="39"/>
        <v>6039</v>
      </c>
      <c r="H68" s="33">
        <f t="shared" si="41"/>
        <v>9.5512905939574289E-3</v>
      </c>
      <c r="I68" s="34">
        <f t="shared" si="40"/>
        <v>-3.2676597789524253E-2</v>
      </c>
      <c r="R68" s="78"/>
      <c r="S68" s="46" t="str">
        <f t="shared" si="42"/>
        <v>D65</v>
      </c>
      <c r="T68" s="79"/>
      <c r="U68" s="50">
        <f>$J$54*$J$37*($D$54*G30+$E$54*H30+$F$54*I30)</f>
        <v>526.59233807601436</v>
      </c>
      <c r="V68" s="50">
        <f>$J$54*$J$37*($D$55*G30+$E$55*H30+$F$55*I30)</f>
        <v>589.88081909404934</v>
      </c>
      <c r="W68" s="50">
        <f>$J$54*$J$37*($D$56*G30+$E$56*H30+$F$56*I30)</f>
        <v>521.45979430726857</v>
      </c>
      <c r="X68" s="29">
        <f t="shared" si="43"/>
        <v>1637.9329514773322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5.6687858585004136E-2</v>
      </c>
      <c r="G69" s="47"/>
      <c r="H69" s="36" t="str">
        <f>I59</f>
        <v>CCT</v>
      </c>
      <c r="I69" s="38">
        <f>MAX(MAX(I60:I68,-MIN(I60:I68)))</f>
        <v>8.6032741205154917E-2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509.65</v>
      </c>
      <c r="E72" s="31">
        <f t="shared" ref="E72:E80" si="47">E60</f>
        <v>2871</v>
      </c>
      <c r="F72" s="31">
        <f t="shared" ref="F72:F80" si="48">V72</f>
        <v>512.61153416798925</v>
      </c>
      <c r="G72" s="32">
        <f t="shared" ref="G72:G80" si="49">getCCTfromXY(U72/X72,V72/X72)</f>
        <v>2904</v>
      </c>
      <c r="H72" s="33">
        <f>F72/D72-1</f>
        <v>5.810917625800549E-3</v>
      </c>
      <c r="I72" s="34">
        <f t="shared" ref="I72:I80" si="50">G72/E72-1</f>
        <v>1.1494252873563315E-2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552.14491138304743</v>
      </c>
      <c r="V72" s="50">
        <f>$J$51*$J$31*($D$52*G22+$E$52*H22+$F$52*I22)</f>
        <v>512.61153416798925</v>
      </c>
      <c r="W72" s="50">
        <f>$J$51*$J$31*($D$53*G22+$E$53*H22+$F$53*I22)</f>
        <v>161.37374749347606</v>
      </c>
      <c r="X72" s="29">
        <f>SUM(U72:W72)</f>
        <v>1226.1301930445127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1211.5</v>
      </c>
      <c r="E73" s="31">
        <f t="shared" si="47"/>
        <v>3860</v>
      </c>
      <c r="F73" s="31">
        <f t="shared" si="48"/>
        <v>1266.1564372151799</v>
      </c>
      <c r="G73" s="32">
        <f t="shared" si="49"/>
        <v>3727</v>
      </c>
      <c r="H73" s="33">
        <f t="shared" ref="H73:H80" si="52">F73/D73-1</f>
        <v>4.5114681977036719E-2</v>
      </c>
      <c r="I73" s="34">
        <f t="shared" si="50"/>
        <v>-3.4455958549222787E-2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1266.7232380338219</v>
      </c>
      <c r="V73" s="50">
        <f t="shared" ref="V73:V74" si="55">$J$51*$J$31*($D$52*G23+$E$52*H23+$F$52*I23)</f>
        <v>1266.1564372151799</v>
      </c>
      <c r="W73" s="50">
        <f t="shared" ref="W73:W74" si="56">$J$51*$J$31*($D$53*G23+$E$53*H23+$F$53*I23)</f>
        <v>643.24757244357897</v>
      </c>
      <c r="X73" s="29">
        <f t="shared" ref="X73:X80" si="57">SUM(U73:W73)</f>
        <v>3176.1272476925806</v>
      </c>
    </row>
    <row r="74" spans="1:24">
      <c r="A74" s="87"/>
      <c r="B74" s="48" t="str">
        <f t="shared" si="46"/>
        <v>X</v>
      </c>
      <c r="C74" s="93"/>
      <c r="D74" s="31">
        <f t="shared" si="51"/>
        <v>584.29999999999995</v>
      </c>
      <c r="E74" s="31">
        <f t="shared" si="47"/>
        <v>6243</v>
      </c>
      <c r="F74" s="31">
        <f t="shared" si="48"/>
        <v>585.7015191089738</v>
      </c>
      <c r="G74" s="32">
        <f t="shared" si="49"/>
        <v>6260</v>
      </c>
      <c r="H74" s="33">
        <f t="shared" si="52"/>
        <v>2.398629315375489E-3</v>
      </c>
      <c r="I74" s="34">
        <f t="shared" si="50"/>
        <v>2.7230498157937433E-3</v>
      </c>
      <c r="R74" s="78"/>
      <c r="S74" s="46" t="str">
        <f t="shared" si="53"/>
        <v>D65</v>
      </c>
      <c r="T74" s="79"/>
      <c r="U74" s="50">
        <f t="shared" si="54"/>
        <v>518.61178646787926</v>
      </c>
      <c r="V74" s="50">
        <f t="shared" si="55"/>
        <v>585.7015191089738</v>
      </c>
      <c r="W74" s="50">
        <f t="shared" si="56"/>
        <v>533.24940276363452</v>
      </c>
      <c r="X74" s="29">
        <f t="shared" si="57"/>
        <v>1637.5627083404875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509.65</v>
      </c>
      <c r="E75" s="31">
        <f t="shared" si="47"/>
        <v>2871</v>
      </c>
      <c r="F75" s="31">
        <f t="shared" si="48"/>
        <v>511.77320362785287</v>
      </c>
      <c r="G75" s="32">
        <f t="shared" si="49"/>
        <v>3090</v>
      </c>
      <c r="H75" s="33">
        <f t="shared" si="52"/>
        <v>4.1660033902735094E-3</v>
      </c>
      <c r="I75" s="34">
        <f t="shared" si="50"/>
        <v>7.6280041797283094E-2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542.28995179263245</v>
      </c>
      <c r="V75" s="50">
        <f>$J$51*$J$34*($D$52*G25+$E$52*H25+$F$52*I25)</f>
        <v>511.77320362785287</v>
      </c>
      <c r="W75" s="50">
        <f>$J$51*$J$34*($D$53*G25+$E$53*H25+$F$53*I25)</f>
        <v>191.30389278408009</v>
      </c>
      <c r="X75" s="29">
        <f t="shared" si="57"/>
        <v>1245.3670482045654</v>
      </c>
    </row>
    <row r="76" spans="1:24">
      <c r="A76" s="87"/>
      <c r="B76" s="48" t="str">
        <f t="shared" si="46"/>
        <v>Z</v>
      </c>
      <c r="C76" s="93"/>
      <c r="D76" s="31">
        <f t="shared" si="51"/>
        <v>1211.5</v>
      </c>
      <c r="E76" s="31">
        <f t="shared" si="47"/>
        <v>3860</v>
      </c>
      <c r="F76" s="31">
        <f t="shared" si="48"/>
        <v>1253.1905268922158</v>
      </c>
      <c r="G76" s="32">
        <f t="shared" si="49"/>
        <v>3797</v>
      </c>
      <c r="H76" s="33">
        <f t="shared" si="52"/>
        <v>3.4412321000590884E-2</v>
      </c>
      <c r="I76" s="34">
        <f t="shared" si="50"/>
        <v>-1.6321243523316098E-2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1248.19401413639</v>
      </c>
      <c r="V76" s="50">
        <f t="shared" ref="V76:V77" si="59">$J$51*$J$34*($D$52*G26+$E$52*H26+$F$52*I26)</f>
        <v>1253.1905268922158</v>
      </c>
      <c r="W76" s="50">
        <f t="shared" ref="W76:W77" si="60">$J$51*$J$34*($D$53*G26+$E$53*H26+$F$53*I26)</f>
        <v>656.33997316821569</v>
      </c>
      <c r="X76" s="29">
        <f t="shared" si="57"/>
        <v>3157.7245141968215</v>
      </c>
    </row>
    <row r="77" spans="1:24">
      <c r="A77" s="87"/>
      <c r="B77" s="48" t="str">
        <f t="shared" si="46"/>
        <v>X</v>
      </c>
      <c r="C77" s="93"/>
      <c r="D77" s="31">
        <f t="shared" si="51"/>
        <v>584.29999999999995</v>
      </c>
      <c r="E77" s="31">
        <f t="shared" si="47"/>
        <v>6243</v>
      </c>
      <c r="F77" s="31">
        <f t="shared" si="48"/>
        <v>596.16774311932227</v>
      </c>
      <c r="G77" s="32">
        <f t="shared" si="49"/>
        <v>6263</v>
      </c>
      <c r="H77" s="33">
        <f t="shared" si="52"/>
        <v>2.0311044188468852E-2</v>
      </c>
      <c r="I77" s="34">
        <f t="shared" si="50"/>
        <v>3.203588018580783E-3</v>
      </c>
      <c r="R77" s="78"/>
      <c r="S77" s="46" t="str">
        <f t="shared" si="53"/>
        <v>D65</v>
      </c>
      <c r="T77" s="79"/>
      <c r="U77" s="50">
        <f t="shared" si="58"/>
        <v>527.81522993290537</v>
      </c>
      <c r="V77" s="50">
        <f t="shared" si="59"/>
        <v>596.16774311932227</v>
      </c>
      <c r="W77" s="50">
        <f t="shared" si="60"/>
        <v>542.96456161500475</v>
      </c>
      <c r="X77" s="29">
        <f t="shared" si="57"/>
        <v>1666.9475346672325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509.65</v>
      </c>
      <c r="E78" s="31">
        <f t="shared" si="47"/>
        <v>2871</v>
      </c>
      <c r="F78" s="31">
        <f t="shared" si="48"/>
        <v>518.50125783468263</v>
      </c>
      <c r="G78" s="32">
        <f t="shared" si="49"/>
        <v>2587</v>
      </c>
      <c r="H78" s="33">
        <f t="shared" si="52"/>
        <v>1.7367326272309747E-2</v>
      </c>
      <c r="I78" s="34">
        <f t="shared" si="50"/>
        <v>-9.8920236851271381E-2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577.05994896063135</v>
      </c>
      <c r="V78" s="50">
        <f>$J$51*$J$37*($D$52*G28+$E$52*H28+$F$52*I28)</f>
        <v>518.50125783468263</v>
      </c>
      <c r="W78" s="50">
        <f>$J$51*$J$37*($D$53*G28+$E$53*H28+$F$53*I28)</f>
        <v>103.24164207128075</v>
      </c>
      <c r="X78" s="29">
        <f t="shared" si="57"/>
        <v>1198.8028488665946</v>
      </c>
    </row>
    <row r="79" spans="1:24">
      <c r="A79" s="87"/>
      <c r="B79" s="48" t="str">
        <f t="shared" si="46"/>
        <v>Z</v>
      </c>
      <c r="C79" s="93"/>
      <c r="D79" s="31">
        <f t="shared" si="51"/>
        <v>1211.5</v>
      </c>
      <c r="E79" s="31">
        <f t="shared" si="47"/>
        <v>3860</v>
      </c>
      <c r="F79" s="31">
        <f t="shared" si="48"/>
        <v>1159.1736693762848</v>
      </c>
      <c r="G79" s="32">
        <f t="shared" si="49"/>
        <v>4049</v>
      </c>
      <c r="H79" s="33">
        <f t="shared" si="52"/>
        <v>-4.3191358335712082E-2</v>
      </c>
      <c r="I79" s="34">
        <f t="shared" si="50"/>
        <v>4.8963730569948183E-2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1137.2444127119741</v>
      </c>
      <c r="V79" s="50">
        <f t="shared" ref="V79:V80" si="62">$J$51*$J$37*($D$52*G29+$E$52*H29+$F$52*I29)</f>
        <v>1159.1736693762848</v>
      </c>
      <c r="W79" s="50">
        <f t="shared" ref="W79:W80" si="63">$J$51*$J$37*($D$53*G29+$E$53*H29+$F$53*I29)</f>
        <v>669.77549320584853</v>
      </c>
      <c r="X79" s="29">
        <f t="shared" si="57"/>
        <v>2966.1935752941072</v>
      </c>
    </row>
    <row r="80" spans="1:24">
      <c r="A80" s="87"/>
      <c r="B80" s="48" t="str">
        <f t="shared" si="46"/>
        <v>X</v>
      </c>
      <c r="C80" s="93"/>
      <c r="D80" s="31">
        <f t="shared" si="51"/>
        <v>584.29999999999995</v>
      </c>
      <c r="E80" s="31">
        <f t="shared" si="47"/>
        <v>6243</v>
      </c>
      <c r="F80" s="31">
        <f t="shared" si="48"/>
        <v>587.60656124152297</v>
      </c>
      <c r="G80" s="32">
        <f t="shared" si="49"/>
        <v>6241</v>
      </c>
      <c r="H80" s="33">
        <f t="shared" si="52"/>
        <v>5.6590129069364892E-3</v>
      </c>
      <c r="I80" s="34">
        <f t="shared" si="50"/>
        <v>-3.2035880185810051E-4</v>
      </c>
      <c r="R80" s="78"/>
      <c r="S80" s="46" t="str">
        <f t="shared" si="53"/>
        <v>D65</v>
      </c>
      <c r="T80" s="79"/>
      <c r="U80" s="50">
        <f t="shared" si="61"/>
        <v>520.50603108663483</v>
      </c>
      <c r="V80" s="50">
        <f t="shared" si="62"/>
        <v>587.60656124152297</v>
      </c>
      <c r="W80" s="50">
        <f t="shared" si="63"/>
        <v>533.39991610585093</v>
      </c>
      <c r="X80" s="29">
        <f t="shared" si="57"/>
        <v>1641.5125084340089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4.5114681977036719E-2</v>
      </c>
      <c r="G81" s="47"/>
      <c r="H81" s="36" t="str">
        <f>I71</f>
        <v>CCT</v>
      </c>
      <c r="I81" s="38">
        <f>MAX(MAX(I72:I80,-MIN(I72:I80)))</f>
        <v>9.8920236851271381E-2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509.65</v>
      </c>
      <c r="E84" s="31">
        <f t="shared" ref="E84:E92" si="67">E72</f>
        <v>2871</v>
      </c>
      <c r="F84" s="31">
        <f t="shared" ref="F84:F92" si="68">V84</f>
        <v>509.64999999999992</v>
      </c>
      <c r="G84" s="32">
        <f t="shared" ref="G84:G92" si="69">getCCTfromXY(U84/X84,V84/X84)</f>
        <v>2871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550.70000000000005</v>
      </c>
      <c r="V84" s="50">
        <f>$J$42*$J$31*($D$43*G22+$E$43*H22+$F$43*I22)</f>
        <v>509.64999999999992</v>
      </c>
      <c r="W84" s="50">
        <f>$J$42*$J$31*($D$44*G22+$E$44*H22+$F$44*I22)</f>
        <v>155.0500000000003</v>
      </c>
      <c r="X84" s="29">
        <f>SUM(U84:W84)</f>
        <v>1215.4000000000001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1211.5</v>
      </c>
      <c r="E85" s="31">
        <f t="shared" si="67"/>
        <v>3860</v>
      </c>
      <c r="F85" s="31">
        <f t="shared" si="68"/>
        <v>1211.5000000000002</v>
      </c>
      <c r="G85" s="32">
        <f t="shared" si="69"/>
        <v>3860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1202.0000000000002</v>
      </c>
      <c r="V85" s="50">
        <f t="shared" ref="V85:V86" si="75">$J$42*$J$31*($D$43*G23+$E$43*H23+$F$43*I23)</f>
        <v>1211.5000000000002</v>
      </c>
      <c r="W85" s="50">
        <f t="shared" ref="W85:W86" si="76">$J$42*$J$31*($D$44*G23+$E$44*H23+$F$44*I23)</f>
        <v>651.50000000000023</v>
      </c>
      <c r="X85" s="29">
        <f t="shared" ref="X85:X92" si="77">SUM(U85:W85)</f>
        <v>3065.0000000000009</v>
      </c>
    </row>
    <row r="86" spans="1:24">
      <c r="A86" s="87"/>
      <c r="B86" s="48">
        <f t="shared" si="66"/>
        <v>0</v>
      </c>
      <c r="C86" s="93"/>
      <c r="D86" s="31">
        <f t="shared" si="71"/>
        <v>584.29999999999995</v>
      </c>
      <c r="E86" s="31">
        <f t="shared" si="67"/>
        <v>6243</v>
      </c>
      <c r="F86" s="31">
        <f t="shared" si="68"/>
        <v>584.29999999999995</v>
      </c>
      <c r="G86" s="32">
        <f t="shared" si="69"/>
        <v>6243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517.65000000000009</v>
      </c>
      <c r="V86" s="50">
        <f t="shared" si="75"/>
        <v>584.29999999999995</v>
      </c>
      <c r="W86" s="50">
        <f t="shared" si="76"/>
        <v>530.75</v>
      </c>
      <c r="X86" s="29">
        <f t="shared" si="77"/>
        <v>1632.7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509.65</v>
      </c>
      <c r="E87" s="31">
        <f t="shared" si="67"/>
        <v>2871</v>
      </c>
      <c r="F87" s="31">
        <f t="shared" si="68"/>
        <v>509.64999999999981</v>
      </c>
      <c r="G87" s="32">
        <f t="shared" si="69"/>
        <v>2871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550.70000000000016</v>
      </c>
      <c r="V87" s="50">
        <f>$J$45*$J$34*($D$46*G25+$E$46*H25+$F$46*I25)</f>
        <v>509.64999999999981</v>
      </c>
      <c r="W87" s="50">
        <f>$J$45*$J$34*($D$47*G25+$E$47*H25+$F$47*I25)</f>
        <v>155.04999999999995</v>
      </c>
      <c r="X87" s="29">
        <f t="shared" si="77"/>
        <v>1215.3999999999999</v>
      </c>
    </row>
    <row r="88" spans="1:24">
      <c r="A88" s="87"/>
      <c r="B88" s="48">
        <f t="shared" si="66"/>
        <v>0</v>
      </c>
      <c r="C88" s="93"/>
      <c r="D88" s="31">
        <f t="shared" si="71"/>
        <v>1211.5</v>
      </c>
      <c r="E88" s="31">
        <f t="shared" si="67"/>
        <v>3860</v>
      </c>
      <c r="F88" s="31">
        <f t="shared" si="68"/>
        <v>1211.5000000000002</v>
      </c>
      <c r="G88" s="32">
        <f t="shared" si="69"/>
        <v>3860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1202.0000000000002</v>
      </c>
      <c r="V88" s="50">
        <f t="shared" ref="V88:V89" si="79">$J$45*$J$34*($D$46*G26+$E$46*H26+$F$46*I26)</f>
        <v>1211.5000000000002</v>
      </c>
      <c r="W88" s="50">
        <f t="shared" ref="W88:W89" si="80">$J$45*$J$34*($D$47*G26+$E$47*H26+$F$47*I26)</f>
        <v>651.5</v>
      </c>
      <c r="X88" s="29">
        <f t="shared" si="77"/>
        <v>3065.0000000000005</v>
      </c>
    </row>
    <row r="89" spans="1:24">
      <c r="A89" s="87"/>
      <c r="B89" s="48" t="str">
        <f t="shared" si="66"/>
        <v>A</v>
      </c>
      <c r="C89" s="93"/>
      <c r="D89" s="31">
        <f t="shared" si="71"/>
        <v>584.29999999999995</v>
      </c>
      <c r="E89" s="31">
        <f t="shared" si="67"/>
        <v>6243</v>
      </c>
      <c r="F89" s="31">
        <f t="shared" si="68"/>
        <v>584.30000000000007</v>
      </c>
      <c r="G89" s="32">
        <f t="shared" si="69"/>
        <v>6243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517.65000000000009</v>
      </c>
      <c r="V89" s="50">
        <f t="shared" si="79"/>
        <v>584.30000000000007</v>
      </c>
      <c r="W89" s="50">
        <f t="shared" si="80"/>
        <v>530.75000000000011</v>
      </c>
      <c r="X89" s="29">
        <f t="shared" si="77"/>
        <v>1632.7000000000003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509.65</v>
      </c>
      <c r="E90" s="31">
        <f t="shared" si="67"/>
        <v>2871</v>
      </c>
      <c r="F90" s="31">
        <f t="shared" si="68"/>
        <v>509.65000000000026</v>
      </c>
      <c r="G90" s="32">
        <f t="shared" si="69"/>
        <v>2871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550.70000000000005</v>
      </c>
      <c r="V90" s="50">
        <f>$J$48*$J$37*($D$49*G28+$E$49*H28+$F$49*I28)</f>
        <v>509.65000000000026</v>
      </c>
      <c r="W90" s="50">
        <f>$J$48*$J$37*($D$50*G28+$E$50*H28+$F$50*I28)</f>
        <v>155.04999999999995</v>
      </c>
      <c r="X90" s="29">
        <f t="shared" si="77"/>
        <v>1215.4000000000003</v>
      </c>
    </row>
    <row r="91" spans="1:24">
      <c r="A91" s="87"/>
      <c r="B91" s="48" t="str">
        <f t="shared" si="66"/>
        <v>D65</v>
      </c>
      <c r="C91" s="93"/>
      <c r="D91" s="31">
        <f t="shared" si="71"/>
        <v>1211.5</v>
      </c>
      <c r="E91" s="31">
        <f t="shared" si="67"/>
        <v>3860</v>
      </c>
      <c r="F91" s="31">
        <f t="shared" si="68"/>
        <v>1211.4999999999998</v>
      </c>
      <c r="G91" s="32">
        <f t="shared" si="69"/>
        <v>3860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1201.9999999999995</v>
      </c>
      <c r="V91" s="50">
        <f t="shared" ref="V91:V92" si="82">$J$48*$J$37*($D$49*G29+$E$49*H29+$F$49*I29)</f>
        <v>1211.4999999999998</v>
      </c>
      <c r="W91" s="50">
        <f t="shared" ref="W91:W92" si="83">$J$48*$J$37*($D$50*G29+$E$50*H29+$F$50*I29)</f>
        <v>651.50000000000011</v>
      </c>
      <c r="X91" s="29">
        <f t="shared" si="77"/>
        <v>3064.9999999999991</v>
      </c>
    </row>
    <row r="92" spans="1:24">
      <c r="A92" s="87"/>
      <c r="B92" s="48" t="str">
        <f t="shared" si="66"/>
        <v>A</v>
      </c>
      <c r="C92" s="93"/>
      <c r="D92" s="31">
        <f t="shared" si="71"/>
        <v>584.29999999999995</v>
      </c>
      <c r="E92" s="31">
        <f t="shared" si="67"/>
        <v>6243</v>
      </c>
      <c r="F92" s="31">
        <f t="shared" si="68"/>
        <v>584.30000000000007</v>
      </c>
      <c r="G92" s="32">
        <f t="shared" si="69"/>
        <v>6243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517.65</v>
      </c>
      <c r="V92" s="50">
        <f t="shared" si="82"/>
        <v>584.30000000000007</v>
      </c>
      <c r="W92" s="50">
        <f t="shared" si="83"/>
        <v>530.75000000000011</v>
      </c>
      <c r="X92" s="29">
        <f t="shared" si="77"/>
        <v>1632.7000000000003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5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2.5897475160969989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80.593499719352394</v>
      </c>
      <c r="N3" s="46">
        <v>0</v>
      </c>
      <c r="O3" s="50">
        <f>G$5-N3*G$7</f>
        <v>133.82331560283689</v>
      </c>
      <c r="P3" s="50">
        <f>H$5-N3*H$7</f>
        <v>53.229815883484484</v>
      </c>
      <c r="Q3" s="50">
        <f>I$5-N3*I$7</f>
        <v>65.282678612451193</v>
      </c>
    </row>
    <row r="4" spans="1:17">
      <c r="C4" s="46" t="s">
        <v>20</v>
      </c>
      <c r="D4" s="7">
        <v>526.4</v>
      </c>
      <c r="E4" s="7">
        <v>1213</v>
      </c>
      <c r="F4" s="7">
        <v>580.4</v>
      </c>
      <c r="G4" s="50">
        <f>AVERAGE(D4:F4)</f>
        <v>773.26666666666677</v>
      </c>
      <c r="H4" s="50">
        <f>G4</f>
        <v>773.26666666666677</v>
      </c>
      <c r="I4" s="50">
        <f>H4</f>
        <v>773.26666666666677</v>
      </c>
      <c r="K4" s="13" t="str">
        <f>linefmt("Compensation",B12)</f>
        <v>"Compensation",36,</v>
      </c>
      <c r="M4" s="46">
        <f t="shared" si="0"/>
        <v>78.394956276048262</v>
      </c>
      <c r="N4" s="46">
        <f>N3+1</f>
        <v>1</v>
      </c>
      <c r="O4" s="50">
        <f t="shared" ref="O4:O66" si="1">G$5-N4*G$7</f>
        <v>131.53639385880078</v>
      </c>
      <c r="P4" s="50">
        <f t="shared" ref="P4:P66" si="2">H$5-N4*H$7</f>
        <v>53.141437582752516</v>
      </c>
      <c r="Q4" s="50">
        <f t="shared" ref="Q4:Q66" si="3">I$5-N4*I$7</f>
        <v>64.931436000250613</v>
      </c>
    </row>
    <row r="5" spans="1:17">
      <c r="C5" s="46">
        <v>0</v>
      </c>
      <c r="D5" s="9">
        <v>91.1</v>
      </c>
      <c r="E5" s="9">
        <v>83.5</v>
      </c>
      <c r="F5" s="9">
        <v>49</v>
      </c>
      <c r="G5" s="50">
        <f>G$4/D$4*D5</f>
        <v>133.82331560283689</v>
      </c>
      <c r="H5" s="50">
        <f t="shared" ref="H5:I6" si="4">H$4/E$4*E5</f>
        <v>53.229815883484484</v>
      </c>
      <c r="I5" s="50">
        <f t="shared" si="4"/>
        <v>65.282678612451193</v>
      </c>
      <c r="K5" s="14" t="str">
        <f>linefmt("CardGain",J54)</f>
        <v>"CardGain",13.95207,</v>
      </c>
      <c r="M5" s="46">
        <f t="shared" si="0"/>
        <v>76.19641283274413</v>
      </c>
      <c r="N5" s="46">
        <f t="shared" ref="N5:N66" si="5">N4+1</f>
        <v>2</v>
      </c>
      <c r="O5" s="50">
        <f t="shared" si="1"/>
        <v>129.24947211476467</v>
      </c>
      <c r="P5" s="50">
        <f t="shared" si="2"/>
        <v>53.053059282020548</v>
      </c>
      <c r="Q5" s="50">
        <f t="shared" si="3"/>
        <v>64.580193388050048</v>
      </c>
    </row>
    <row r="6" spans="1:17">
      <c r="B6" s="50">
        <f>D5/4</f>
        <v>22.774999999999999</v>
      </c>
      <c r="C6" s="7">
        <v>44</v>
      </c>
      <c r="D6" s="9">
        <v>22.6</v>
      </c>
      <c r="E6" s="9">
        <v>77.400000000000006</v>
      </c>
      <c r="F6" s="9">
        <v>37.4</v>
      </c>
      <c r="G6" s="50">
        <f>G$4/D$4*D6</f>
        <v>33.198758865248237</v>
      </c>
      <c r="H6" s="50">
        <f t="shared" si="4"/>
        <v>49.341170651277835</v>
      </c>
      <c r="I6" s="50">
        <f t="shared" si="4"/>
        <v>49.828003675626015</v>
      </c>
      <c r="K6" s="14" t="str">
        <f>linefmt("Range",1,J34,J37)</f>
        <v>"Range",1,0.9728273,0.9368512,</v>
      </c>
      <c r="M6" s="46">
        <f t="shared" si="0"/>
        <v>73.997869389439984</v>
      </c>
      <c r="N6" s="46">
        <f t="shared" si="5"/>
        <v>3</v>
      </c>
      <c r="O6" s="50">
        <f t="shared" si="1"/>
        <v>126.96255037072856</v>
      </c>
      <c r="P6" s="50">
        <f t="shared" si="2"/>
        <v>52.964680981288573</v>
      </c>
      <c r="Q6" s="50">
        <f t="shared" si="3"/>
        <v>64.228950775849469</v>
      </c>
    </row>
    <row r="7" spans="1:17">
      <c r="C7" s="46">
        <f>C5</f>
        <v>0</v>
      </c>
      <c r="D7" s="46">
        <f t="shared" ref="D7:F8" si="6">D$4/D5</f>
        <v>5.7782656421514824</v>
      </c>
      <c r="E7" s="46">
        <f t="shared" si="6"/>
        <v>14.526946107784431</v>
      </c>
      <c r="F7" s="46">
        <f t="shared" si="6"/>
        <v>11.844897959183672</v>
      </c>
      <c r="G7" s="49">
        <f>(G5-G6)/($C6-$C5)</f>
        <v>2.2869217440361056</v>
      </c>
      <c r="H7" s="49">
        <f t="shared" ref="H7:I7" si="7">(H5-H6)/($C6-$C5)</f>
        <v>8.8378300731969298E-2</v>
      </c>
      <c r="I7" s="49">
        <f t="shared" si="7"/>
        <v>0.35124261220057224</v>
      </c>
      <c r="K7" s="14" t="str">
        <f>linefmt("CCM" )</f>
        <v>"CCM",</v>
      </c>
      <c r="M7" s="46">
        <f t="shared" si="0"/>
        <v>71.799325946135852</v>
      </c>
      <c r="N7" s="46">
        <f t="shared" si="5"/>
        <v>4</v>
      </c>
      <c r="O7" s="50">
        <f t="shared" si="1"/>
        <v>124.67562862669246</v>
      </c>
      <c r="P7" s="50">
        <f t="shared" si="2"/>
        <v>52.876302680556606</v>
      </c>
      <c r="Q7" s="50">
        <f t="shared" si="3"/>
        <v>63.877708163648904</v>
      </c>
    </row>
    <row r="8" spans="1:17">
      <c r="C8" s="46">
        <f>C6</f>
        <v>44</v>
      </c>
      <c r="D8" s="46">
        <f t="shared" si="6"/>
        <v>23.292035398230087</v>
      </c>
      <c r="E8" s="46">
        <f t="shared" si="6"/>
        <v>15.671834625322996</v>
      </c>
      <c r="F8" s="46">
        <f t="shared" si="6"/>
        <v>15.518716577540108</v>
      </c>
      <c r="K8" s="15" t="str">
        <f>linefmt("",D54,E54,F54)</f>
        <v>0.3847573,1.026477,-0.4241018,</v>
      </c>
      <c r="M8" s="46">
        <f t="shared" si="0"/>
        <v>69.60078250283172</v>
      </c>
      <c r="N8" s="46">
        <f t="shared" si="5"/>
        <v>5</v>
      </c>
      <c r="O8" s="50">
        <f t="shared" si="1"/>
        <v>122.38870688265635</v>
      </c>
      <c r="P8" s="50">
        <f t="shared" si="2"/>
        <v>52.787924379824638</v>
      </c>
      <c r="Q8" s="50">
        <f t="shared" si="3"/>
        <v>63.526465551448332</v>
      </c>
    </row>
    <row r="9" spans="1:17">
      <c r="C9" s="46" t="s">
        <v>23</v>
      </c>
      <c r="D9" s="46">
        <f>(D8-D7)/($C8-$C7)</f>
        <v>0.39804022172905923</v>
      </c>
      <c r="E9" s="46">
        <f>(E8-E7)/($C8-$C7)</f>
        <v>2.6020193580421926E-2</v>
      </c>
      <c r="F9" s="46">
        <f>(F8-F7)/($C8-$C7)</f>
        <v>8.3495877689918979E-2</v>
      </c>
      <c r="K9" s="15" t="str">
        <f>linefmt("",D55,E55,F55)</f>
        <v>0.1976686,1,-6.254596E-02,</v>
      </c>
      <c r="M9" s="46">
        <f t="shared" si="0"/>
        <v>67.402239059527574</v>
      </c>
      <c r="N9" s="46">
        <f t="shared" si="5"/>
        <v>6</v>
      </c>
      <c r="O9" s="50">
        <f t="shared" si="1"/>
        <v>120.10178513862024</v>
      </c>
      <c r="P9" s="50">
        <f t="shared" si="2"/>
        <v>52.69954607909267</v>
      </c>
      <c r="Q9" s="50">
        <f t="shared" si="3"/>
        <v>63.17522293924776</v>
      </c>
    </row>
    <row r="10" spans="1:17">
      <c r="K10" s="16" t="str">
        <f>linefmt("",D56,E56,F56)</f>
        <v>-0.5214077,0.3813868,1.247755,</v>
      </c>
      <c r="M10" s="46">
        <f t="shared" si="0"/>
        <v>65.203695616223456</v>
      </c>
      <c r="N10" s="46">
        <f t="shared" si="5"/>
        <v>7</v>
      </c>
      <c r="O10" s="50">
        <f t="shared" si="1"/>
        <v>117.81486339458415</v>
      </c>
      <c r="P10" s="50">
        <f t="shared" si="2"/>
        <v>52.611167778360702</v>
      </c>
      <c r="Q10" s="50">
        <f t="shared" si="3"/>
        <v>62.823980327047188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63.005152172919317</v>
      </c>
      <c r="N11" s="46">
        <f t="shared" si="5"/>
        <v>8</v>
      </c>
      <c r="O11" s="50">
        <f t="shared" si="1"/>
        <v>115.52794165054804</v>
      </c>
      <c r="P11" s="50">
        <f t="shared" si="2"/>
        <v>52.522789477628727</v>
      </c>
      <c r="Q11" s="50">
        <f t="shared" si="3"/>
        <v>62.472737714846616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60.806608729615178</v>
      </c>
      <c r="N12" s="46">
        <f t="shared" si="5"/>
        <v>9</v>
      </c>
      <c r="O12" s="50">
        <f t="shared" si="1"/>
        <v>113.24101990651194</v>
      </c>
      <c r="P12" s="50">
        <f t="shared" si="2"/>
        <v>52.434411176896759</v>
      </c>
      <c r="Q12" s="50">
        <f t="shared" si="3"/>
        <v>62.121495102646044</v>
      </c>
    </row>
    <row r="13" spans="1:17">
      <c r="A13" s="78" t="s">
        <v>12</v>
      </c>
      <c r="B13" s="79" t="s">
        <v>0</v>
      </c>
      <c r="C13" s="46">
        <v>0</v>
      </c>
      <c r="D13" s="7">
        <v>550.9</v>
      </c>
      <c r="E13" s="7">
        <v>510</v>
      </c>
      <c r="F13" s="7">
        <v>154.69999999999999</v>
      </c>
      <c r="G13" s="8">
        <v>89.5</v>
      </c>
      <c r="H13" s="8">
        <v>21.7</v>
      </c>
      <c r="I13" s="8">
        <v>39.4</v>
      </c>
      <c r="M13" s="46">
        <f t="shared" si="0"/>
        <v>58.608065286311039</v>
      </c>
      <c r="N13" s="46">
        <f t="shared" si="5"/>
        <v>10</v>
      </c>
      <c r="O13" s="50">
        <f t="shared" si="1"/>
        <v>110.95409816247583</v>
      </c>
      <c r="P13" s="50">
        <f t="shared" si="2"/>
        <v>52.346032876164792</v>
      </c>
      <c r="Q13" s="50">
        <f t="shared" si="3"/>
        <v>61.770252490445472</v>
      </c>
    </row>
    <row r="14" spans="1:17">
      <c r="A14" s="78"/>
      <c r="B14" s="79"/>
      <c r="C14" s="46">
        <f>C13+1</f>
        <v>1</v>
      </c>
      <c r="D14" s="7">
        <v>559.6</v>
      </c>
      <c r="E14" s="7">
        <v>517.4</v>
      </c>
      <c r="F14" s="7">
        <v>154.4</v>
      </c>
      <c r="G14" s="8">
        <v>91.2</v>
      </c>
      <c r="H14" s="8">
        <v>22.7</v>
      </c>
      <c r="I14" s="8">
        <v>40.700000000000003</v>
      </c>
      <c r="M14" s="46">
        <f t="shared" si="0"/>
        <v>56.4095218430069</v>
      </c>
      <c r="N14" s="46">
        <f t="shared" si="5"/>
        <v>11</v>
      </c>
      <c r="O14" s="50">
        <f t="shared" si="1"/>
        <v>108.66717641843972</v>
      </c>
      <c r="P14" s="50">
        <f t="shared" si="2"/>
        <v>52.257654575432824</v>
      </c>
      <c r="Q14" s="50">
        <f t="shared" si="3"/>
        <v>61.4190098782449</v>
      </c>
    </row>
    <row r="15" spans="1:17">
      <c r="A15" s="78"/>
      <c r="B15" s="79"/>
      <c r="C15" s="46">
        <f>C14+1</f>
        <v>2</v>
      </c>
      <c r="D15" s="6">
        <f>2*(D13-D14)/(D13+D14)</f>
        <v>-1.5668617739756949E-2</v>
      </c>
      <c r="E15" s="6">
        <f t="shared" ref="E15:F15" si="8">2*(E13-E14)/(E13+E14)</f>
        <v>-1.4405294919213503E-2</v>
      </c>
      <c r="F15" s="6">
        <f t="shared" si="8"/>
        <v>1.9411193788416883E-3</v>
      </c>
      <c r="G15" s="8">
        <v>97.6</v>
      </c>
      <c r="H15" s="8">
        <v>22.3</v>
      </c>
      <c r="I15" s="8">
        <v>43.3</v>
      </c>
      <c r="M15" s="46">
        <f t="shared" si="0"/>
        <v>54.210978399702761</v>
      </c>
      <c r="N15" s="46">
        <f t="shared" si="5"/>
        <v>12</v>
      </c>
      <c r="O15" s="50">
        <f t="shared" si="1"/>
        <v>106.38025467440362</v>
      </c>
      <c r="P15" s="50">
        <f t="shared" si="2"/>
        <v>52.169276274700856</v>
      </c>
      <c r="Q15" s="50">
        <f t="shared" si="3"/>
        <v>61.067767266044328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650</v>
      </c>
      <c r="G16" s="8">
        <v>66.7</v>
      </c>
      <c r="H16" s="8">
        <v>77.2</v>
      </c>
      <c r="I16" s="8">
        <v>40.9</v>
      </c>
      <c r="M16" s="46">
        <f t="shared" si="0"/>
        <v>52.012434956398629</v>
      </c>
      <c r="N16" s="46">
        <f t="shared" si="5"/>
        <v>13</v>
      </c>
      <c r="O16" s="50">
        <f t="shared" si="1"/>
        <v>104.09333293036751</v>
      </c>
      <c r="P16" s="50">
        <f t="shared" si="2"/>
        <v>52.080897973968881</v>
      </c>
      <c r="Q16" s="50">
        <f t="shared" si="3"/>
        <v>60.716524653843756</v>
      </c>
    </row>
    <row r="17" spans="1:21">
      <c r="A17" s="78"/>
      <c r="B17" s="79"/>
      <c r="C17" s="46">
        <f t="shared" ref="C17:C21" si="9">C14</f>
        <v>1</v>
      </c>
      <c r="D17" s="7">
        <v>1203</v>
      </c>
      <c r="E17" s="7">
        <v>1212</v>
      </c>
      <c r="F17" s="7">
        <v>648</v>
      </c>
      <c r="G17" s="8">
        <v>68.2</v>
      </c>
      <c r="H17" s="8">
        <v>78.599999999999994</v>
      </c>
      <c r="I17" s="8">
        <v>42.4</v>
      </c>
      <c r="M17" s="46">
        <f t="shared" si="0"/>
        <v>49.813891513094504</v>
      </c>
      <c r="N17" s="46">
        <f t="shared" si="5"/>
        <v>14</v>
      </c>
      <c r="O17" s="50">
        <f t="shared" si="1"/>
        <v>101.80641118633142</v>
      </c>
      <c r="P17" s="50">
        <f t="shared" si="2"/>
        <v>51.992519673236913</v>
      </c>
      <c r="Q17" s="50">
        <f t="shared" si="3"/>
        <v>60.365282041643184</v>
      </c>
    </row>
    <row r="18" spans="1:21">
      <c r="A18" s="78"/>
      <c r="B18" s="79"/>
      <c r="C18" s="46">
        <f t="shared" si="9"/>
        <v>2</v>
      </c>
      <c r="D18" s="6">
        <f>2*(D16-D17)/(D16+D17)</f>
        <v>-1.6638935108153079E-3</v>
      </c>
      <c r="E18" s="6">
        <f t="shared" ref="E18:F18" si="10">2*(E16-E17)/(E16+E17)</f>
        <v>-1.6515276630883566E-3</v>
      </c>
      <c r="F18" s="6">
        <f t="shared" si="10"/>
        <v>3.0816640986132513E-3</v>
      </c>
      <c r="G18" s="8">
        <v>68.900000000000006</v>
      </c>
      <c r="H18" s="8">
        <v>80.3</v>
      </c>
      <c r="I18" s="8">
        <v>45.3</v>
      </c>
      <c r="M18" s="46">
        <f t="shared" si="0"/>
        <v>47.615348069790365</v>
      </c>
      <c r="N18" s="46">
        <f t="shared" si="5"/>
        <v>15</v>
      </c>
      <c r="O18" s="50">
        <f t="shared" si="1"/>
        <v>99.51948944229531</v>
      </c>
      <c r="P18" s="50">
        <f t="shared" si="2"/>
        <v>51.904141372504945</v>
      </c>
      <c r="Q18" s="50">
        <f t="shared" si="3"/>
        <v>60.014039429442612</v>
      </c>
    </row>
    <row r="19" spans="1:21">
      <c r="A19" s="78"/>
      <c r="B19" s="79" t="s">
        <v>2</v>
      </c>
      <c r="C19" s="46">
        <f t="shared" si="9"/>
        <v>0</v>
      </c>
      <c r="D19" s="7">
        <v>513.9</v>
      </c>
      <c r="E19" s="7">
        <v>581</v>
      </c>
      <c r="F19" s="7">
        <v>531.29999999999995</v>
      </c>
      <c r="G19" s="8">
        <v>29.3</v>
      </c>
      <c r="H19" s="8">
        <v>37.4</v>
      </c>
      <c r="I19" s="8">
        <v>31.1</v>
      </c>
      <c r="M19" s="46">
        <f t="shared" si="0"/>
        <v>45.416804626486226</v>
      </c>
      <c r="N19" s="46">
        <f t="shared" si="5"/>
        <v>16</v>
      </c>
      <c r="O19" s="50">
        <f t="shared" si="1"/>
        <v>97.232567698259203</v>
      </c>
      <c r="P19" s="50">
        <f t="shared" si="2"/>
        <v>51.815763071772977</v>
      </c>
      <c r="Q19" s="50">
        <f t="shared" si="3"/>
        <v>59.66279681724204</v>
      </c>
    </row>
    <row r="20" spans="1:21">
      <c r="A20" s="78"/>
      <c r="B20" s="79"/>
      <c r="C20" s="46">
        <f t="shared" si="9"/>
        <v>1</v>
      </c>
      <c r="D20" s="7">
        <v>514.70000000000005</v>
      </c>
      <c r="E20" s="7">
        <v>581.6</v>
      </c>
      <c r="F20" s="7">
        <v>531.5</v>
      </c>
      <c r="G20" s="8">
        <v>30.5</v>
      </c>
      <c r="H20" s="8">
        <v>38.799999999999997</v>
      </c>
      <c r="I20" s="8">
        <v>32.200000000000003</v>
      </c>
      <c r="M20" s="46">
        <f t="shared" si="0"/>
        <v>43.218261183182094</v>
      </c>
      <c r="N20" s="46">
        <f t="shared" si="5"/>
        <v>17</v>
      </c>
      <c r="O20" s="50">
        <f t="shared" si="1"/>
        <v>94.945645954223096</v>
      </c>
      <c r="P20" s="50">
        <f t="shared" si="2"/>
        <v>51.727384771041002</v>
      </c>
      <c r="Q20" s="50">
        <f t="shared" si="3"/>
        <v>59.311554205041467</v>
      </c>
    </row>
    <row r="21" spans="1:21">
      <c r="A21" s="78"/>
      <c r="B21" s="79"/>
      <c r="C21" s="46">
        <f t="shared" si="9"/>
        <v>2</v>
      </c>
      <c r="D21" s="6">
        <f>2*(D19-D20)/(D19+D20)</f>
        <v>-1.5555123468793861E-3</v>
      </c>
      <c r="E21" s="6">
        <f t="shared" ref="E21:F21" si="11">2*(E19-E20)/(E19+E20)</f>
        <v>-1.032169275761264E-3</v>
      </c>
      <c r="F21" s="6">
        <f t="shared" si="11"/>
        <v>-3.7636432066248682E-4</v>
      </c>
      <c r="G21" s="8">
        <v>30.6</v>
      </c>
      <c r="H21" s="8">
        <v>41.3</v>
      </c>
      <c r="I21" s="8">
        <v>32.799999999999997</v>
      </c>
      <c r="M21" s="46">
        <f t="shared" si="0"/>
        <v>41.019717739877954</v>
      </c>
      <c r="N21" s="46">
        <f t="shared" si="5"/>
        <v>18</v>
      </c>
      <c r="O21" s="50">
        <f t="shared" si="1"/>
        <v>92.658724210186989</v>
      </c>
      <c r="P21" s="50">
        <f t="shared" si="2"/>
        <v>51.639006470309035</v>
      </c>
      <c r="Q21" s="50">
        <f t="shared" si="3"/>
        <v>58.960311592840895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555.25</v>
      </c>
      <c r="E22" s="46">
        <f t="shared" ref="E22:F22" si="12">(E13+E14)/2</f>
        <v>513.70000000000005</v>
      </c>
      <c r="F22" s="46">
        <f t="shared" si="12"/>
        <v>154.55000000000001</v>
      </c>
      <c r="G22" s="5">
        <f>G13</f>
        <v>89.5</v>
      </c>
      <c r="H22" s="5">
        <f t="shared" ref="H22:I22" si="13">H13</f>
        <v>21.7</v>
      </c>
      <c r="I22" s="5">
        <f t="shared" si="13"/>
        <v>39.4</v>
      </c>
      <c r="J22" s="99">
        <f>AVERAGE(G22:I24)</f>
        <v>48.133333333333333</v>
      </c>
      <c r="M22" s="46">
        <f t="shared" si="0"/>
        <v>38.821174296573815</v>
      </c>
      <c r="N22" s="46">
        <f t="shared" si="5"/>
        <v>19</v>
      </c>
      <c r="O22" s="50">
        <f t="shared" si="1"/>
        <v>90.371802466150882</v>
      </c>
      <c r="P22" s="50">
        <f t="shared" si="2"/>
        <v>51.550628169577067</v>
      </c>
      <c r="Q22" s="50">
        <f t="shared" si="3"/>
        <v>58.609068980640316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1202</v>
      </c>
      <c r="E23" s="46">
        <f>(E16+E17)/2</f>
        <v>1211</v>
      </c>
      <c r="F23" s="46">
        <f>(F16+F17)/2</f>
        <v>649</v>
      </c>
      <c r="G23" s="5">
        <f>G16</f>
        <v>66.7</v>
      </c>
      <c r="H23" s="5">
        <f>H16</f>
        <v>77.2</v>
      </c>
      <c r="I23" s="5">
        <f>I16</f>
        <v>40.9</v>
      </c>
      <c r="J23" s="99"/>
      <c r="M23" s="46">
        <f t="shared" si="0"/>
        <v>36.622630853269676</v>
      </c>
      <c r="N23" s="46">
        <f t="shared" si="5"/>
        <v>20</v>
      </c>
      <c r="O23" s="50">
        <f t="shared" si="1"/>
        <v>88.084880722114775</v>
      </c>
      <c r="P23" s="50">
        <f t="shared" si="2"/>
        <v>51.462249868845099</v>
      </c>
      <c r="Q23" s="50">
        <f t="shared" si="3"/>
        <v>58.257826368439751</v>
      </c>
    </row>
    <row r="24" spans="1:21">
      <c r="A24" s="78"/>
      <c r="B24" s="46" t="str">
        <f>B19</f>
        <v>D65</v>
      </c>
      <c r="C24" s="79"/>
      <c r="D24" s="46">
        <f>(D19+D20)/2</f>
        <v>514.29999999999995</v>
      </c>
      <c r="E24" s="46">
        <f>(E19+E20)/2</f>
        <v>581.29999999999995</v>
      </c>
      <c r="F24" s="46">
        <f>(F19+F20)/2</f>
        <v>531.4</v>
      </c>
      <c r="G24" s="5">
        <f>G19</f>
        <v>29.3</v>
      </c>
      <c r="H24" s="5">
        <f>H19</f>
        <v>37.4</v>
      </c>
      <c r="I24" s="5">
        <f>I19</f>
        <v>31.1</v>
      </c>
      <c r="J24" s="99"/>
      <c r="M24" s="46">
        <f t="shared" si="0"/>
        <v>34.424087409965537</v>
      </c>
      <c r="N24" s="46">
        <f t="shared" si="5"/>
        <v>21</v>
      </c>
      <c r="O24" s="50">
        <f t="shared" si="1"/>
        <v>85.797958978078668</v>
      </c>
      <c r="P24" s="50">
        <f t="shared" si="2"/>
        <v>51.373871568113131</v>
      </c>
      <c r="Q24" s="50">
        <f t="shared" si="3"/>
        <v>57.906583756239172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555.25</v>
      </c>
      <c r="E25" s="46">
        <f t="shared" ref="E25:F25" si="15">(E13+E14)/2</f>
        <v>513.70000000000005</v>
      </c>
      <c r="F25" s="46">
        <f t="shared" si="15"/>
        <v>154.55000000000001</v>
      </c>
      <c r="G25" s="5">
        <f t="shared" ref="G25:I25" si="16">G14</f>
        <v>91.2</v>
      </c>
      <c r="H25" s="5">
        <f t="shared" si="16"/>
        <v>22.7</v>
      </c>
      <c r="I25" s="5">
        <f t="shared" si="16"/>
        <v>40.700000000000003</v>
      </c>
      <c r="J25" s="99">
        <f>AVERAGE(G25:I27)</f>
        <v>49.477777777777774</v>
      </c>
      <c r="M25" s="46">
        <f t="shared" si="0"/>
        <v>32.225543966661405</v>
      </c>
      <c r="N25" s="46">
        <f t="shared" si="5"/>
        <v>22</v>
      </c>
      <c r="O25" s="50">
        <f t="shared" si="1"/>
        <v>83.511037234042561</v>
      </c>
      <c r="P25" s="50">
        <f t="shared" si="2"/>
        <v>51.285493267381156</v>
      </c>
      <c r="Q25" s="50">
        <f t="shared" si="3"/>
        <v>57.555341144038607</v>
      </c>
    </row>
    <row r="26" spans="1:21">
      <c r="A26" s="78"/>
      <c r="B26" s="46" t="str">
        <f>B16</f>
        <v>CWF</v>
      </c>
      <c r="C26" s="79"/>
      <c r="D26" s="46">
        <f>(D16+D17)/2</f>
        <v>1202</v>
      </c>
      <c r="E26" s="46">
        <f>(E16+E17)/2</f>
        <v>1211</v>
      </c>
      <c r="F26" s="46">
        <f>(F16+F17)/2</f>
        <v>649</v>
      </c>
      <c r="G26" s="5">
        <f>G17</f>
        <v>68.2</v>
      </c>
      <c r="H26" s="5">
        <f>H17</f>
        <v>78.599999999999994</v>
      </c>
      <c r="I26" s="5">
        <f>I17</f>
        <v>42.4</v>
      </c>
      <c r="J26" s="99"/>
      <c r="M26" s="46">
        <f t="shared" si="0"/>
        <v>30.027000523357266</v>
      </c>
      <c r="N26" s="46">
        <f t="shared" si="5"/>
        <v>23</v>
      </c>
      <c r="O26" s="50">
        <f t="shared" si="1"/>
        <v>81.224115490006454</v>
      </c>
      <c r="P26" s="50">
        <f t="shared" si="2"/>
        <v>51.197114966649188</v>
      </c>
      <c r="Q26" s="50">
        <f t="shared" si="3"/>
        <v>57.204098531838028</v>
      </c>
    </row>
    <row r="27" spans="1:21">
      <c r="A27" s="78"/>
      <c r="B27" s="46" t="str">
        <f>B19</f>
        <v>D65</v>
      </c>
      <c r="C27" s="79"/>
      <c r="D27" s="46">
        <f>(D19+D20)/2</f>
        <v>514.29999999999995</v>
      </c>
      <c r="E27" s="46">
        <f>(E19+E20)/2</f>
        <v>581.29999999999995</v>
      </c>
      <c r="F27" s="46">
        <f>(F19+F20)/2</f>
        <v>531.4</v>
      </c>
      <c r="G27" s="5">
        <f>G20</f>
        <v>30.5</v>
      </c>
      <c r="H27" s="5">
        <f>H20</f>
        <v>38.799999999999997</v>
      </c>
      <c r="I27" s="5">
        <f>I20</f>
        <v>32.200000000000003</v>
      </c>
      <c r="J27" s="99"/>
      <c r="M27" s="46">
        <f t="shared" si="0"/>
        <v>27.828457080053127</v>
      </c>
      <c r="N27" s="46">
        <f t="shared" si="5"/>
        <v>24</v>
      </c>
      <c r="O27" s="50">
        <f t="shared" si="1"/>
        <v>78.937193745970347</v>
      </c>
      <c r="P27" s="50">
        <f t="shared" si="2"/>
        <v>51.10873666591722</v>
      </c>
      <c r="Q27" s="50">
        <f t="shared" si="3"/>
        <v>56.852855919637463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555.25</v>
      </c>
      <c r="E28" s="46">
        <f t="shared" ref="E28:F28" si="17">(E13+E14)/2</f>
        <v>513.70000000000005</v>
      </c>
      <c r="F28" s="46">
        <f t="shared" si="17"/>
        <v>154.55000000000001</v>
      </c>
      <c r="G28" s="5">
        <f t="shared" ref="G28:I28" si="18">G15</f>
        <v>97.6</v>
      </c>
      <c r="H28" s="5">
        <f t="shared" si="18"/>
        <v>22.3</v>
      </c>
      <c r="I28" s="5">
        <f t="shared" si="18"/>
        <v>43.3</v>
      </c>
      <c r="J28" s="99">
        <f>AVERAGE(G28:I30)</f>
        <v>51.37777777777778</v>
      </c>
      <c r="M28" s="46">
        <f t="shared" si="0"/>
        <v>25.629913636748988</v>
      </c>
      <c r="N28" s="46">
        <f t="shared" si="5"/>
        <v>25</v>
      </c>
      <c r="O28" s="50">
        <f t="shared" si="1"/>
        <v>76.650272001934241</v>
      </c>
      <c r="P28" s="50">
        <f t="shared" si="2"/>
        <v>51.020358365185253</v>
      </c>
      <c r="Q28" s="50">
        <f t="shared" si="3"/>
        <v>56.501613307436884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1202</v>
      </c>
      <c r="E29" s="46">
        <f t="shared" si="20"/>
        <v>1211</v>
      </c>
      <c r="F29" s="46">
        <f t="shared" si="20"/>
        <v>649</v>
      </c>
      <c r="G29" s="5">
        <f t="shared" ref="G29:I29" si="21">G18</f>
        <v>68.900000000000006</v>
      </c>
      <c r="H29" s="5">
        <f t="shared" si="21"/>
        <v>80.3</v>
      </c>
      <c r="I29" s="5">
        <f t="shared" si="21"/>
        <v>45.3</v>
      </c>
      <c r="J29" s="99"/>
      <c r="M29" s="46">
        <f t="shared" si="0"/>
        <v>23.431370193444849</v>
      </c>
      <c r="N29" s="46">
        <f t="shared" si="5"/>
        <v>26</v>
      </c>
      <c r="O29" s="50">
        <f t="shared" si="1"/>
        <v>74.363350257898134</v>
      </c>
      <c r="P29" s="50">
        <f t="shared" si="2"/>
        <v>50.931980064453285</v>
      </c>
      <c r="Q29" s="50">
        <f t="shared" si="3"/>
        <v>56.150370695236319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514.29999999999995</v>
      </c>
      <c r="E30" s="46">
        <f t="shared" si="23"/>
        <v>581.29999999999995</v>
      </c>
      <c r="F30" s="46">
        <f t="shared" si="23"/>
        <v>531.4</v>
      </c>
      <c r="G30" s="5">
        <f t="shared" ref="G30:I30" si="24">G21</f>
        <v>30.6</v>
      </c>
      <c r="H30" s="5">
        <f t="shared" si="24"/>
        <v>41.3</v>
      </c>
      <c r="I30" s="5">
        <f t="shared" si="24"/>
        <v>32.799999999999997</v>
      </c>
      <c r="J30" s="99"/>
      <c r="M30" s="46">
        <f t="shared" si="0"/>
        <v>21.232826750140717</v>
      </c>
      <c r="N30" s="46">
        <f t="shared" si="5"/>
        <v>27</v>
      </c>
      <c r="O30" s="50">
        <f t="shared" si="1"/>
        <v>72.076428513862027</v>
      </c>
      <c r="P30" s="50">
        <f t="shared" si="2"/>
        <v>50.84360176372131</v>
      </c>
      <c r="Q30" s="50">
        <f t="shared" si="3"/>
        <v>55.79912808303574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555.25</v>
      </c>
      <c r="E31" s="46">
        <f t="shared" si="25"/>
        <v>513.70000000000005</v>
      </c>
      <c r="F31" s="46">
        <f t="shared" si="25"/>
        <v>154.55000000000001</v>
      </c>
      <c r="G31" s="5">
        <f t="shared" ref="G31:I33" si="26">G22*$J$31</f>
        <v>89.5</v>
      </c>
      <c r="H31" s="5">
        <f t="shared" si="26"/>
        <v>21.7</v>
      </c>
      <c r="I31" s="5">
        <f t="shared" si="26"/>
        <v>39.4</v>
      </c>
      <c r="J31" s="96">
        <f>J$22/J22</f>
        <v>1</v>
      </c>
      <c r="M31" s="46">
        <f t="shared" si="0"/>
        <v>19.034283306836592</v>
      </c>
      <c r="N31" s="46">
        <f t="shared" si="5"/>
        <v>28</v>
      </c>
      <c r="O31" s="50">
        <f t="shared" si="1"/>
        <v>69.789506769825934</v>
      </c>
      <c r="P31" s="50">
        <f t="shared" si="2"/>
        <v>50.755223462989342</v>
      </c>
      <c r="Q31" s="50">
        <f t="shared" si="3"/>
        <v>55.447885470835168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1202</v>
      </c>
      <c r="E32" s="46">
        <f t="shared" si="27"/>
        <v>1211</v>
      </c>
      <c r="F32" s="46">
        <f t="shared" si="27"/>
        <v>649</v>
      </c>
      <c r="G32" s="5">
        <f t="shared" si="26"/>
        <v>66.7</v>
      </c>
      <c r="H32" s="5">
        <f t="shared" si="26"/>
        <v>77.2</v>
      </c>
      <c r="I32" s="5">
        <f t="shared" si="26"/>
        <v>40.9</v>
      </c>
      <c r="J32" s="96"/>
      <c r="M32" s="46">
        <f t="shared" si="0"/>
        <v>16.835739863532453</v>
      </c>
      <c r="N32" s="46">
        <f t="shared" si="5"/>
        <v>29</v>
      </c>
      <c r="O32" s="50">
        <f t="shared" si="1"/>
        <v>67.502585025789827</v>
      </c>
      <c r="P32" s="50">
        <f t="shared" si="2"/>
        <v>50.666845162257374</v>
      </c>
      <c r="Q32" s="50">
        <f t="shared" si="3"/>
        <v>55.096642858634596</v>
      </c>
    </row>
    <row r="33" spans="1:17">
      <c r="A33" s="78"/>
      <c r="B33" s="46" t="str">
        <f t="shared" si="27"/>
        <v>D65</v>
      </c>
      <c r="C33" s="79"/>
      <c r="D33" s="46">
        <f t="shared" si="27"/>
        <v>514.29999999999995</v>
      </c>
      <c r="E33" s="46">
        <f t="shared" si="27"/>
        <v>581.29999999999995</v>
      </c>
      <c r="F33" s="46">
        <f t="shared" si="27"/>
        <v>531.4</v>
      </c>
      <c r="G33" s="5">
        <f t="shared" si="26"/>
        <v>29.3</v>
      </c>
      <c r="H33" s="5">
        <f t="shared" si="26"/>
        <v>37.4</v>
      </c>
      <c r="I33" s="5">
        <f t="shared" si="26"/>
        <v>31.1</v>
      </c>
      <c r="J33" s="96"/>
      <c r="M33" s="46">
        <f t="shared" si="0"/>
        <v>14.637196420228314</v>
      </c>
      <c r="N33" s="46">
        <f t="shared" si="5"/>
        <v>30</v>
      </c>
      <c r="O33" s="50">
        <f t="shared" si="1"/>
        <v>65.21566328175372</v>
      </c>
      <c r="P33" s="50">
        <f t="shared" si="2"/>
        <v>50.578466861525406</v>
      </c>
      <c r="Q33" s="50">
        <f t="shared" si="3"/>
        <v>54.745400246434023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555.25</v>
      </c>
      <c r="E34" s="46">
        <f t="shared" si="27"/>
        <v>513.70000000000005</v>
      </c>
      <c r="F34" s="46">
        <f t="shared" si="27"/>
        <v>154.55000000000001</v>
      </c>
      <c r="G34" s="5">
        <f t="shared" ref="G34:I36" si="28">G25*$J$34</f>
        <v>88.721850437907037</v>
      </c>
      <c r="H34" s="5">
        <f t="shared" si="28"/>
        <v>22.083179878733439</v>
      </c>
      <c r="I34" s="5">
        <f t="shared" si="28"/>
        <v>39.59407141253088</v>
      </c>
      <c r="J34" s="96">
        <f>J$22/J25</f>
        <v>0.97282730743319112</v>
      </c>
      <c r="M34" s="46">
        <f t="shared" si="0"/>
        <v>12.438652976924175</v>
      </c>
      <c r="N34" s="46">
        <f t="shared" si="5"/>
        <v>31</v>
      </c>
      <c r="O34" s="50">
        <f t="shared" si="1"/>
        <v>62.928741537717613</v>
      </c>
      <c r="P34" s="50">
        <f t="shared" si="2"/>
        <v>50.490088560793438</v>
      </c>
      <c r="Q34" s="50">
        <f t="shared" si="3"/>
        <v>54.394157634233451</v>
      </c>
    </row>
    <row r="35" spans="1:17">
      <c r="A35" s="78"/>
      <c r="B35" s="46" t="str">
        <f t="shared" si="27"/>
        <v>CWF</v>
      </c>
      <c r="C35" s="79"/>
      <c r="D35" s="46">
        <f t="shared" si="27"/>
        <v>1202</v>
      </c>
      <c r="E35" s="46">
        <f t="shared" si="27"/>
        <v>1211</v>
      </c>
      <c r="F35" s="46">
        <f t="shared" si="27"/>
        <v>649</v>
      </c>
      <c r="G35" s="5">
        <f t="shared" si="28"/>
        <v>66.346822366943641</v>
      </c>
      <c r="H35" s="5">
        <f t="shared" si="28"/>
        <v>76.464226364248816</v>
      </c>
      <c r="I35" s="5">
        <f t="shared" si="28"/>
        <v>41.247877835167301</v>
      </c>
      <c r="J35" s="96"/>
      <c r="M35" s="46">
        <f t="shared" si="0"/>
        <v>10.240109533620043</v>
      </c>
      <c r="N35" s="46">
        <f t="shared" si="5"/>
        <v>32</v>
      </c>
      <c r="O35" s="50">
        <f t="shared" si="1"/>
        <v>60.641819793681506</v>
      </c>
      <c r="P35" s="50">
        <f t="shared" si="2"/>
        <v>50.401710260061463</v>
      </c>
      <c r="Q35" s="50">
        <f t="shared" si="3"/>
        <v>54.042915022032879</v>
      </c>
    </row>
    <row r="36" spans="1:17">
      <c r="A36" s="78"/>
      <c r="B36" s="46" t="str">
        <f t="shared" si="27"/>
        <v>D65</v>
      </c>
      <c r="C36" s="79"/>
      <c r="D36" s="46">
        <f t="shared" si="27"/>
        <v>514.29999999999995</v>
      </c>
      <c r="E36" s="46">
        <f t="shared" si="27"/>
        <v>581.29999999999995</v>
      </c>
      <c r="F36" s="46">
        <f t="shared" si="27"/>
        <v>531.4</v>
      </c>
      <c r="G36" s="5">
        <f t="shared" si="28"/>
        <v>29.671232876712331</v>
      </c>
      <c r="H36" s="5">
        <f t="shared" si="28"/>
        <v>37.745699528407812</v>
      </c>
      <c r="I36" s="5">
        <f t="shared" si="28"/>
        <v>31.325039299348756</v>
      </c>
      <c r="J36" s="96"/>
      <c r="M36" s="46">
        <f t="shared" si="0"/>
        <v>8.0415660903159036</v>
      </c>
      <c r="N36" s="46">
        <f t="shared" si="5"/>
        <v>33</v>
      </c>
      <c r="O36" s="50">
        <f t="shared" si="1"/>
        <v>58.354898049645399</v>
      </c>
      <c r="P36" s="50">
        <f t="shared" si="2"/>
        <v>50.313331959329496</v>
      </c>
      <c r="Q36" s="50">
        <f t="shared" si="3"/>
        <v>53.691672409832307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555.25</v>
      </c>
      <c r="E37" s="46">
        <f t="shared" si="27"/>
        <v>513.70000000000005</v>
      </c>
      <c r="F37" s="46">
        <f t="shared" si="27"/>
        <v>154.55000000000001</v>
      </c>
      <c r="G37" s="5">
        <f t="shared" ref="G37:I39" si="29">G28*$J$37</f>
        <v>91.436678200692029</v>
      </c>
      <c r="H37" s="5">
        <f t="shared" si="29"/>
        <v>20.891782006920415</v>
      </c>
      <c r="I37" s="5">
        <f t="shared" si="29"/>
        <v>40.565657439446362</v>
      </c>
      <c r="J37" s="96">
        <f>J$22/J28</f>
        <v>0.93685121107266434</v>
      </c>
      <c r="K37" s="51" t="str">
        <f>CHAR(34) &amp; "EEpromVersion" &amp;CHAR(34)  &amp; ",3,"</f>
        <v>"EEpromVersion",3,</v>
      </c>
      <c r="M37" s="46">
        <f t="shared" si="0"/>
        <v>5.8430226470117645</v>
      </c>
      <c r="N37" s="46">
        <f t="shared" si="5"/>
        <v>34</v>
      </c>
      <c r="O37" s="50">
        <f t="shared" si="1"/>
        <v>56.067976305609292</v>
      </c>
      <c r="P37" s="50">
        <f t="shared" si="2"/>
        <v>50.224953658597528</v>
      </c>
      <c r="Q37" s="50">
        <f t="shared" si="3"/>
        <v>53.340429797631735</v>
      </c>
    </row>
    <row r="38" spans="1:17">
      <c r="A38" s="78"/>
      <c r="B38" s="46" t="str">
        <f t="shared" si="27"/>
        <v>CWF</v>
      </c>
      <c r="C38" s="79"/>
      <c r="D38" s="46">
        <f t="shared" si="27"/>
        <v>1202</v>
      </c>
      <c r="E38" s="46">
        <f t="shared" si="27"/>
        <v>1211</v>
      </c>
      <c r="F38" s="46">
        <f t="shared" si="27"/>
        <v>649</v>
      </c>
      <c r="G38" s="5">
        <f t="shared" si="29"/>
        <v>64.549048442906582</v>
      </c>
      <c r="H38" s="5">
        <f t="shared" si="29"/>
        <v>75.229152249134941</v>
      </c>
      <c r="I38" s="5">
        <f t="shared" si="29"/>
        <v>42.43935986159169</v>
      </c>
      <c r="J38" s="96"/>
      <c r="K38" s="52" t="str">
        <f>K4</f>
        <v>"Compensation",36,</v>
      </c>
      <c r="M38" s="46">
        <f t="shared" si="0"/>
        <v>3.6444792037076255</v>
      </c>
      <c r="N38" s="46">
        <f t="shared" si="5"/>
        <v>35</v>
      </c>
      <c r="O38" s="50">
        <f t="shared" si="1"/>
        <v>53.781054561573185</v>
      </c>
      <c r="P38" s="50">
        <f t="shared" si="2"/>
        <v>50.13657535786556</v>
      </c>
      <c r="Q38" s="50">
        <f t="shared" si="3"/>
        <v>52.989187185431163</v>
      </c>
    </row>
    <row r="39" spans="1:17">
      <c r="A39" s="78"/>
      <c r="B39" s="46" t="str">
        <f t="shared" si="27"/>
        <v>D65</v>
      </c>
      <c r="C39" s="79"/>
      <c r="D39" s="46">
        <f t="shared" si="27"/>
        <v>514.29999999999995</v>
      </c>
      <c r="E39" s="46">
        <f t="shared" si="27"/>
        <v>581.29999999999995</v>
      </c>
      <c r="F39" s="46">
        <f t="shared" si="27"/>
        <v>531.4</v>
      </c>
      <c r="G39" s="5">
        <f t="shared" si="29"/>
        <v>28.66764705882353</v>
      </c>
      <c r="H39" s="5">
        <f t="shared" si="29"/>
        <v>38.691955017301034</v>
      </c>
      <c r="I39" s="5">
        <f t="shared" si="29"/>
        <v>30.728719723183389</v>
      </c>
      <c r="J39" s="96"/>
      <c r="K39" s="53" t="str">
        <f>linefmt("CardGain",J42,J45,J48)</f>
        <v>"CardGain",13.53985,13.93941,14.68122,</v>
      </c>
      <c r="M39" s="46">
        <f t="shared" si="0"/>
        <v>2.5897475160969989</v>
      </c>
      <c r="N39" s="46">
        <f t="shared" si="5"/>
        <v>36</v>
      </c>
      <c r="O39" s="50">
        <f t="shared" si="1"/>
        <v>51.494132817537078</v>
      </c>
      <c r="P39" s="50">
        <f t="shared" si="2"/>
        <v>50.048197057133592</v>
      </c>
      <c r="Q39" s="50">
        <f t="shared" si="3"/>
        <v>52.637944573230591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"Range",1,0.9728273,0.9368512,</v>
      </c>
      <c r="M40" s="46">
        <f t="shared" si="0"/>
        <v>3.0794908875290474</v>
      </c>
      <c r="N40" s="46">
        <f t="shared" si="5"/>
        <v>37</v>
      </c>
      <c r="O40" s="50">
        <f t="shared" si="1"/>
        <v>49.207211073500972</v>
      </c>
      <c r="P40" s="50">
        <f t="shared" si="2"/>
        <v>49.959818756401617</v>
      </c>
      <c r="Q40" s="50">
        <f t="shared" si="3"/>
        <v>52.286701961030019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5.0151700193645681</v>
      </c>
      <c r="N41" s="46">
        <f t="shared" si="5"/>
        <v>38</v>
      </c>
      <c r="O41" s="50">
        <f t="shared" si="1"/>
        <v>46.920289329464879</v>
      </c>
      <c r="P41" s="50">
        <f t="shared" si="2"/>
        <v>49.871440455669649</v>
      </c>
      <c r="Q41" s="50">
        <f t="shared" si="3"/>
        <v>51.935459348829447</v>
      </c>
    </row>
    <row r="42" spans="1:17">
      <c r="A42" s="4"/>
      <c r="B42" s="46" t="s">
        <v>3</v>
      </c>
      <c r="C42" s="79">
        <f>C31</f>
        <v>0</v>
      </c>
      <c r="D42" s="46">
        <f>I42/$H$43</f>
        <v>0.36412513230631066</v>
      </c>
      <c r="E42" s="46">
        <f>H42/$H$43</f>
        <v>1.019645207303743</v>
      </c>
      <c r="F42" s="46">
        <f>G42/$H$43</f>
        <v>-0.34789117673046793</v>
      </c>
      <c r="G42" s="46">
        <f t="array" ref="G42:I42">LINEST($D31:$D33,$G31:$I33,FALSE)</f>
        <v>-4.7103932471223811</v>
      </c>
      <c r="H42" s="46">
        <v>13.805839929839232</v>
      </c>
      <c r="I42" s="46">
        <v>4.9301985190962059</v>
      </c>
      <c r="J42" s="97">
        <f>H43</f>
        <v>13.539846831964365</v>
      </c>
      <c r="K42" s="53" t="str">
        <f t="shared" ref="K42:K50" si="30">linefmt("",D42,E42,F42)</f>
        <v>0.3641251,1.019645,-0.3478912,</v>
      </c>
      <c r="M42" s="46">
        <f t="shared" si="0"/>
        <v>6.9508491512001029</v>
      </c>
      <c r="N42" s="46">
        <f t="shared" si="5"/>
        <v>39</v>
      </c>
      <c r="O42" s="50">
        <f t="shared" si="1"/>
        <v>44.633367585428772</v>
      </c>
      <c r="P42" s="50">
        <f t="shared" si="2"/>
        <v>49.783062154937681</v>
      </c>
      <c r="Q42" s="50">
        <f t="shared" si="3"/>
        <v>51.584216736628875</v>
      </c>
    </row>
    <row r="43" spans="1:17">
      <c r="A43" s="4"/>
      <c r="B43" s="46" t="s">
        <v>4</v>
      </c>
      <c r="C43" s="79"/>
      <c r="D43" s="46">
        <f>I43/$H$43</f>
        <v>0.17622625793151311</v>
      </c>
      <c r="E43" s="46">
        <f>H43/$H$43</f>
        <v>1</v>
      </c>
      <c r="F43" s="46">
        <f>G43/$H$43</f>
        <v>1.1868472107256632E-2</v>
      </c>
      <c r="G43" s="46">
        <f t="array" ref="G43:I43">LINEST($E31:$E33,$G31:$I33,FALSE)</f>
        <v>0.16069729446169614</v>
      </c>
      <c r="H43" s="46">
        <v>13.539846831964365</v>
      </c>
      <c r="I43" s="46">
        <v>2.3860765401629327</v>
      </c>
      <c r="J43" s="97"/>
      <c r="K43" s="53" t="str">
        <f t="shared" si="30"/>
        <v>0.1762263,1,1.186847E-02,</v>
      </c>
      <c r="M43" s="46">
        <f t="shared" si="0"/>
        <v>8.8865282830356378</v>
      </c>
      <c r="N43" s="46">
        <f t="shared" si="5"/>
        <v>40</v>
      </c>
      <c r="O43" s="50">
        <f t="shared" si="1"/>
        <v>42.346445841392665</v>
      </c>
      <c r="P43" s="50">
        <f t="shared" si="2"/>
        <v>49.694683854205714</v>
      </c>
      <c r="Q43" s="50">
        <f t="shared" si="3"/>
        <v>51.232974124428303</v>
      </c>
    </row>
    <row r="44" spans="1:17">
      <c r="A44" s="4"/>
      <c r="B44" s="46" t="s">
        <v>5</v>
      </c>
      <c r="C44" s="79"/>
      <c r="D44" s="46">
        <f>I44/$H$43</f>
        <v>-0.53300918489797389</v>
      </c>
      <c r="E44" s="46">
        <f>H44/$H$43</f>
        <v>0.40448607191828995</v>
      </c>
      <c r="F44" s="46">
        <f>G44/$H$43</f>
        <v>1.2777013027502386</v>
      </c>
      <c r="G44" s="46">
        <f t="array" ref="G44:I44">LINEST($F$31:$F$33,$G31:$I33,FALSE)</f>
        <v>17.299879936239559</v>
      </c>
      <c r="H44" s="46">
        <v>5.4766794594365686</v>
      </c>
      <c r="I44" s="46">
        <v>-7.2168627235487408</v>
      </c>
      <c r="J44" s="97"/>
      <c r="K44" s="53" t="str">
        <f t="shared" si="30"/>
        <v>-0.5330092,0.4044861,1.277701,</v>
      </c>
      <c r="M44" s="46">
        <f t="shared" si="0"/>
        <v>10.822207414871173</v>
      </c>
      <c r="N44" s="46">
        <f t="shared" si="5"/>
        <v>41</v>
      </c>
      <c r="O44" s="50">
        <f t="shared" si="1"/>
        <v>40.059524097356558</v>
      </c>
      <c r="P44" s="50">
        <f t="shared" si="2"/>
        <v>49.606305553473746</v>
      </c>
      <c r="Q44" s="50">
        <f t="shared" si="3"/>
        <v>50.881731512227731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0.37819450186590042</v>
      </c>
      <c r="E45" s="46">
        <f>H45/$H$46</f>
        <v>1.0212956123584658</v>
      </c>
      <c r="F45" s="46">
        <f>G45/$H$46</f>
        <v>-0.41103255471933164</v>
      </c>
      <c r="G45" s="46">
        <f t="array" ref="G45:I45">LINEST($D34:$D36,$G34:$I36,FALSE)</f>
        <v>-5.7295495567462655</v>
      </c>
      <c r="H45" s="46">
        <v>14.236253931494598</v>
      </c>
      <c r="I45" s="46">
        <v>5.2718066139779944</v>
      </c>
      <c r="J45" s="97">
        <f>H46</f>
        <v>13.939405750132408</v>
      </c>
      <c r="K45" s="53" t="str">
        <f t="shared" si="30"/>
        <v>0.3781945,1.021296,-0.4110326,</v>
      </c>
      <c r="M45" s="46">
        <f t="shared" si="0"/>
        <v>12.757886546706708</v>
      </c>
      <c r="N45" s="46">
        <f t="shared" si="5"/>
        <v>42</v>
      </c>
      <c r="O45" s="50">
        <f t="shared" si="1"/>
        <v>37.772602353320451</v>
      </c>
      <c r="P45" s="50">
        <f t="shared" si="2"/>
        <v>49.517927252741771</v>
      </c>
      <c r="Q45" s="50">
        <f t="shared" si="3"/>
        <v>50.530488900027159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0.19072564035221079</v>
      </c>
      <c r="E46" s="46">
        <f>H46/$H$46</f>
        <v>1</v>
      </c>
      <c r="F46" s="46">
        <f>G46/$H$46</f>
        <v>-5.4360449944058468E-2</v>
      </c>
      <c r="G46" s="46">
        <f t="array" ref="G46:I46">LINEST($E34:$E36,$G34:$I36,FALSE)</f>
        <v>-0.75775236852999361</v>
      </c>
      <c r="H46" s="46">
        <v>13.939405750132408</v>
      </c>
      <c r="I46" s="46">
        <v>2.6586020878232928</v>
      </c>
      <c r="J46" s="97"/>
      <c r="K46" s="53" t="str">
        <f t="shared" si="30"/>
        <v>0.1907256,1,-5.436045E-02,</v>
      </c>
      <c r="M46" s="46">
        <f t="shared" si="0"/>
        <v>14.693565678542242</v>
      </c>
      <c r="N46" s="46">
        <f t="shared" si="5"/>
        <v>43</v>
      </c>
      <c r="O46" s="50">
        <f t="shared" si="1"/>
        <v>35.485680609284344</v>
      </c>
      <c r="P46" s="50">
        <f t="shared" si="2"/>
        <v>49.429548952009803</v>
      </c>
      <c r="Q46" s="50">
        <f t="shared" si="3"/>
        <v>50.179246287826587</v>
      </c>
    </row>
    <row r="47" spans="1:17">
      <c r="A47" s="4"/>
      <c r="B47" s="46" t="str">
        <f t="shared" si="31"/>
        <v>Z</v>
      </c>
      <c r="C47" s="79"/>
      <c r="D47" s="46">
        <f>I47/$H$46</f>
        <v>-0.52475411329612853</v>
      </c>
      <c r="E47" s="46">
        <f>H47/$H$46</f>
        <v>0.39885483674364414</v>
      </c>
      <c r="F47" s="46">
        <f>G47/$H$46</f>
        <v>1.2334282462879915</v>
      </c>
      <c r="G47" s="46">
        <f t="array" ref="G47:I47">LINEST($F$31:$F$33,$G34:$I36,FALSE)</f>
        <v>17.193256788682561</v>
      </c>
      <c r="H47" s="46">
        <v>5.5597994047724759</v>
      </c>
      <c r="I47" s="46">
        <v>-7.3147605042856867</v>
      </c>
      <c r="J47" s="97"/>
      <c r="K47" s="53" t="str">
        <f t="shared" si="30"/>
        <v>-0.5247541,0.3988548,1.233428,</v>
      </c>
      <c r="M47" s="46">
        <f t="shared" si="0"/>
        <v>16.629244810377777</v>
      </c>
      <c r="N47" s="46">
        <f t="shared" si="5"/>
        <v>44</v>
      </c>
      <c r="O47" s="50">
        <f t="shared" si="1"/>
        <v>33.198758865248237</v>
      </c>
      <c r="P47" s="50">
        <f t="shared" si="2"/>
        <v>49.341170651277835</v>
      </c>
      <c r="Q47" s="50">
        <f t="shared" si="3"/>
        <v>49.828003675626015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0.43066895717076858</v>
      </c>
      <c r="E48" s="46">
        <f>H48/$H$49</f>
        <v>1.0436954800269824</v>
      </c>
      <c r="F48" s="46">
        <f>G48/$H$49</f>
        <v>-0.57593491617701342</v>
      </c>
      <c r="G48" s="46">
        <f t="array" ref="G48:I48">LINEST($D37:$D39,$G37:$I39,FALSE)</f>
        <v>-8.4554289062193071</v>
      </c>
      <c r="H48" s="46">
        <v>15.322726028991537</v>
      </c>
      <c r="I48" s="46">
        <v>6.3227469757256918</v>
      </c>
      <c r="J48" s="97">
        <f>H49</f>
        <v>14.6812229450255</v>
      </c>
      <c r="K48" s="53" t="str">
        <f t="shared" si="30"/>
        <v>0.430669,1.043695,-0.5759349,</v>
      </c>
      <c r="M48" s="46">
        <f t="shared" si="0"/>
        <v>18.564923942213312</v>
      </c>
      <c r="N48" s="46">
        <f t="shared" si="5"/>
        <v>45</v>
      </c>
      <c r="O48" s="50">
        <f t="shared" si="1"/>
        <v>30.91183712121213</v>
      </c>
      <c r="P48" s="50">
        <f t="shared" si="2"/>
        <v>49.252792350545867</v>
      </c>
      <c r="Q48" s="50">
        <f t="shared" si="3"/>
        <v>49.476761063425442</v>
      </c>
    </row>
    <row r="49" spans="1:24">
      <c r="A49" s="4"/>
      <c r="B49" s="46" t="str">
        <f t="shared" si="31"/>
        <v>Y</v>
      </c>
      <c r="C49" s="79"/>
      <c r="D49" s="46">
        <f>I49/$H$49</f>
        <v>0.24083184647470993</v>
      </c>
      <c r="E49" s="46">
        <f>H49/$H$49</f>
        <v>1</v>
      </c>
      <c r="F49" s="46">
        <f>G49/$H$49</f>
        <v>-0.1952975367151136</v>
      </c>
      <c r="G49" s="46">
        <f t="array" ref="G49:I49">LINEST($E37:$E39,$G37:$I39,FALSE)</f>
        <v>-2.8672066771288858</v>
      </c>
      <c r="H49" s="46">
        <v>14.6812229450255</v>
      </c>
      <c r="I49" s="46">
        <v>3.5357060303573697</v>
      </c>
      <c r="J49" s="97"/>
      <c r="K49" s="53" t="str">
        <f t="shared" si="30"/>
        <v>0.2408319,1,-0.1952975,</v>
      </c>
      <c r="M49" s="46">
        <f t="shared" si="0"/>
        <v>20.539498672637876</v>
      </c>
      <c r="N49" s="46">
        <f t="shared" si="5"/>
        <v>46</v>
      </c>
      <c r="O49" s="50">
        <f t="shared" si="1"/>
        <v>28.624915377176023</v>
      </c>
      <c r="P49" s="50">
        <f t="shared" si="2"/>
        <v>49.1644140498139</v>
      </c>
      <c r="Q49" s="50">
        <f t="shared" si="3"/>
        <v>49.12551845122487</v>
      </c>
    </row>
    <row r="50" spans="1:24">
      <c r="A50" s="4"/>
      <c r="B50" s="46" t="str">
        <f t="shared" si="31"/>
        <v>Z</v>
      </c>
      <c r="C50" s="79"/>
      <c r="D50" s="46">
        <f>I50/$H$49</f>
        <v>-0.51346524693901419</v>
      </c>
      <c r="E50" s="46">
        <f>H50/$H$49</f>
        <v>0.32260878031111329</v>
      </c>
      <c r="F50" s="46">
        <f>G50/$H$49</f>
        <v>1.2507312742306917</v>
      </c>
      <c r="G50" s="46">
        <f t="array" ref="G50:I50">LINEST($F$31:$F$33,$G37:$I39,FALSE)</f>
        <v>18.362264681296612</v>
      </c>
      <c r="H50" s="46">
        <v>4.7362914277702073</v>
      </c>
      <c r="I50" s="46">
        <v>-7.5382977648342386</v>
      </c>
      <c r="J50" s="97"/>
      <c r="K50" s="54" t="str">
        <f t="shared" si="30"/>
        <v>-0.5134652,0.3226088,1.250731,</v>
      </c>
      <c r="M50" s="46">
        <f t="shared" si="0"/>
        <v>22.738042115942008</v>
      </c>
      <c r="N50" s="46">
        <f t="shared" si="5"/>
        <v>47</v>
      </c>
      <c r="O50" s="50">
        <f t="shared" si="1"/>
        <v>26.337993633139916</v>
      </c>
      <c r="P50" s="50">
        <f t="shared" si="2"/>
        <v>49.076035749081925</v>
      </c>
      <c r="Q50" s="50">
        <f t="shared" si="3"/>
        <v>48.774275839024298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0.39099619711432654</v>
      </c>
      <c r="E51" s="46">
        <f t="shared" ref="E51:F51" si="32">(E42+E45+E48)/3</f>
        <v>1.0282120998963971</v>
      </c>
      <c r="F51" s="46">
        <f t="shared" si="32"/>
        <v>-0.44495288254227106</v>
      </c>
      <c r="J51" s="97">
        <f>(J42+J45+J48)/3</f>
        <v>14.053491842374092</v>
      </c>
      <c r="M51" s="46">
        <f t="shared" si="0"/>
        <v>24.936585559246147</v>
      </c>
      <c r="N51" s="46">
        <f t="shared" si="5"/>
        <v>48</v>
      </c>
      <c r="O51" s="50">
        <f t="shared" si="1"/>
        <v>24.05107188910381</v>
      </c>
      <c r="P51" s="50">
        <f t="shared" si="2"/>
        <v>48.987657448349957</v>
      </c>
      <c r="Q51" s="50">
        <f t="shared" si="3"/>
        <v>48.423033226823726</v>
      </c>
    </row>
    <row r="52" spans="1:24">
      <c r="B52" s="46" t="str">
        <f t="shared" si="31"/>
        <v>Y</v>
      </c>
      <c r="C52" s="79"/>
      <c r="D52" s="46">
        <f t="shared" ref="D52:F53" si="33">(D43+D46+D49)/3</f>
        <v>0.2025945815861446</v>
      </c>
      <c r="E52" s="46">
        <f t="shared" si="33"/>
        <v>1</v>
      </c>
      <c r="F52" s="46">
        <f t="shared" si="33"/>
        <v>-7.926317151730515E-2</v>
      </c>
      <c r="J52" s="97"/>
      <c r="M52" s="46">
        <f t="shared" si="0"/>
        <v>27.135129002550272</v>
      </c>
      <c r="N52" s="46">
        <f t="shared" si="5"/>
        <v>49</v>
      </c>
      <c r="O52" s="50">
        <f t="shared" si="1"/>
        <v>21.764150145067717</v>
      </c>
      <c r="P52" s="50">
        <f t="shared" si="2"/>
        <v>48.899279147617989</v>
      </c>
      <c r="Q52" s="50">
        <f t="shared" si="3"/>
        <v>48.071790614623154</v>
      </c>
    </row>
    <row r="53" spans="1:24" ht="15.75" thickBot="1">
      <c r="B53" s="46" t="str">
        <f t="shared" si="31"/>
        <v>Z</v>
      </c>
      <c r="C53" s="79"/>
      <c r="D53" s="46">
        <f t="shared" si="33"/>
        <v>-0.52374284837770546</v>
      </c>
      <c r="E53" s="46">
        <f t="shared" si="33"/>
        <v>0.37531656299101579</v>
      </c>
      <c r="F53" s="46">
        <f t="shared" si="33"/>
        <v>1.2539536077563074</v>
      </c>
      <c r="J53" s="100"/>
      <c r="M53" s="46">
        <f t="shared" si="0"/>
        <v>29.333672445854411</v>
      </c>
      <c r="N53" s="46">
        <f t="shared" si="5"/>
        <v>50</v>
      </c>
      <c r="O53" s="50">
        <f t="shared" si="1"/>
        <v>19.47722840103161</v>
      </c>
      <c r="P53" s="50">
        <f t="shared" si="2"/>
        <v>48.810900846886021</v>
      </c>
      <c r="Q53" s="50">
        <f t="shared" si="3"/>
        <v>47.720548002422582</v>
      </c>
    </row>
    <row r="54" spans="1:24">
      <c r="B54" s="79" t="s">
        <v>14</v>
      </c>
      <c r="C54" s="79"/>
      <c r="D54" s="19">
        <f>I54/$H$55</f>
        <v>0.3847572935895936</v>
      </c>
      <c r="E54" s="20">
        <f>H54/$H$55</f>
        <v>1.0264772687945631</v>
      </c>
      <c r="F54" s="21">
        <f>G54/$H$55</f>
        <v>-0.42410180612158316</v>
      </c>
      <c r="G54" s="46">
        <f t="array" ref="G54:I54">LINEST(D$31:D$39,$G$31:$I$39,FALSE)</f>
        <v>-5.9170968099115004</v>
      </c>
      <c r="H54" s="46">
        <v>14.321479618716191</v>
      </c>
      <c r="I54" s="46">
        <v>5.3681595353463054</v>
      </c>
      <c r="J54" s="98">
        <f>H55</f>
        <v>13.952066990762034</v>
      </c>
      <c r="M54" s="46">
        <f t="shared" si="0"/>
        <v>31.53221588915855</v>
      </c>
      <c r="N54" s="46">
        <f t="shared" si="5"/>
        <v>51</v>
      </c>
      <c r="O54" s="50">
        <f t="shared" si="1"/>
        <v>17.190306656995503</v>
      </c>
      <c r="P54" s="50">
        <f t="shared" si="2"/>
        <v>48.722522546154053</v>
      </c>
      <c r="Q54" s="50">
        <f t="shared" si="3"/>
        <v>47.36930539022201</v>
      </c>
    </row>
    <row r="55" spans="1:24" ht="15" customHeight="1">
      <c r="B55" s="79"/>
      <c r="C55" s="79"/>
      <c r="D55" s="22">
        <f>I55/$H$55</f>
        <v>0.19766858331912923</v>
      </c>
      <c r="E55" s="18">
        <f>H55/$H$55</f>
        <v>1</v>
      </c>
      <c r="F55" s="23">
        <f>G55/$H$55</f>
        <v>-6.2545953502772783E-2</v>
      </c>
      <c r="G55" s="46">
        <f t="array" ref="G55:I55">LINEST(E$31:E$39,$G$31:$I$39,FALSE)</f>
        <v>-0.87264533327177318</v>
      </c>
      <c r="H55" s="46">
        <v>13.952066990762034</v>
      </c>
      <c r="I55" s="46">
        <v>2.7578853164375179</v>
      </c>
      <c r="J55" s="98"/>
      <c r="M55" s="46">
        <f t="shared" si="0"/>
        <v>33.730759332462682</v>
      </c>
      <c r="N55" s="46">
        <f t="shared" si="5"/>
        <v>52</v>
      </c>
      <c r="O55" s="50">
        <f t="shared" si="1"/>
        <v>14.903384912959396</v>
      </c>
      <c r="P55" s="50">
        <f t="shared" si="2"/>
        <v>48.634144245422078</v>
      </c>
      <c r="Q55" s="50">
        <f t="shared" si="3"/>
        <v>47.018062778021438</v>
      </c>
    </row>
    <row r="56" spans="1:24" ht="15" customHeight="1" thickBot="1">
      <c r="B56" s="79"/>
      <c r="C56" s="79"/>
      <c r="D56" s="24">
        <f>I56/$H$55</f>
        <v>-0.5214077421159713</v>
      </c>
      <c r="E56" s="25">
        <f>H56/$H$55</f>
        <v>0.38138675936271638</v>
      </c>
      <c r="F56" s="26">
        <f>G56/$H$55</f>
        <v>1.2477545401097785</v>
      </c>
      <c r="G56" s="46">
        <f t="array" ref="G56:I56">LINEST(F$31:F$39,$G$31:$I$39,FALSE)</f>
        <v>17.408754931639102</v>
      </c>
      <c r="H56" s="46">
        <v>5.3211336160182583</v>
      </c>
      <c r="I56" s="46">
        <v>-7.2747157475040067</v>
      </c>
      <c r="J56" s="98"/>
      <c r="M56" s="46">
        <f t="shared" si="0"/>
        <v>35.929302775766821</v>
      </c>
      <c r="N56" s="46">
        <f t="shared" si="5"/>
        <v>53</v>
      </c>
      <c r="O56" s="50">
        <f t="shared" si="1"/>
        <v>12.616463168923289</v>
      </c>
      <c r="P56" s="50">
        <f t="shared" si="2"/>
        <v>48.54576594469011</v>
      </c>
      <c r="Q56" s="50">
        <f t="shared" si="3"/>
        <v>46.666820165820866</v>
      </c>
    </row>
    <row r="57" spans="1:24">
      <c r="M57" s="46">
        <f t="shared" si="0"/>
        <v>38.12784621907096</v>
      </c>
      <c r="N57" s="46">
        <f t="shared" si="5"/>
        <v>54</v>
      </c>
      <c r="O57" s="50">
        <f t="shared" si="1"/>
        <v>10.329541424887182</v>
      </c>
      <c r="P57" s="50">
        <f t="shared" si="2"/>
        <v>48.457387643958143</v>
      </c>
      <c r="Q57" s="50">
        <f t="shared" si="3"/>
        <v>46.315577553620287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40.326389662375099</v>
      </c>
      <c r="N58" s="46">
        <f t="shared" si="5"/>
        <v>55</v>
      </c>
      <c r="O58" s="50">
        <f t="shared" si="1"/>
        <v>8.0426196808510753</v>
      </c>
      <c r="P58" s="50">
        <f t="shared" si="2"/>
        <v>48.369009343226175</v>
      </c>
      <c r="Q58" s="50">
        <f t="shared" si="3"/>
        <v>45.964334941419722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42.524933105679224</v>
      </c>
      <c r="N59" s="46">
        <f t="shared" si="5"/>
        <v>56</v>
      </c>
      <c r="O59" s="50">
        <f t="shared" si="1"/>
        <v>5.7556979368149825</v>
      </c>
      <c r="P59" s="50">
        <f t="shared" si="2"/>
        <v>48.280631042494207</v>
      </c>
      <c r="Q59" s="50">
        <f t="shared" si="3"/>
        <v>45.613092329219143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513.70000000000005</v>
      </c>
      <c r="E60" s="32">
        <f t="shared" ref="E60:E68" si="37">getCCTfromXY(D22/SUM(D22:F22),E22/SUM(D22:F22))</f>
        <v>2864</v>
      </c>
      <c r="F60" s="31">
        <f t="shared" ref="F60:F68" si="38">V60</f>
        <v>515.20836338978609</v>
      </c>
      <c r="G60" s="32">
        <f t="shared" ref="G60:G68" si="39">getCCTfromXY(U60/X60,V60/X60)</f>
        <v>2840</v>
      </c>
      <c r="H60" s="33">
        <f>F60/D60-1</f>
        <v>2.9362729020556699E-3</v>
      </c>
      <c r="I60" s="34">
        <f t="shared" ref="I60:I68" si="40">G60/E60-1</f>
        <v>-8.379888268156388E-3</v>
      </c>
      <c r="M60" s="46">
        <f t="shared" si="0"/>
        <v>44.723476548983356</v>
      </c>
      <c r="N60" s="46">
        <f t="shared" si="5"/>
        <v>57</v>
      </c>
      <c r="O60" s="50">
        <f t="shared" si="1"/>
        <v>3.4687761927788756</v>
      </c>
      <c r="P60" s="50">
        <f t="shared" si="2"/>
        <v>48.192252741762232</v>
      </c>
      <c r="Q60" s="50">
        <f t="shared" si="3"/>
        <v>45.261849717018578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558.09277182912263</v>
      </c>
      <c r="V60" s="50">
        <f>$J$54*$J$31*($D$55*G22+$E$55*H22+$F$55*I22)</f>
        <v>515.20836338978609</v>
      </c>
      <c r="W60" s="50">
        <f>$J$54*$J$31*($D$56*G22+$E$56*H22+$F$56*I22)</f>
        <v>150.28648437256825</v>
      </c>
      <c r="X60" s="29">
        <f>SUM(U60:W60)</f>
        <v>1223.5876195914771</v>
      </c>
    </row>
    <row r="61" spans="1:24">
      <c r="A61" s="87"/>
      <c r="B61" s="48" t="str">
        <f t="shared" si="35"/>
        <v>CWF</v>
      </c>
      <c r="C61" s="93"/>
      <c r="D61" s="31">
        <f t="shared" si="36"/>
        <v>1211</v>
      </c>
      <c r="E61" s="32">
        <f t="shared" si="37"/>
        <v>3852</v>
      </c>
      <c r="F61" s="31">
        <f t="shared" si="38"/>
        <v>1225.359328162396</v>
      </c>
      <c r="G61" s="32">
        <f t="shared" si="39"/>
        <v>3782</v>
      </c>
      <c r="H61" s="33">
        <f t="shared" ref="H61:H68" si="41">F61/D61-1</f>
        <v>1.1857413841780406E-2</v>
      </c>
      <c r="I61" s="34">
        <f t="shared" si="40"/>
        <v>-1.8172377985462118E-2</v>
      </c>
      <c r="M61" s="46">
        <f t="shared" si="0"/>
        <v>46.922019992287495</v>
      </c>
      <c r="N61" s="46">
        <f t="shared" si="5"/>
        <v>58</v>
      </c>
      <c r="O61" s="50">
        <f t="shared" si="1"/>
        <v>1.1818544487427687</v>
      </c>
      <c r="P61" s="50">
        <f t="shared" si="2"/>
        <v>48.103874441030264</v>
      </c>
      <c r="Q61" s="50">
        <f t="shared" si="3"/>
        <v>44.910607104817998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1221.6652080471085</v>
      </c>
      <c r="V61" s="50">
        <f>$J$54*$J$31*($D$55*G23+$E$55*H23+$F$55*I23)</f>
        <v>1225.359328162396</v>
      </c>
      <c r="W61" s="50">
        <f>$J$54*$J$31*($D$56*G23+$E$56*H23+$F$56*I23)</f>
        <v>637.58605150213157</v>
      </c>
      <c r="X61" s="29">
        <f t="shared" ref="X61:X68" si="43">SUM(U61:W61)</f>
        <v>3084.6105877116361</v>
      </c>
    </row>
    <row r="62" spans="1:24">
      <c r="A62" s="87"/>
      <c r="B62" s="48" t="str">
        <f t="shared" si="35"/>
        <v>D65</v>
      </c>
      <c r="C62" s="93"/>
      <c r="D62" s="31">
        <f t="shared" si="36"/>
        <v>581.29999999999995</v>
      </c>
      <c r="E62" s="32">
        <f t="shared" si="37"/>
        <v>6288</v>
      </c>
      <c r="F62" s="31">
        <f t="shared" si="38"/>
        <v>575.47407536136723</v>
      </c>
      <c r="G62" s="32">
        <f t="shared" si="39"/>
        <v>6305</v>
      </c>
      <c r="H62" s="33">
        <f t="shared" si="41"/>
        <v>-1.002223402482838E-2</v>
      </c>
      <c r="I62" s="34">
        <f t="shared" si="40"/>
        <v>2.7035623409670251E-3</v>
      </c>
      <c r="M62" s="46">
        <f t="shared" si="0"/>
        <v>49.120563435591635</v>
      </c>
      <c r="N62" s="46">
        <f t="shared" si="5"/>
        <v>59</v>
      </c>
      <c r="O62" s="50">
        <f t="shared" si="1"/>
        <v>-1.1050672952933382</v>
      </c>
      <c r="P62" s="50">
        <f t="shared" si="2"/>
        <v>48.015496140298296</v>
      </c>
      <c r="Q62" s="50">
        <f t="shared" si="3"/>
        <v>44.559364492617433</v>
      </c>
      <c r="R62" s="78"/>
      <c r="S62" s="46" t="str">
        <f t="shared" si="42"/>
        <v>D65</v>
      </c>
      <c r="T62" s="79"/>
      <c r="U62" s="50">
        <f>$J$54*$J$31*($D$54*G24+$E$54*H24+$F$54*I24)</f>
        <v>508.88870133738459</v>
      </c>
      <c r="V62" s="50">
        <f>$J$54*$J$31*($D$55*G24+$E$55*H24+$F$55*I24)</f>
        <v>575.47407536136723</v>
      </c>
      <c r="W62" s="50">
        <f>$J$54*$J$31*($D$56*G24+$E$56*H24+$F$56*I24)</f>
        <v>527.27350421119161</v>
      </c>
      <c r="X62" s="29">
        <f t="shared" si="43"/>
        <v>1611.6362809099433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513.70000000000005</v>
      </c>
      <c r="E63" s="32">
        <f t="shared" si="37"/>
        <v>2864</v>
      </c>
      <c r="F63" s="31">
        <f t="shared" si="38"/>
        <v>518.23911196363224</v>
      </c>
      <c r="G63" s="32">
        <f t="shared" si="39"/>
        <v>2898</v>
      </c>
      <c r="H63" s="33">
        <f t="shared" si="41"/>
        <v>8.8361143928989971E-3</v>
      </c>
      <c r="I63" s="34">
        <f t="shared" si="40"/>
        <v>1.1871508379888374E-2</v>
      </c>
      <c r="M63" s="46">
        <f t="shared" si="0"/>
        <v>51.319106878895774</v>
      </c>
      <c r="N63" s="46">
        <f t="shared" si="5"/>
        <v>60</v>
      </c>
      <c r="O63" s="50">
        <f t="shared" si="1"/>
        <v>-3.3919890393294452</v>
      </c>
      <c r="P63" s="50">
        <f t="shared" si="2"/>
        <v>47.927117839566328</v>
      </c>
      <c r="Q63" s="50">
        <f t="shared" si="3"/>
        <v>44.208121880416854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558.25490432504944</v>
      </c>
      <c r="V63" s="50">
        <f>$J$54*$J$34*($D$55*G25+$E$55*H25+$F$55*I25)</f>
        <v>518.23911196363224</v>
      </c>
      <c r="W63" s="50">
        <f>$J$54*$J$34*($D$56*G25+$E$56*H25+$F$56*I25)</f>
        <v>161.36479423953685</v>
      </c>
      <c r="X63" s="29">
        <f t="shared" si="43"/>
        <v>1237.8588105282186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1211</v>
      </c>
      <c r="E64" s="32">
        <f t="shared" si="37"/>
        <v>3852</v>
      </c>
      <c r="F64" s="31">
        <f t="shared" si="38"/>
        <v>1213.8161677286512</v>
      </c>
      <c r="G64" s="32">
        <f t="shared" si="39"/>
        <v>3821</v>
      </c>
      <c r="H64" s="33">
        <f t="shared" si="41"/>
        <v>2.3254894538820015E-3</v>
      </c>
      <c r="I64" s="34">
        <f t="shared" si="40"/>
        <v>-8.0477673935618332E-3</v>
      </c>
      <c r="M64" s="46">
        <f t="shared" si="0"/>
        <v>53.517650322199913</v>
      </c>
      <c r="N64" s="46">
        <f t="shared" si="5"/>
        <v>61</v>
      </c>
      <c r="O64" s="50">
        <f t="shared" si="1"/>
        <v>-5.6789107833655521</v>
      </c>
      <c r="P64" s="50">
        <f t="shared" si="2"/>
        <v>47.838739538834361</v>
      </c>
      <c r="Q64" s="50">
        <f t="shared" si="3"/>
        <v>43.856879268216289</v>
      </c>
      <c r="R64" s="78"/>
      <c r="S64" s="46" t="str">
        <f t="shared" si="42"/>
        <v>CWF</v>
      </c>
      <c r="T64" s="79"/>
      <c r="U64" s="50">
        <f>$J$54*$J$34*($D$54*G26+$E$54*H26+$F$54*I26)</f>
        <v>1207.1735002114392</v>
      </c>
      <c r="V64" s="50">
        <f>$J$54*$J$34*($D$55*G26+$E$55*H26+$F$55*I26)</f>
        <v>1213.8161677286512</v>
      </c>
      <c r="W64" s="50">
        <f>$J$54*$J$34*($D$56*G26+$E$56*H26+$F$56*I26)</f>
        <v>642.29628854259408</v>
      </c>
      <c r="X64" s="29">
        <f t="shared" si="43"/>
        <v>3063.2859564826845</v>
      </c>
    </row>
    <row r="65" spans="1:24">
      <c r="A65" s="87"/>
      <c r="B65" s="48" t="str">
        <f t="shared" si="35"/>
        <v>D65</v>
      </c>
      <c r="C65" s="93"/>
      <c r="D65" s="31">
        <f t="shared" si="36"/>
        <v>581.29999999999995</v>
      </c>
      <c r="E65" s="32">
        <f t="shared" si="37"/>
        <v>6288</v>
      </c>
      <c r="F65" s="31">
        <f t="shared" si="38"/>
        <v>581.12473654567225</v>
      </c>
      <c r="G65" s="32">
        <f t="shared" si="39"/>
        <v>6273</v>
      </c>
      <c r="H65" s="33">
        <f t="shared" si="41"/>
        <v>-3.0150258786809658E-4</v>
      </c>
      <c r="I65" s="34">
        <f t="shared" si="40"/>
        <v>-2.3854961832061594E-3</v>
      </c>
      <c r="M65" s="46">
        <f t="shared" si="0"/>
        <v>55.716193765504045</v>
      </c>
      <c r="N65" s="46">
        <f t="shared" si="5"/>
        <v>62</v>
      </c>
      <c r="O65" s="50">
        <f t="shared" si="1"/>
        <v>-7.965832527401659</v>
      </c>
      <c r="P65" s="50">
        <f t="shared" si="2"/>
        <v>47.750361238102386</v>
      </c>
      <c r="Q65" s="50">
        <f t="shared" si="3"/>
        <v>43.50563665601571</v>
      </c>
      <c r="R65" s="78"/>
      <c r="S65" s="46" t="str">
        <f t="shared" si="42"/>
        <v>D65</v>
      </c>
      <c r="T65" s="79"/>
      <c r="U65" s="50">
        <f>$J$54*$J$34*($D$54*G27+$E$54*H27+$F$54*I27)</f>
        <v>514.50088807435304</v>
      </c>
      <c r="V65" s="50">
        <f>$J$54*$J$34*($D$55*G27+$E$55*H27+$F$55*I27)</f>
        <v>581.12473654567225</v>
      </c>
      <c r="W65" s="50">
        <f>$J$54*$J$34*($D$56*G27+$E$56*H27+$F$56*I27)</f>
        <v>530.33005795098393</v>
      </c>
      <c r="X65" s="29">
        <f t="shared" si="43"/>
        <v>1625.9556825710092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513.70000000000005</v>
      </c>
      <c r="E66" s="32">
        <f t="shared" si="37"/>
        <v>2864</v>
      </c>
      <c r="F66" s="31">
        <f t="shared" si="38"/>
        <v>508.25598265482733</v>
      </c>
      <c r="G66" s="32">
        <f t="shared" si="39"/>
        <v>2856</v>
      </c>
      <c r="H66" s="33">
        <f t="shared" si="41"/>
        <v>-1.0597658838179314E-2</v>
      </c>
      <c r="I66" s="34">
        <f t="shared" si="40"/>
        <v>-2.7932960893854997E-3</v>
      </c>
      <c r="M66" s="46">
        <f t="shared" si="0"/>
        <v>57.914737208808184</v>
      </c>
      <c r="N66" s="46">
        <f t="shared" si="5"/>
        <v>63</v>
      </c>
      <c r="O66" s="50">
        <f t="shared" si="1"/>
        <v>-10.252754271437766</v>
      </c>
      <c r="P66" s="50">
        <f t="shared" si="2"/>
        <v>47.661982937370418</v>
      </c>
      <c r="Q66" s="50">
        <f t="shared" si="3"/>
        <v>43.154394043815145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550.01698394729817</v>
      </c>
      <c r="V66" s="50">
        <f>$J$54*$J$37*($D$55*G28+$E$55*H28+$F$55*I28)</f>
        <v>508.25598265482733</v>
      </c>
      <c r="W66" s="50">
        <f>$J$54*$J$37*($D$56*G28+$E$56*H28+$F$56*I28)</f>
        <v>152.18970973366328</v>
      </c>
      <c r="X66" s="29">
        <f t="shared" si="43"/>
        <v>1210.4626763357887</v>
      </c>
    </row>
    <row r="67" spans="1:24">
      <c r="A67" s="87"/>
      <c r="B67" s="48" t="str">
        <f t="shared" si="35"/>
        <v>CWF</v>
      </c>
      <c r="C67" s="93"/>
      <c r="D67" s="31">
        <f t="shared" si="36"/>
        <v>1211</v>
      </c>
      <c r="E67" s="32">
        <f t="shared" si="37"/>
        <v>3852</v>
      </c>
      <c r="F67" s="31">
        <f t="shared" si="38"/>
        <v>1190.5865353986137</v>
      </c>
      <c r="G67" s="32">
        <f t="shared" si="39"/>
        <v>3977</v>
      </c>
      <c r="H67" s="33">
        <f t="shared" si="41"/>
        <v>-1.6856700744332209E-2</v>
      </c>
      <c r="I67" s="34">
        <f t="shared" si="40"/>
        <v>3.2450674974039417E-2</v>
      </c>
      <c r="R67" s="78"/>
      <c r="S67" s="46" t="str">
        <f t="shared" si="42"/>
        <v>CWF</v>
      </c>
      <c r="T67" s="79"/>
      <c r="U67" s="50">
        <f>$J$54*$J$37*($D$54*G29+$E$54*H29+$F$54*I29)</f>
        <v>1172.7845597138926</v>
      </c>
      <c r="V67" s="50">
        <f>$J$54*$J$37*($D$55*G29+$E$55*H29+$F$55*I29)</f>
        <v>1190.5865353986137</v>
      </c>
      <c r="W67" s="50">
        <f>$J$54*$J$37*($D$56*G29+$E$56*H29+$F$56*I29)</f>
        <v>669.54480702950696</v>
      </c>
      <c r="X67" s="29">
        <f t="shared" si="43"/>
        <v>3032.9159021420132</v>
      </c>
    </row>
    <row r="68" spans="1:24">
      <c r="A68" s="87"/>
      <c r="B68" s="48" t="str">
        <f t="shared" si="35"/>
        <v>D65</v>
      </c>
      <c r="C68" s="93"/>
      <c r="D68" s="31">
        <f t="shared" si="36"/>
        <v>581.29999999999995</v>
      </c>
      <c r="E68" s="32">
        <f t="shared" si="37"/>
        <v>6288</v>
      </c>
      <c r="F68" s="31">
        <f t="shared" si="38"/>
        <v>592.07955742142553</v>
      </c>
      <c r="G68" s="32">
        <f t="shared" si="39"/>
        <v>6162</v>
      </c>
      <c r="H68" s="33">
        <f t="shared" si="41"/>
        <v>1.8543879961165688E-2</v>
      </c>
      <c r="I68" s="34">
        <f t="shared" si="40"/>
        <v>-2.0038167938931317E-2</v>
      </c>
      <c r="R68" s="78"/>
      <c r="S68" s="46" t="str">
        <f t="shared" si="42"/>
        <v>D65</v>
      </c>
      <c r="T68" s="79"/>
      <c r="U68" s="50">
        <f>$J$54*$J$37*($D$54*G30+$E$54*H30+$F$54*I30)</f>
        <v>526.19373865661339</v>
      </c>
      <c r="V68" s="50">
        <f>$J$54*$J$37*($D$55*G30+$E$55*H30+$F$55*I30)</f>
        <v>592.07955742142553</v>
      </c>
      <c r="W68" s="50">
        <f>$J$54*$J$37*($D$56*G30+$E$56*H30+$F$56*I30)</f>
        <v>532.28483003324095</v>
      </c>
      <c r="X68" s="29">
        <f t="shared" si="43"/>
        <v>1650.55812611128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1.8543879961165688E-2</v>
      </c>
      <c r="G69" s="47"/>
      <c r="H69" s="36" t="str">
        <f>I59</f>
        <v>CCT</v>
      </c>
      <c r="I69" s="38">
        <f>MAX(MAX(I60:I68,-MIN(I60:I68)))</f>
        <v>3.2450674974039417E-2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513.70000000000005</v>
      </c>
      <c r="E72" s="31">
        <f t="shared" ref="E72:E80" si="47">E60</f>
        <v>2864</v>
      </c>
      <c r="F72" s="31">
        <f t="shared" ref="F72:F80" si="48">V72</f>
        <v>515.89309052423516</v>
      </c>
      <c r="G72" s="32">
        <f t="shared" ref="G72:G80" si="49">getCCTfromXY(U72/X72,V72/X72)</f>
        <v>2837</v>
      </c>
      <c r="H72" s="33">
        <f>F72/D72-1</f>
        <v>4.2692048359647128E-3</v>
      </c>
      <c r="I72" s="34">
        <f t="shared" ref="I72:I80" si="50">G72/E72-1</f>
        <v>-9.4273743016759504E-3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558.98071064820226</v>
      </c>
      <c r="V72" s="50">
        <f>$J$51*$J$31*($D$52*G22+$E$52*H22+$F$52*I22)</f>
        <v>515.89309052423516</v>
      </c>
      <c r="W72" s="50">
        <f>$J$51*$J$31*($D$53*G22+$E$53*H22+$F$53*I22)</f>
        <v>150.02322665369988</v>
      </c>
      <c r="X72" s="29">
        <f>SUM(U72:W72)</f>
        <v>1224.8970278261372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1211</v>
      </c>
      <c r="E73" s="31">
        <f t="shared" si="47"/>
        <v>3852</v>
      </c>
      <c r="F73" s="31">
        <f t="shared" si="48"/>
        <v>1229.2757236429529</v>
      </c>
      <c r="G73" s="32">
        <f t="shared" si="49"/>
        <v>3772</v>
      </c>
      <c r="H73" s="33">
        <f t="shared" ref="H73:H80" si="52">F73/D73-1</f>
        <v>1.5091431579647319E-2</v>
      </c>
      <c r="I73" s="34">
        <f t="shared" si="50"/>
        <v>-2.0768431983385294E-2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1226.291502409294</v>
      </c>
      <c r="V73" s="50">
        <f t="shared" ref="V73:V74" si="55">$J$51*$J$31*($D$52*G23+$E$52*H23+$F$52*I23)</f>
        <v>1229.2757236429529</v>
      </c>
      <c r="W73" s="50">
        <f t="shared" ref="W73:W74" si="56">$J$51*$J$31*($D$53*G23+$E$53*H23+$F$53*I23)</f>
        <v>637.0095563901009</v>
      </c>
      <c r="X73" s="29">
        <f t="shared" ref="X73:X80" si="57">SUM(U73:W73)</f>
        <v>3092.5767824423478</v>
      </c>
    </row>
    <row r="74" spans="1:24">
      <c r="A74" s="87"/>
      <c r="B74" s="48" t="str">
        <f t="shared" si="46"/>
        <v>X</v>
      </c>
      <c r="C74" s="93"/>
      <c r="D74" s="31">
        <f t="shared" si="51"/>
        <v>581.29999999999995</v>
      </c>
      <c r="E74" s="31">
        <f t="shared" si="47"/>
        <v>6288</v>
      </c>
      <c r="F74" s="31">
        <f t="shared" si="48"/>
        <v>574.37937418662682</v>
      </c>
      <c r="G74" s="32">
        <f t="shared" si="49"/>
        <v>6357</v>
      </c>
      <c r="H74" s="33">
        <f t="shared" si="52"/>
        <v>-1.1905428889339653E-2</v>
      </c>
      <c r="I74" s="34">
        <f t="shared" si="50"/>
        <v>1.09732824427482E-2</v>
      </c>
      <c r="R74" s="78"/>
      <c r="S74" s="46" t="str">
        <f t="shared" si="53"/>
        <v>D65</v>
      </c>
      <c r="T74" s="79"/>
      <c r="U74" s="50">
        <f t="shared" si="54"/>
        <v>506.95563705662039</v>
      </c>
      <c r="V74" s="50">
        <f t="shared" si="55"/>
        <v>574.37937418662682</v>
      </c>
      <c r="W74" s="50">
        <f t="shared" si="56"/>
        <v>529.66389786000377</v>
      </c>
      <c r="X74" s="29">
        <f t="shared" si="57"/>
        <v>1610.998909103251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513.70000000000005</v>
      </c>
      <c r="E75" s="31">
        <f t="shared" si="47"/>
        <v>2864</v>
      </c>
      <c r="F75" s="31">
        <f t="shared" si="48"/>
        <v>518.84640763664834</v>
      </c>
      <c r="G75" s="32">
        <f t="shared" si="49"/>
        <v>2896</v>
      </c>
      <c r="H75" s="33">
        <f t="shared" si="52"/>
        <v>1.0018313483839414E-2</v>
      </c>
      <c r="I75" s="34">
        <f t="shared" si="50"/>
        <v>1.1173184357541999E-2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559.02826813906188</v>
      </c>
      <c r="V75" s="50">
        <f>$J$51*$J$34*($D$52*G25+$E$52*H25+$F$52*I25)</f>
        <v>518.84640763664834</v>
      </c>
      <c r="W75" s="50">
        <f>$J$51*$J$34*($D$53*G25+$E$53*H25+$F$53*I25)</f>
        <v>161.19182571680963</v>
      </c>
      <c r="X75" s="29">
        <f t="shared" si="57"/>
        <v>1239.06650149252</v>
      </c>
    </row>
    <row r="76" spans="1:24">
      <c r="A76" s="87"/>
      <c r="B76" s="48" t="str">
        <f t="shared" si="46"/>
        <v>Z</v>
      </c>
      <c r="C76" s="93"/>
      <c r="D76" s="31">
        <f t="shared" si="51"/>
        <v>1211</v>
      </c>
      <c r="E76" s="31">
        <f t="shared" si="47"/>
        <v>3852</v>
      </c>
      <c r="F76" s="31">
        <f t="shared" si="48"/>
        <v>1217.5424715803933</v>
      </c>
      <c r="G76" s="32">
        <f t="shared" si="49"/>
        <v>3812</v>
      </c>
      <c r="H76" s="33">
        <f t="shared" si="52"/>
        <v>5.4025363999945508E-3</v>
      </c>
      <c r="I76" s="34">
        <f t="shared" si="50"/>
        <v>-1.0384215991692591E-2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1211.5436034750551</v>
      </c>
      <c r="V76" s="50">
        <f t="shared" ref="V76:V77" si="59">$J$51*$J$34*($D$52*G26+$E$52*H26+$F$52*I26)</f>
        <v>1217.5424715803933</v>
      </c>
      <c r="W76" s="50">
        <f t="shared" ref="W76:W77" si="60">$J$51*$J$34*($D$53*G26+$E$53*H26+$F$53*I26)</f>
        <v>641.85869820542428</v>
      </c>
      <c r="X76" s="29">
        <f t="shared" si="57"/>
        <v>3070.9447732608728</v>
      </c>
    </row>
    <row r="77" spans="1:24">
      <c r="A77" s="87"/>
      <c r="B77" s="48" t="str">
        <f t="shared" si="46"/>
        <v>X</v>
      </c>
      <c r="C77" s="93"/>
      <c r="D77" s="31">
        <f t="shared" si="51"/>
        <v>581.29999999999995</v>
      </c>
      <c r="E77" s="31">
        <f t="shared" si="47"/>
        <v>6288</v>
      </c>
      <c r="F77" s="31">
        <f t="shared" si="48"/>
        <v>580.0439428170215</v>
      </c>
      <c r="G77" s="32">
        <f t="shared" si="49"/>
        <v>6324</v>
      </c>
      <c r="H77" s="33">
        <f t="shared" si="52"/>
        <v>-2.1607727214492112E-3</v>
      </c>
      <c r="I77" s="34">
        <f t="shared" si="50"/>
        <v>5.7251908396946938E-3</v>
      </c>
      <c r="R77" s="78"/>
      <c r="S77" s="46" t="str">
        <f t="shared" si="53"/>
        <v>D65</v>
      </c>
      <c r="T77" s="79"/>
      <c r="U77" s="50">
        <f t="shared" si="58"/>
        <v>512.58365574475272</v>
      </c>
      <c r="V77" s="50">
        <f t="shared" si="59"/>
        <v>580.0439428170215</v>
      </c>
      <c r="W77" s="50">
        <f t="shared" si="60"/>
        <v>532.72060310733707</v>
      </c>
      <c r="X77" s="29">
        <f t="shared" si="57"/>
        <v>1625.3482016691114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513.70000000000005</v>
      </c>
      <c r="E78" s="31">
        <f t="shared" si="47"/>
        <v>2864</v>
      </c>
      <c r="F78" s="31">
        <f t="shared" si="48"/>
        <v>508.75038658719944</v>
      </c>
      <c r="G78" s="32">
        <f t="shared" si="49"/>
        <v>2854</v>
      </c>
      <c r="H78" s="33">
        <f t="shared" si="52"/>
        <v>-9.635221749660472E-3</v>
      </c>
      <c r="I78" s="34">
        <f t="shared" si="50"/>
        <v>-3.4916201117318746E-3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550.65474264964985</v>
      </c>
      <c r="V78" s="50">
        <f>$J$51*$J$37*($D$52*G28+$E$52*H28+$F$52*I28)</f>
        <v>508.75038658719944</v>
      </c>
      <c r="W78" s="50">
        <f>$J$51*$J$37*($D$53*G28+$E$53*H28+$F$53*I28)</f>
        <v>152.04723015444574</v>
      </c>
      <c r="X78" s="29">
        <f t="shared" si="57"/>
        <v>1211.452359391295</v>
      </c>
    </row>
    <row r="79" spans="1:24">
      <c r="A79" s="87"/>
      <c r="B79" s="48" t="str">
        <f t="shared" si="46"/>
        <v>Z</v>
      </c>
      <c r="C79" s="93"/>
      <c r="D79" s="31">
        <f t="shared" si="51"/>
        <v>1211</v>
      </c>
      <c r="E79" s="31">
        <f t="shared" si="47"/>
        <v>3852</v>
      </c>
      <c r="F79" s="31">
        <f t="shared" si="48"/>
        <v>1193.7395944137729</v>
      </c>
      <c r="G79" s="32">
        <f t="shared" si="49"/>
        <v>3970</v>
      </c>
      <c r="H79" s="33">
        <f t="shared" si="52"/>
        <v>-1.425301865088946E-2</v>
      </c>
      <c r="I79" s="34">
        <f t="shared" si="50"/>
        <v>3.0633437175493272E-2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1176.3677937914615</v>
      </c>
      <c r="V79" s="50">
        <f t="shared" ref="V79:V80" si="62">$J$51*$J$37*($D$52*G29+$E$52*H29+$F$52*I29)</f>
        <v>1193.7395944137729</v>
      </c>
      <c r="W79" s="50">
        <f t="shared" ref="W79:W80" si="63">$J$51*$J$37*($D$53*G29+$E$53*H29+$F$53*I29)</f>
        <v>669.57345805922159</v>
      </c>
      <c r="X79" s="29">
        <f t="shared" si="57"/>
        <v>3039.6808462644558</v>
      </c>
    </row>
    <row r="80" spans="1:24">
      <c r="A80" s="87"/>
      <c r="B80" s="48" t="str">
        <f t="shared" si="46"/>
        <v>X</v>
      </c>
      <c r="C80" s="93"/>
      <c r="D80" s="31">
        <f t="shared" si="51"/>
        <v>581.29999999999995</v>
      </c>
      <c r="E80" s="31">
        <f t="shared" si="47"/>
        <v>6288</v>
      </c>
      <c r="F80" s="31">
        <f t="shared" si="48"/>
        <v>591.14902079635499</v>
      </c>
      <c r="G80" s="32">
        <f t="shared" si="49"/>
        <v>6207</v>
      </c>
      <c r="H80" s="33">
        <f t="shared" si="52"/>
        <v>1.694309443721842E-2</v>
      </c>
      <c r="I80" s="34">
        <f t="shared" si="50"/>
        <v>-1.288167938931295E-2</v>
      </c>
      <c r="R80" s="78"/>
      <c r="S80" s="46" t="str">
        <f t="shared" si="53"/>
        <v>D65</v>
      </c>
      <c r="T80" s="79"/>
      <c r="U80" s="50">
        <f t="shared" si="61"/>
        <v>524.47132488120587</v>
      </c>
      <c r="V80" s="50">
        <f t="shared" si="62"/>
        <v>591.14902079635499</v>
      </c>
      <c r="W80" s="50">
        <f t="shared" si="63"/>
        <v>534.58984637528476</v>
      </c>
      <c r="X80" s="29">
        <f t="shared" si="57"/>
        <v>1650.2101920528457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1.694309443721842E-2</v>
      </c>
      <c r="G81" s="47"/>
      <c r="H81" s="36" t="str">
        <f>I71</f>
        <v>CCT</v>
      </c>
      <c r="I81" s="38">
        <f>MAX(MAX(I72:I80,-MIN(I72:I80)))</f>
        <v>3.0633437175493272E-2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513.70000000000005</v>
      </c>
      <c r="E84" s="31">
        <f t="shared" ref="E84:E92" si="67">E72</f>
        <v>2864</v>
      </c>
      <c r="F84" s="31">
        <f t="shared" ref="F84:F92" si="68">V84</f>
        <v>513.70000000000005</v>
      </c>
      <c r="G84" s="32">
        <f t="shared" ref="G84:G92" si="69">getCCTfromXY(U84/X84,V84/X84)</f>
        <v>2864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555.25</v>
      </c>
      <c r="V84" s="50">
        <f>$J$42*$J$31*($D$43*G22+$E$43*H22+$F$43*I22)</f>
        <v>513.70000000000005</v>
      </c>
      <c r="W84" s="50">
        <f>$J$42*$J$31*($D$44*G22+$E$44*H22+$F$44*I22)</f>
        <v>154.54999999999993</v>
      </c>
      <c r="X84" s="29">
        <f>SUM(U84:W84)</f>
        <v>1223.5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1211</v>
      </c>
      <c r="E85" s="31">
        <f t="shared" si="67"/>
        <v>3852</v>
      </c>
      <c r="F85" s="31">
        <f t="shared" si="68"/>
        <v>1210.9999999999998</v>
      </c>
      <c r="G85" s="32">
        <f t="shared" si="69"/>
        <v>3852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1202.0000000000005</v>
      </c>
      <c r="V85" s="50">
        <f t="shared" ref="V85:V86" si="75">$J$42*$J$31*($D$43*G23+$E$43*H23+$F$43*I23)</f>
        <v>1210.9999999999998</v>
      </c>
      <c r="W85" s="50">
        <f t="shared" ref="W85:W86" si="76">$J$42*$J$31*($D$44*G23+$E$44*H23+$F$44*I23)</f>
        <v>649.00000000000011</v>
      </c>
      <c r="X85" s="29">
        <f t="shared" ref="X85:X92" si="77">SUM(U85:W85)</f>
        <v>3062</v>
      </c>
    </row>
    <row r="86" spans="1:24">
      <c r="A86" s="87"/>
      <c r="B86" s="48">
        <f t="shared" si="66"/>
        <v>0</v>
      </c>
      <c r="C86" s="93"/>
      <c r="D86" s="31">
        <f t="shared" si="71"/>
        <v>581.29999999999995</v>
      </c>
      <c r="E86" s="31">
        <f t="shared" si="67"/>
        <v>6288</v>
      </c>
      <c r="F86" s="31">
        <f t="shared" si="68"/>
        <v>581.29999999999995</v>
      </c>
      <c r="G86" s="32">
        <f t="shared" si="69"/>
        <v>6288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514.30000000000007</v>
      </c>
      <c r="V86" s="50">
        <f t="shared" si="75"/>
        <v>581.29999999999995</v>
      </c>
      <c r="W86" s="50">
        <f t="shared" si="76"/>
        <v>531.4</v>
      </c>
      <c r="X86" s="29">
        <f t="shared" si="77"/>
        <v>1627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513.70000000000005</v>
      </c>
      <c r="E87" s="31">
        <f t="shared" si="67"/>
        <v>2864</v>
      </c>
      <c r="F87" s="31">
        <f t="shared" si="68"/>
        <v>513.6999999999997</v>
      </c>
      <c r="G87" s="32">
        <f t="shared" si="69"/>
        <v>2864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555.24999999999966</v>
      </c>
      <c r="V87" s="50">
        <f>$J$45*$J$34*($D$46*G25+$E$46*H25+$F$46*I25)</f>
        <v>513.6999999999997</v>
      </c>
      <c r="W87" s="50">
        <f>$J$45*$J$34*($D$47*G25+$E$47*H25+$F$47*I25)</f>
        <v>154.55000000000021</v>
      </c>
      <c r="X87" s="29">
        <f t="shared" si="77"/>
        <v>1223.4999999999995</v>
      </c>
    </row>
    <row r="88" spans="1:24">
      <c r="A88" s="87"/>
      <c r="B88" s="48">
        <f t="shared" si="66"/>
        <v>0</v>
      </c>
      <c r="C88" s="93"/>
      <c r="D88" s="31">
        <f t="shared" si="71"/>
        <v>1211</v>
      </c>
      <c r="E88" s="31">
        <f t="shared" si="67"/>
        <v>3852</v>
      </c>
      <c r="F88" s="31">
        <f t="shared" si="68"/>
        <v>1210.9999999999995</v>
      </c>
      <c r="G88" s="32">
        <f t="shared" si="69"/>
        <v>3852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1201.9999999999998</v>
      </c>
      <c r="V88" s="50">
        <f t="shared" ref="V88:V89" si="79">$J$45*$J$34*($D$46*G26+$E$46*H26+$F$46*I26)</f>
        <v>1210.9999999999995</v>
      </c>
      <c r="W88" s="50">
        <f t="shared" ref="W88:W89" si="80">$J$45*$J$34*($D$47*G26+$E$47*H26+$F$47*I26)</f>
        <v>649</v>
      </c>
      <c r="X88" s="29">
        <f t="shared" si="77"/>
        <v>3061.9999999999991</v>
      </c>
    </row>
    <row r="89" spans="1:24">
      <c r="A89" s="87"/>
      <c r="B89" s="48" t="str">
        <f t="shared" si="66"/>
        <v>A</v>
      </c>
      <c r="C89" s="93"/>
      <c r="D89" s="31">
        <f t="shared" si="71"/>
        <v>581.29999999999995</v>
      </c>
      <c r="E89" s="31">
        <f t="shared" si="67"/>
        <v>6288</v>
      </c>
      <c r="F89" s="31">
        <f t="shared" si="68"/>
        <v>581.29999999999984</v>
      </c>
      <c r="G89" s="32">
        <f t="shared" si="69"/>
        <v>6288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514.29999999999984</v>
      </c>
      <c r="V89" s="50">
        <f t="shared" si="79"/>
        <v>581.29999999999984</v>
      </c>
      <c r="W89" s="50">
        <f t="shared" si="80"/>
        <v>531.4000000000002</v>
      </c>
      <c r="X89" s="29">
        <f t="shared" si="77"/>
        <v>1627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513.70000000000005</v>
      </c>
      <c r="E90" s="31">
        <f t="shared" si="67"/>
        <v>2864</v>
      </c>
      <c r="F90" s="31">
        <f t="shared" si="68"/>
        <v>513.70000000000039</v>
      </c>
      <c r="G90" s="32">
        <f t="shared" si="69"/>
        <v>2864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555.25000000000023</v>
      </c>
      <c r="V90" s="50">
        <f>$J$48*$J$37*($D$49*G28+$E$49*H28+$F$49*I28)</f>
        <v>513.70000000000039</v>
      </c>
      <c r="W90" s="50">
        <f>$J$48*$J$37*($D$50*G28+$E$50*H28+$F$50*I28)</f>
        <v>154.54999999999973</v>
      </c>
      <c r="X90" s="29">
        <f t="shared" si="77"/>
        <v>1223.5000000000005</v>
      </c>
    </row>
    <row r="91" spans="1:24">
      <c r="A91" s="87"/>
      <c r="B91" s="48" t="str">
        <f t="shared" si="66"/>
        <v>D65</v>
      </c>
      <c r="C91" s="93"/>
      <c r="D91" s="31">
        <f t="shared" si="71"/>
        <v>1211</v>
      </c>
      <c r="E91" s="31">
        <f t="shared" si="67"/>
        <v>3852</v>
      </c>
      <c r="F91" s="31">
        <f t="shared" si="68"/>
        <v>1211</v>
      </c>
      <c r="G91" s="32">
        <f t="shared" si="69"/>
        <v>3852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1202.0000000000002</v>
      </c>
      <c r="V91" s="50">
        <f t="shared" ref="V91:V92" si="82">$J$48*$J$37*($D$49*G29+$E$49*H29+$F$49*I29)</f>
        <v>1211</v>
      </c>
      <c r="W91" s="50">
        <f t="shared" ref="W91:W92" si="83">$J$48*$J$37*($D$50*G29+$E$50*H29+$F$50*I29)</f>
        <v>649.00000000000011</v>
      </c>
      <c r="X91" s="29">
        <f t="shared" si="77"/>
        <v>3062</v>
      </c>
    </row>
    <row r="92" spans="1:24">
      <c r="A92" s="87"/>
      <c r="B92" s="48" t="str">
        <f t="shared" si="66"/>
        <v>A</v>
      </c>
      <c r="C92" s="93"/>
      <c r="D92" s="31">
        <f t="shared" si="71"/>
        <v>581.29999999999995</v>
      </c>
      <c r="E92" s="31">
        <f t="shared" si="67"/>
        <v>6288</v>
      </c>
      <c r="F92" s="31">
        <f t="shared" si="68"/>
        <v>581.30000000000007</v>
      </c>
      <c r="G92" s="32">
        <f t="shared" si="69"/>
        <v>6288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514.30000000000018</v>
      </c>
      <c r="V92" s="50">
        <f t="shared" si="82"/>
        <v>581.30000000000007</v>
      </c>
      <c r="W92" s="50">
        <f t="shared" si="83"/>
        <v>531.4</v>
      </c>
      <c r="X92" s="29">
        <f t="shared" si="77"/>
        <v>1627.0000000000005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4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0.86102232585255933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68.386940338684923</v>
      </c>
      <c r="N3" s="46">
        <v>0</v>
      </c>
      <c r="O3" s="50">
        <f>G$5-N3*G$7</f>
        <v>117.09977422389463</v>
      </c>
      <c r="P3" s="50">
        <f>H$5-N3*H$7</f>
        <v>48.712833885209704</v>
      </c>
      <c r="Q3" s="50">
        <f>I$5-N3*I$7</f>
        <v>57.352252409148953</v>
      </c>
    </row>
    <row r="4" spans="1:17">
      <c r="C4" s="46" t="s">
        <v>20</v>
      </c>
      <c r="D4" s="7">
        <v>531.5</v>
      </c>
      <c r="E4" s="7">
        <v>1208</v>
      </c>
      <c r="F4" s="7">
        <v>574.20000000000005</v>
      </c>
      <c r="G4" s="50">
        <f>AVERAGE(D4:F4)</f>
        <v>771.23333333333323</v>
      </c>
      <c r="H4" s="50">
        <f>G4</f>
        <v>771.23333333333323</v>
      </c>
      <c r="I4" s="50">
        <f>H4</f>
        <v>771.23333333333323</v>
      </c>
      <c r="K4" s="13" t="str">
        <f>linefmt("Compensation",B12)</f>
        <v>"Compensation",33,</v>
      </c>
      <c r="M4" s="46">
        <f t="shared" si="0"/>
        <v>66.305840548416114</v>
      </c>
      <c r="N4" s="46">
        <f>N3+1</f>
        <v>1</v>
      </c>
      <c r="O4" s="50">
        <f t="shared" ref="O4:O66" si="1">G$5-N4*G$7</f>
        <v>114.9340813734713</v>
      </c>
      <c r="P4" s="50">
        <f t="shared" ref="P4:P66" si="2">H$5-N4*H$7</f>
        <v>48.62824082505518</v>
      </c>
      <c r="Q4" s="50">
        <f t="shared" ref="Q4:Q66" si="3">I$5-N4*I$7</f>
        <v>57.023182108440722</v>
      </c>
    </row>
    <row r="5" spans="1:17">
      <c r="C5" s="46">
        <v>0</v>
      </c>
      <c r="D5" s="9">
        <v>80.7</v>
      </c>
      <c r="E5" s="9">
        <v>76.3</v>
      </c>
      <c r="F5" s="9">
        <v>42.7</v>
      </c>
      <c r="G5" s="50">
        <f>G$4/D$4*D5</f>
        <v>117.09977422389463</v>
      </c>
      <c r="H5" s="50">
        <f t="shared" ref="H5:I6" si="4">H$4/E$4*E5</f>
        <v>48.712833885209704</v>
      </c>
      <c r="I5" s="50">
        <f t="shared" si="4"/>
        <v>57.352252409148953</v>
      </c>
      <c r="K5" s="14" t="str">
        <f>linefmt("CardGain",J54)</f>
        <v>"CardGain",14.68569,</v>
      </c>
      <c r="M5" s="46">
        <f t="shared" si="0"/>
        <v>64.22474075814732</v>
      </c>
      <c r="N5" s="46">
        <f t="shared" ref="N5:N66" si="5">N4+1</f>
        <v>2</v>
      </c>
      <c r="O5" s="50">
        <f t="shared" si="1"/>
        <v>112.76838852304797</v>
      </c>
      <c r="P5" s="50">
        <f t="shared" si="2"/>
        <v>48.543647764900655</v>
      </c>
      <c r="Q5" s="50">
        <f t="shared" si="3"/>
        <v>56.69411180773249</v>
      </c>
    </row>
    <row r="6" spans="1:17">
      <c r="B6" s="50">
        <f>D5/4</f>
        <v>20.175000000000001</v>
      </c>
      <c r="C6" s="7">
        <v>40</v>
      </c>
      <c r="D6" s="9">
        <v>21</v>
      </c>
      <c r="E6" s="9">
        <v>71</v>
      </c>
      <c r="F6" s="9">
        <v>32.9</v>
      </c>
      <c r="G6" s="50">
        <f>G$4/D$4*D6</f>
        <v>30.472060206961427</v>
      </c>
      <c r="H6" s="50">
        <f t="shared" si="4"/>
        <v>45.32911147902869</v>
      </c>
      <c r="I6" s="50">
        <f t="shared" si="4"/>
        <v>44.189440380819683</v>
      </c>
      <c r="K6" s="14" t="str">
        <f>linefmt("Range",1,J34,J37)</f>
        <v>"Range",1,0.9063859,1.103679,</v>
      </c>
      <c r="M6" s="46">
        <f t="shared" si="0"/>
        <v>62.143640967878504</v>
      </c>
      <c r="N6" s="46">
        <f t="shared" si="5"/>
        <v>3</v>
      </c>
      <c r="O6" s="50">
        <f t="shared" si="1"/>
        <v>110.60269567262463</v>
      </c>
      <c r="P6" s="50">
        <f t="shared" si="2"/>
        <v>48.45905470474613</v>
      </c>
      <c r="Q6" s="50">
        <f t="shared" si="3"/>
        <v>56.365041507024259</v>
      </c>
    </row>
    <row r="7" spans="1:17">
      <c r="C7" s="46">
        <f>C5</f>
        <v>0</v>
      </c>
      <c r="D7" s="46">
        <f t="shared" ref="D7:F8" si="6">D$4/D5</f>
        <v>6.5861214374225527</v>
      </c>
      <c r="E7" s="46">
        <f t="shared" si="6"/>
        <v>15.832241153342071</v>
      </c>
      <c r="F7" s="46">
        <f t="shared" si="6"/>
        <v>13.447306791569087</v>
      </c>
      <c r="G7" s="49">
        <f>(G5-G6)/($C6-$C5)</f>
        <v>2.1656928504233299</v>
      </c>
      <c r="H7" s="49">
        <f t="shared" ref="H7:I7" si="7">(H5-H6)/($C6-$C5)</f>
        <v>8.4593060154525362E-2</v>
      </c>
      <c r="I7" s="49">
        <f t="shared" si="7"/>
        <v>0.32907030070823173</v>
      </c>
      <c r="K7" s="14" t="str">
        <f>linefmt("CCM" )</f>
        <v>"CCM",</v>
      </c>
      <c r="M7" s="46">
        <f t="shared" si="0"/>
        <v>60.062541177609702</v>
      </c>
      <c r="N7" s="46">
        <f t="shared" si="5"/>
        <v>4</v>
      </c>
      <c r="O7" s="50">
        <f t="shared" si="1"/>
        <v>108.43700282220131</v>
      </c>
      <c r="P7" s="50">
        <f t="shared" si="2"/>
        <v>48.374461644591605</v>
      </c>
      <c r="Q7" s="50">
        <f t="shared" si="3"/>
        <v>56.035971206316027</v>
      </c>
    </row>
    <row r="8" spans="1:17">
      <c r="C8" s="46">
        <f>C6</f>
        <v>40</v>
      </c>
      <c r="D8" s="46">
        <f t="shared" si="6"/>
        <v>25.30952380952381</v>
      </c>
      <c r="E8" s="46">
        <f t="shared" si="6"/>
        <v>17.014084507042252</v>
      </c>
      <c r="F8" s="46">
        <f t="shared" si="6"/>
        <v>17.452887537993924</v>
      </c>
      <c r="K8" s="15" t="str">
        <f>linefmt("",D54,E54,F54)</f>
        <v>0.3281885,1.051645,-0.3028201,</v>
      </c>
      <c r="M8" s="46">
        <f t="shared" si="0"/>
        <v>57.981441387340901</v>
      </c>
      <c r="N8" s="46">
        <f t="shared" si="5"/>
        <v>5</v>
      </c>
      <c r="O8" s="50">
        <f t="shared" si="1"/>
        <v>106.27130997177798</v>
      </c>
      <c r="P8" s="50">
        <f t="shared" si="2"/>
        <v>48.28986858443708</v>
      </c>
      <c r="Q8" s="50">
        <f t="shared" si="3"/>
        <v>55.706900905607796</v>
      </c>
    </row>
    <row r="9" spans="1:17">
      <c r="C9" s="46" t="s">
        <v>23</v>
      </c>
      <c r="D9" s="46">
        <f>(D8-D7)/($C8-$C7)</f>
        <v>0.46808505930253147</v>
      </c>
      <c r="E9" s="46">
        <f>(E8-E7)/($C8-$C7)</f>
        <v>2.9546083842504522E-2</v>
      </c>
      <c r="F9" s="46">
        <f>(F8-F7)/($C8-$C7)</f>
        <v>0.10013951866062092</v>
      </c>
      <c r="K9" s="15" t="str">
        <f>linefmt("",D55,E55,F55)</f>
        <v>0.1567966,1,7.537927E-02,</v>
      </c>
      <c r="M9" s="46">
        <f t="shared" si="0"/>
        <v>55.900341597072085</v>
      </c>
      <c r="N9" s="46">
        <f t="shared" si="5"/>
        <v>6</v>
      </c>
      <c r="O9" s="50">
        <f t="shared" si="1"/>
        <v>104.10561712135464</v>
      </c>
      <c r="P9" s="50">
        <f t="shared" si="2"/>
        <v>48.205275524282555</v>
      </c>
      <c r="Q9" s="50">
        <f t="shared" si="3"/>
        <v>55.377830604899565</v>
      </c>
    </row>
    <row r="10" spans="1:17">
      <c r="K10" s="16" t="str">
        <f>linefmt("",D56,E56,F56)</f>
        <v>-0.4856658,0.2869604,1.381022,</v>
      </c>
      <c r="M10" s="46">
        <f t="shared" si="0"/>
        <v>53.819241806803291</v>
      </c>
      <c r="N10" s="46">
        <f t="shared" si="5"/>
        <v>7</v>
      </c>
      <c r="O10" s="50">
        <f t="shared" si="1"/>
        <v>101.93992427093131</v>
      </c>
      <c r="P10" s="50">
        <f t="shared" si="2"/>
        <v>48.120682464128024</v>
      </c>
      <c r="Q10" s="50">
        <f t="shared" si="3"/>
        <v>55.048760304191333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51.738142016534489</v>
      </c>
      <c r="N11" s="46">
        <f t="shared" si="5"/>
        <v>8</v>
      </c>
      <c r="O11" s="50">
        <f t="shared" si="1"/>
        <v>99.774231420507988</v>
      </c>
      <c r="P11" s="50">
        <f t="shared" si="2"/>
        <v>48.036089403973499</v>
      </c>
      <c r="Q11" s="50">
        <f t="shared" si="3"/>
        <v>54.719690003483102</v>
      </c>
    </row>
    <row r="12" spans="1:17">
      <c r="A12" s="46" t="s">
        <v>16</v>
      </c>
      <c r="B12" s="10">
        <f>MATCH(M2,M3:M66,0)-1</f>
        <v>33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Compensation=33</v>
      </c>
      <c r="M12" s="46">
        <f t="shared" si="0"/>
        <v>49.657042226265688</v>
      </c>
      <c r="N12" s="46">
        <f t="shared" si="5"/>
        <v>9</v>
      </c>
      <c r="O12" s="50">
        <f t="shared" si="1"/>
        <v>97.608538570084662</v>
      </c>
      <c r="P12" s="50">
        <f t="shared" si="2"/>
        <v>47.951496343818974</v>
      </c>
      <c r="Q12" s="50">
        <f t="shared" si="3"/>
        <v>54.39061970277487</v>
      </c>
    </row>
    <row r="13" spans="1:17">
      <c r="A13" s="78" t="s">
        <v>12</v>
      </c>
      <c r="B13" s="79" t="s">
        <v>0</v>
      </c>
      <c r="C13" s="46">
        <v>0</v>
      </c>
      <c r="D13" s="7">
        <v>554.4</v>
      </c>
      <c r="E13" s="7">
        <v>513.1</v>
      </c>
      <c r="F13" s="7">
        <v>154.4</v>
      </c>
      <c r="G13" s="8">
        <v>79.099999999999994</v>
      </c>
      <c r="H13" s="8">
        <v>20</v>
      </c>
      <c r="I13" s="8">
        <v>31.9</v>
      </c>
      <c r="M13" s="46">
        <f t="shared" si="0"/>
        <v>47.575942435996886</v>
      </c>
      <c r="N13" s="46">
        <f t="shared" si="5"/>
        <v>10</v>
      </c>
      <c r="O13" s="50">
        <f t="shared" si="1"/>
        <v>95.442845719661335</v>
      </c>
      <c r="P13" s="50">
        <f t="shared" si="2"/>
        <v>47.866903283664449</v>
      </c>
      <c r="Q13" s="50">
        <f t="shared" si="3"/>
        <v>54.061549402066632</v>
      </c>
    </row>
    <row r="14" spans="1:17">
      <c r="A14" s="78"/>
      <c r="B14" s="79"/>
      <c r="C14" s="46">
        <f>C13+1</f>
        <v>1</v>
      </c>
      <c r="D14" s="7">
        <v>561.4</v>
      </c>
      <c r="E14" s="7">
        <v>519.1</v>
      </c>
      <c r="F14" s="7">
        <v>154.30000000000001</v>
      </c>
      <c r="G14" s="8">
        <v>85.9</v>
      </c>
      <c r="H14" s="8">
        <v>22.5</v>
      </c>
      <c r="I14" s="8">
        <v>35.700000000000003</v>
      </c>
      <c r="M14" s="46">
        <f t="shared" si="0"/>
        <v>45.49484264572807</v>
      </c>
      <c r="N14" s="46">
        <f t="shared" si="5"/>
        <v>11</v>
      </c>
      <c r="O14" s="50">
        <f t="shared" si="1"/>
        <v>93.277152869237995</v>
      </c>
      <c r="P14" s="50">
        <f t="shared" si="2"/>
        <v>47.782310223509924</v>
      </c>
      <c r="Q14" s="50">
        <f t="shared" si="3"/>
        <v>53.732479101358408</v>
      </c>
    </row>
    <row r="15" spans="1:17">
      <c r="A15" s="78"/>
      <c r="B15" s="79"/>
      <c r="C15" s="46">
        <f>C14+1</f>
        <v>2</v>
      </c>
      <c r="D15" s="6">
        <f>2*(D13-D14)/(D13+D14)</f>
        <v>-1.2547051442910916E-2</v>
      </c>
      <c r="E15" s="6">
        <f t="shared" ref="E15:F15" si="8">2*(E13-E14)/(E13+E14)</f>
        <v>-1.1625653943034294E-2</v>
      </c>
      <c r="F15" s="6">
        <f t="shared" si="8"/>
        <v>6.4787819889857009E-4</v>
      </c>
      <c r="G15" s="8">
        <v>78.5</v>
      </c>
      <c r="H15" s="8">
        <v>17.8</v>
      </c>
      <c r="I15" s="8">
        <v>29</v>
      </c>
      <c r="M15" s="46">
        <f t="shared" si="0"/>
        <v>43.413742855459269</v>
      </c>
      <c r="N15" s="46">
        <f t="shared" si="5"/>
        <v>12</v>
      </c>
      <c r="O15" s="50">
        <f t="shared" si="1"/>
        <v>91.111460018814668</v>
      </c>
      <c r="P15" s="50">
        <f t="shared" si="2"/>
        <v>47.697717163355399</v>
      </c>
      <c r="Q15" s="50">
        <f t="shared" si="3"/>
        <v>53.403408800650169</v>
      </c>
    </row>
    <row r="16" spans="1:17">
      <c r="A16" s="78"/>
      <c r="B16" s="79" t="s">
        <v>1</v>
      </c>
      <c r="C16" s="46">
        <f>C13</f>
        <v>0</v>
      </c>
      <c r="D16" s="7">
        <v>1200</v>
      </c>
      <c r="E16" s="7">
        <v>1209</v>
      </c>
      <c r="F16" s="7">
        <v>649</v>
      </c>
      <c r="G16" s="8">
        <v>65.3</v>
      </c>
      <c r="H16" s="8">
        <v>71</v>
      </c>
      <c r="I16" s="8">
        <v>39.9</v>
      </c>
      <c r="M16" s="46">
        <f t="shared" si="0"/>
        <v>41.332643065190467</v>
      </c>
      <c r="N16" s="46">
        <f t="shared" si="5"/>
        <v>13</v>
      </c>
      <c r="O16" s="50">
        <f t="shared" si="1"/>
        <v>88.945767168391342</v>
      </c>
      <c r="P16" s="50">
        <f t="shared" si="2"/>
        <v>47.613124103200875</v>
      </c>
      <c r="Q16" s="50">
        <f t="shared" si="3"/>
        <v>53.074338499941938</v>
      </c>
    </row>
    <row r="17" spans="1:21">
      <c r="A17" s="78"/>
      <c r="B17" s="79"/>
      <c r="C17" s="46">
        <f t="shared" ref="C17:C21" si="9">C14</f>
        <v>1</v>
      </c>
      <c r="D17" s="7">
        <v>1201</v>
      </c>
      <c r="E17" s="7">
        <v>1210</v>
      </c>
      <c r="F17" s="7">
        <v>649</v>
      </c>
      <c r="G17" s="8">
        <v>71.8</v>
      </c>
      <c r="H17" s="8">
        <v>77.099999999999994</v>
      </c>
      <c r="I17" s="8">
        <v>44.4</v>
      </c>
      <c r="M17" s="46">
        <f t="shared" si="0"/>
        <v>39.251543274921652</v>
      </c>
      <c r="N17" s="46">
        <f t="shared" si="5"/>
        <v>14</v>
      </c>
      <c r="O17" s="50">
        <f t="shared" si="1"/>
        <v>86.780074317968001</v>
      </c>
      <c r="P17" s="50">
        <f t="shared" si="2"/>
        <v>47.52853104304635</v>
      </c>
      <c r="Q17" s="50">
        <f t="shared" si="3"/>
        <v>52.745268199233706</v>
      </c>
    </row>
    <row r="18" spans="1:21">
      <c r="A18" s="78"/>
      <c r="B18" s="79"/>
      <c r="C18" s="46">
        <f t="shared" si="9"/>
        <v>2</v>
      </c>
      <c r="D18" s="6">
        <f>2*(D16-D17)/(D16+D17)</f>
        <v>-8.3298625572678054E-4</v>
      </c>
      <c r="E18" s="6">
        <f t="shared" ref="E18:F18" si="10">2*(E16-E17)/(E16+E17)</f>
        <v>-8.2678792889623808E-4</v>
      </c>
      <c r="F18" s="6">
        <f t="shared" si="10"/>
        <v>0</v>
      </c>
      <c r="G18" s="8">
        <v>56.5</v>
      </c>
      <c r="H18" s="8">
        <v>59.9</v>
      </c>
      <c r="I18" s="8">
        <v>37.1</v>
      </c>
      <c r="M18" s="46">
        <f t="shared" si="0"/>
        <v>37.17044348465285</v>
      </c>
      <c r="N18" s="46">
        <f t="shared" si="5"/>
        <v>15</v>
      </c>
      <c r="O18" s="50">
        <f t="shared" si="1"/>
        <v>84.614381467544675</v>
      </c>
      <c r="P18" s="50">
        <f t="shared" si="2"/>
        <v>47.443937982891825</v>
      </c>
      <c r="Q18" s="50">
        <f t="shared" si="3"/>
        <v>52.416197898525475</v>
      </c>
    </row>
    <row r="19" spans="1:21">
      <c r="A19" s="78"/>
      <c r="B19" s="79" t="s">
        <v>2</v>
      </c>
      <c r="C19" s="46">
        <f t="shared" si="9"/>
        <v>0</v>
      </c>
      <c r="D19" s="7">
        <v>509.3</v>
      </c>
      <c r="E19" s="7">
        <v>575.9</v>
      </c>
      <c r="F19" s="7">
        <v>527.79999999999995</v>
      </c>
      <c r="G19" s="8">
        <v>27.4</v>
      </c>
      <c r="H19" s="8">
        <v>33</v>
      </c>
      <c r="I19" s="8">
        <v>28.4</v>
      </c>
      <c r="M19" s="46">
        <f t="shared" si="0"/>
        <v>35.089343694384048</v>
      </c>
      <c r="N19" s="46">
        <f t="shared" si="5"/>
        <v>16</v>
      </c>
      <c r="O19" s="50">
        <f t="shared" si="1"/>
        <v>82.448688617121348</v>
      </c>
      <c r="P19" s="50">
        <f t="shared" si="2"/>
        <v>47.3593449227373</v>
      </c>
      <c r="Q19" s="50">
        <f t="shared" si="3"/>
        <v>52.087127597817243</v>
      </c>
    </row>
    <row r="20" spans="1:21">
      <c r="A20" s="78"/>
      <c r="B20" s="79"/>
      <c r="C20" s="46">
        <f t="shared" si="9"/>
        <v>1</v>
      </c>
      <c r="D20" s="7">
        <v>510.2</v>
      </c>
      <c r="E20" s="7">
        <v>576.70000000000005</v>
      </c>
      <c r="F20" s="7">
        <v>527.79999999999995</v>
      </c>
      <c r="G20" s="8">
        <v>30.7</v>
      </c>
      <c r="H20" s="8">
        <v>36.9</v>
      </c>
      <c r="I20" s="8">
        <v>31.9</v>
      </c>
      <c r="M20" s="46">
        <f t="shared" si="0"/>
        <v>33.008243904115247</v>
      </c>
      <c r="N20" s="46">
        <f t="shared" si="5"/>
        <v>17</v>
      </c>
      <c r="O20" s="50">
        <f t="shared" si="1"/>
        <v>80.282995766698022</v>
      </c>
      <c r="P20" s="50">
        <f t="shared" si="2"/>
        <v>47.274751862582775</v>
      </c>
      <c r="Q20" s="50">
        <f t="shared" si="3"/>
        <v>51.758057297109012</v>
      </c>
    </row>
    <row r="21" spans="1:21">
      <c r="A21" s="78"/>
      <c r="B21" s="79"/>
      <c r="C21" s="46">
        <f t="shared" si="9"/>
        <v>2</v>
      </c>
      <c r="D21" s="6">
        <f>2*(D19-D20)/(D19+D20)</f>
        <v>-1.7655713585090285E-3</v>
      </c>
      <c r="E21" s="6">
        <f t="shared" ref="E21:F21" si="11">2*(E19-E20)/(E19+E20)</f>
        <v>-1.3881658858234743E-3</v>
      </c>
      <c r="F21" s="6">
        <f t="shared" si="11"/>
        <v>0</v>
      </c>
      <c r="G21" s="8">
        <v>24.5</v>
      </c>
      <c r="H21" s="8">
        <v>29.9</v>
      </c>
      <c r="I21" s="8">
        <v>25.6</v>
      </c>
      <c r="M21" s="46">
        <f t="shared" si="0"/>
        <v>30.927144113846445</v>
      </c>
      <c r="N21" s="46">
        <f t="shared" si="5"/>
        <v>18</v>
      </c>
      <c r="O21" s="50">
        <f t="shared" si="1"/>
        <v>78.117302916274696</v>
      </c>
      <c r="P21" s="50">
        <f t="shared" si="2"/>
        <v>47.19015880242825</v>
      </c>
      <c r="Q21" s="50">
        <f t="shared" si="3"/>
        <v>51.428986996400781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557.9</v>
      </c>
      <c r="E22" s="46">
        <f t="shared" ref="E22:F22" si="12">(E13+E14)/2</f>
        <v>516.1</v>
      </c>
      <c r="F22" s="46">
        <f t="shared" si="12"/>
        <v>154.35000000000002</v>
      </c>
      <c r="G22" s="5">
        <f>G13</f>
        <v>79.099999999999994</v>
      </c>
      <c r="H22" s="5">
        <f t="shared" ref="H22:I22" si="13">H13</f>
        <v>20</v>
      </c>
      <c r="I22" s="5">
        <f t="shared" si="13"/>
        <v>31.9</v>
      </c>
      <c r="J22" s="99">
        <f>AVERAGE(G22:I24)</f>
        <v>43.999999999999993</v>
      </c>
      <c r="M22" s="46">
        <f t="shared" si="0"/>
        <v>28.84604432357763</v>
      </c>
      <c r="N22" s="46">
        <f t="shared" si="5"/>
        <v>19</v>
      </c>
      <c r="O22" s="50">
        <f t="shared" si="1"/>
        <v>75.951610065851355</v>
      </c>
      <c r="P22" s="50">
        <f t="shared" si="2"/>
        <v>47.105565742273726</v>
      </c>
      <c r="Q22" s="50">
        <f t="shared" si="3"/>
        <v>51.099916695692549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1200.5</v>
      </c>
      <c r="E23" s="46">
        <f>(E16+E17)/2</f>
        <v>1209.5</v>
      </c>
      <c r="F23" s="46">
        <f>(F16+F17)/2</f>
        <v>649</v>
      </c>
      <c r="G23" s="5">
        <f>G16</f>
        <v>65.3</v>
      </c>
      <c r="H23" s="5">
        <f>H16</f>
        <v>71</v>
      </c>
      <c r="I23" s="5">
        <f>I16</f>
        <v>39.9</v>
      </c>
      <c r="J23" s="99"/>
      <c r="M23" s="46">
        <f t="shared" si="0"/>
        <v>26.764944533308835</v>
      </c>
      <c r="N23" s="46">
        <f t="shared" si="5"/>
        <v>20</v>
      </c>
      <c r="O23" s="50">
        <f t="shared" si="1"/>
        <v>73.785917215428029</v>
      </c>
      <c r="P23" s="50">
        <f t="shared" si="2"/>
        <v>47.020972682119194</v>
      </c>
      <c r="Q23" s="50">
        <f t="shared" si="3"/>
        <v>50.770846394984318</v>
      </c>
    </row>
    <row r="24" spans="1:21">
      <c r="A24" s="78"/>
      <c r="B24" s="46" t="str">
        <f>B19</f>
        <v>D65</v>
      </c>
      <c r="C24" s="79"/>
      <c r="D24" s="46">
        <f>(D19+D20)/2</f>
        <v>509.75</v>
      </c>
      <c r="E24" s="46">
        <f>(E19+E20)/2</f>
        <v>576.29999999999995</v>
      </c>
      <c r="F24" s="46">
        <f>(F19+F20)/2</f>
        <v>527.79999999999995</v>
      </c>
      <c r="G24" s="5">
        <f>G19</f>
        <v>27.4</v>
      </c>
      <c r="H24" s="5">
        <f>H19</f>
        <v>33</v>
      </c>
      <c r="I24" s="5">
        <f>I19</f>
        <v>28.4</v>
      </c>
      <c r="J24" s="99"/>
      <c r="M24" s="46">
        <f t="shared" si="0"/>
        <v>24.683844743040034</v>
      </c>
      <c r="N24" s="46">
        <f t="shared" si="5"/>
        <v>21</v>
      </c>
      <c r="O24" s="50">
        <f t="shared" si="1"/>
        <v>71.620224365004702</v>
      </c>
      <c r="P24" s="50">
        <f t="shared" si="2"/>
        <v>46.936379621964669</v>
      </c>
      <c r="Q24" s="50">
        <f t="shared" si="3"/>
        <v>50.441776094276086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557.9</v>
      </c>
      <c r="E25" s="46">
        <f t="shared" ref="E25:F25" si="15">(E13+E14)/2</f>
        <v>516.1</v>
      </c>
      <c r="F25" s="46">
        <f t="shared" si="15"/>
        <v>154.35000000000002</v>
      </c>
      <c r="G25" s="5">
        <f t="shared" ref="G25:I25" si="16">G14</f>
        <v>85.9</v>
      </c>
      <c r="H25" s="5">
        <f t="shared" si="16"/>
        <v>22.5</v>
      </c>
      <c r="I25" s="5">
        <f t="shared" si="16"/>
        <v>35.700000000000003</v>
      </c>
      <c r="J25" s="99">
        <f>AVERAGE(G25:I27)</f>
        <v>48.544444444444437</v>
      </c>
      <c r="M25" s="46">
        <f t="shared" si="0"/>
        <v>22.602744952771218</v>
      </c>
      <c r="N25" s="46">
        <f t="shared" si="5"/>
        <v>22</v>
      </c>
      <c r="O25" s="50">
        <f t="shared" si="1"/>
        <v>69.454531514581362</v>
      </c>
      <c r="P25" s="50">
        <f t="shared" si="2"/>
        <v>46.851786561810144</v>
      </c>
      <c r="Q25" s="50">
        <f t="shared" si="3"/>
        <v>50.112705793567855</v>
      </c>
    </row>
    <row r="26" spans="1:21">
      <c r="A26" s="78"/>
      <c r="B26" s="46" t="str">
        <f>B16</f>
        <v>CWF</v>
      </c>
      <c r="C26" s="79"/>
      <c r="D26" s="46">
        <f>(D16+D17)/2</f>
        <v>1200.5</v>
      </c>
      <c r="E26" s="46">
        <f>(E16+E17)/2</f>
        <v>1209.5</v>
      </c>
      <c r="F26" s="46">
        <f>(F16+F17)/2</f>
        <v>649</v>
      </c>
      <c r="G26" s="5">
        <f>G17</f>
        <v>71.8</v>
      </c>
      <c r="H26" s="5">
        <f>H17</f>
        <v>77.099999999999994</v>
      </c>
      <c r="I26" s="5">
        <f>I17</f>
        <v>44.4</v>
      </c>
      <c r="J26" s="99"/>
      <c r="M26" s="46">
        <f t="shared" si="0"/>
        <v>20.521645162502416</v>
      </c>
      <c r="N26" s="46">
        <f t="shared" si="5"/>
        <v>23</v>
      </c>
      <c r="O26" s="50">
        <f t="shared" si="1"/>
        <v>67.288838664158035</v>
      </c>
      <c r="P26" s="50">
        <f t="shared" si="2"/>
        <v>46.767193501655619</v>
      </c>
      <c r="Q26" s="50">
        <f t="shared" si="3"/>
        <v>49.783635492859624</v>
      </c>
    </row>
    <row r="27" spans="1:21">
      <c r="A27" s="78"/>
      <c r="B27" s="46" t="str">
        <f>B19</f>
        <v>D65</v>
      </c>
      <c r="C27" s="79"/>
      <c r="D27" s="46">
        <f>(D19+D20)/2</f>
        <v>509.75</v>
      </c>
      <c r="E27" s="46">
        <f>(E19+E20)/2</f>
        <v>576.29999999999995</v>
      </c>
      <c r="F27" s="46">
        <f>(F19+F20)/2</f>
        <v>527.79999999999995</v>
      </c>
      <c r="G27" s="5">
        <f>G20</f>
        <v>30.7</v>
      </c>
      <c r="H27" s="5">
        <f>H20</f>
        <v>36.9</v>
      </c>
      <c r="I27" s="5">
        <f>I20</f>
        <v>31.9</v>
      </c>
      <c r="J27" s="99"/>
      <c r="M27" s="46">
        <f t="shared" si="0"/>
        <v>18.440545372233615</v>
      </c>
      <c r="N27" s="46">
        <f t="shared" si="5"/>
        <v>24</v>
      </c>
      <c r="O27" s="50">
        <f t="shared" si="1"/>
        <v>65.123145813734709</v>
      </c>
      <c r="P27" s="50">
        <f t="shared" si="2"/>
        <v>46.682600441501094</v>
      </c>
      <c r="Q27" s="50">
        <f t="shared" si="3"/>
        <v>49.454565192151392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557.9</v>
      </c>
      <c r="E28" s="46">
        <f t="shared" ref="E28:F28" si="17">(E13+E14)/2</f>
        <v>516.1</v>
      </c>
      <c r="F28" s="46">
        <f t="shared" si="17"/>
        <v>154.35000000000002</v>
      </c>
      <c r="G28" s="5">
        <f t="shared" ref="G28:I28" si="18">G15</f>
        <v>78.5</v>
      </c>
      <c r="H28" s="5">
        <f t="shared" si="18"/>
        <v>17.8</v>
      </c>
      <c r="I28" s="5">
        <f t="shared" si="18"/>
        <v>29</v>
      </c>
      <c r="J28" s="99">
        <f>AVERAGE(G28:I30)</f>
        <v>39.866666666666667</v>
      </c>
      <c r="M28" s="46">
        <f t="shared" si="0"/>
        <v>16.359445581964813</v>
      </c>
      <c r="N28" s="46">
        <f t="shared" si="5"/>
        <v>25</v>
      </c>
      <c r="O28" s="50">
        <f t="shared" si="1"/>
        <v>62.957452963311383</v>
      </c>
      <c r="P28" s="50">
        <f t="shared" si="2"/>
        <v>46.598007381346569</v>
      </c>
      <c r="Q28" s="50">
        <f t="shared" si="3"/>
        <v>49.125494891443161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1200.5</v>
      </c>
      <c r="E29" s="46">
        <f t="shared" si="20"/>
        <v>1209.5</v>
      </c>
      <c r="F29" s="46">
        <f t="shared" si="20"/>
        <v>649</v>
      </c>
      <c r="G29" s="5">
        <f t="shared" ref="G29:I29" si="21">G18</f>
        <v>56.5</v>
      </c>
      <c r="H29" s="5">
        <f t="shared" si="21"/>
        <v>59.9</v>
      </c>
      <c r="I29" s="5">
        <f t="shared" si="21"/>
        <v>37.1</v>
      </c>
      <c r="J29" s="99"/>
      <c r="M29" s="46">
        <f t="shared" si="0"/>
        <v>14.278345791696005</v>
      </c>
      <c r="N29" s="46">
        <f t="shared" si="5"/>
        <v>26</v>
      </c>
      <c r="O29" s="50">
        <f t="shared" si="1"/>
        <v>60.791760112888049</v>
      </c>
      <c r="P29" s="50">
        <f t="shared" si="2"/>
        <v>46.513414321192045</v>
      </c>
      <c r="Q29" s="50">
        <f t="shared" si="3"/>
        <v>48.796424590734929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509.75</v>
      </c>
      <c r="E30" s="46">
        <f t="shared" si="23"/>
        <v>576.29999999999995</v>
      </c>
      <c r="F30" s="46">
        <f t="shared" si="23"/>
        <v>527.79999999999995</v>
      </c>
      <c r="G30" s="5">
        <f t="shared" ref="G30:I30" si="24">G21</f>
        <v>24.5</v>
      </c>
      <c r="H30" s="5">
        <f t="shared" si="24"/>
        <v>29.9</v>
      </c>
      <c r="I30" s="5">
        <f t="shared" si="24"/>
        <v>25.6</v>
      </c>
      <c r="J30" s="99"/>
      <c r="M30" s="46">
        <f t="shared" si="0"/>
        <v>12.197246001427196</v>
      </c>
      <c r="N30" s="46">
        <f t="shared" si="5"/>
        <v>27</v>
      </c>
      <c r="O30" s="50">
        <f t="shared" si="1"/>
        <v>58.626067262464716</v>
      </c>
      <c r="P30" s="50">
        <f t="shared" si="2"/>
        <v>46.42882126103752</v>
      </c>
      <c r="Q30" s="50">
        <f t="shared" si="3"/>
        <v>48.467354290026698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557.9</v>
      </c>
      <c r="E31" s="46">
        <f t="shared" si="25"/>
        <v>516.1</v>
      </c>
      <c r="F31" s="46">
        <f t="shared" si="25"/>
        <v>154.35000000000002</v>
      </c>
      <c r="G31" s="5">
        <f t="shared" ref="G31:I33" si="26">G22*$J$31</f>
        <v>79.099999999999994</v>
      </c>
      <c r="H31" s="5">
        <f t="shared" si="26"/>
        <v>20</v>
      </c>
      <c r="I31" s="5">
        <f t="shared" si="26"/>
        <v>31.9</v>
      </c>
      <c r="J31" s="96">
        <f>J$22/J22</f>
        <v>1</v>
      </c>
      <c r="M31" s="46">
        <f t="shared" si="0"/>
        <v>10.116146211158394</v>
      </c>
      <c r="N31" s="46">
        <f t="shared" si="5"/>
        <v>28</v>
      </c>
      <c r="O31" s="50">
        <f t="shared" si="1"/>
        <v>56.460374412041389</v>
      </c>
      <c r="P31" s="50">
        <f t="shared" si="2"/>
        <v>46.344228200882995</v>
      </c>
      <c r="Q31" s="50">
        <f t="shared" si="3"/>
        <v>48.138283989318467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1200.5</v>
      </c>
      <c r="E32" s="46">
        <f t="shared" si="27"/>
        <v>1209.5</v>
      </c>
      <c r="F32" s="46">
        <f t="shared" si="27"/>
        <v>649</v>
      </c>
      <c r="G32" s="5">
        <f t="shared" si="26"/>
        <v>65.3</v>
      </c>
      <c r="H32" s="5">
        <f t="shared" si="26"/>
        <v>71</v>
      </c>
      <c r="I32" s="5">
        <f t="shared" si="26"/>
        <v>39.9</v>
      </c>
      <c r="J32" s="96"/>
      <c r="M32" s="46">
        <f t="shared" si="0"/>
        <v>8.0350464208895929</v>
      </c>
      <c r="N32" s="46">
        <f t="shared" si="5"/>
        <v>29</v>
      </c>
      <c r="O32" s="50">
        <f t="shared" si="1"/>
        <v>54.294681561618063</v>
      </c>
      <c r="P32" s="50">
        <f t="shared" si="2"/>
        <v>46.25963514072847</v>
      </c>
      <c r="Q32" s="50">
        <f t="shared" si="3"/>
        <v>47.809213688610235</v>
      </c>
    </row>
    <row r="33" spans="1:17">
      <c r="A33" s="78"/>
      <c r="B33" s="46" t="str">
        <f t="shared" si="27"/>
        <v>D65</v>
      </c>
      <c r="C33" s="79"/>
      <c r="D33" s="46">
        <f t="shared" si="27"/>
        <v>509.75</v>
      </c>
      <c r="E33" s="46">
        <f t="shared" si="27"/>
        <v>576.29999999999995</v>
      </c>
      <c r="F33" s="46">
        <f t="shared" si="27"/>
        <v>527.79999999999995</v>
      </c>
      <c r="G33" s="5">
        <f t="shared" si="26"/>
        <v>27.4</v>
      </c>
      <c r="H33" s="5">
        <f t="shared" si="26"/>
        <v>33</v>
      </c>
      <c r="I33" s="5">
        <f t="shared" si="26"/>
        <v>28.4</v>
      </c>
      <c r="J33" s="96"/>
      <c r="M33" s="46">
        <f t="shared" si="0"/>
        <v>5.9539466306207771</v>
      </c>
      <c r="N33" s="46">
        <f t="shared" si="5"/>
        <v>30</v>
      </c>
      <c r="O33" s="50">
        <f t="shared" si="1"/>
        <v>52.128988711194722</v>
      </c>
      <c r="P33" s="50">
        <f t="shared" si="2"/>
        <v>46.175042080573945</v>
      </c>
      <c r="Q33" s="50">
        <f t="shared" si="3"/>
        <v>47.480143387902004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557.9</v>
      </c>
      <c r="E34" s="46">
        <f t="shared" si="27"/>
        <v>516.1</v>
      </c>
      <c r="F34" s="46">
        <f t="shared" si="27"/>
        <v>154.35000000000002</v>
      </c>
      <c r="G34" s="5">
        <f t="shared" ref="G34:I36" si="28">G25*$J$34</f>
        <v>77.858548867017632</v>
      </c>
      <c r="H34" s="5">
        <f t="shared" si="28"/>
        <v>20.393682764934766</v>
      </c>
      <c r="I34" s="5">
        <f t="shared" si="28"/>
        <v>32.357976653696504</v>
      </c>
      <c r="J34" s="96">
        <f>J$22/J25</f>
        <v>0.90638590066376745</v>
      </c>
      <c r="M34" s="46">
        <f t="shared" si="0"/>
        <v>3.8728468403519756</v>
      </c>
      <c r="N34" s="46">
        <f t="shared" si="5"/>
        <v>31</v>
      </c>
      <c r="O34" s="50">
        <f t="shared" si="1"/>
        <v>49.963295860771396</v>
      </c>
      <c r="P34" s="50">
        <f t="shared" si="2"/>
        <v>46.09044902041942</v>
      </c>
      <c r="Q34" s="50">
        <f t="shared" si="3"/>
        <v>47.151073087193765</v>
      </c>
    </row>
    <row r="35" spans="1:17">
      <c r="A35" s="78"/>
      <c r="B35" s="46" t="str">
        <f t="shared" si="27"/>
        <v>CWF</v>
      </c>
      <c r="C35" s="79"/>
      <c r="D35" s="46">
        <f t="shared" si="27"/>
        <v>1200.5</v>
      </c>
      <c r="E35" s="46">
        <f t="shared" si="27"/>
        <v>1209.5</v>
      </c>
      <c r="F35" s="46">
        <f t="shared" si="27"/>
        <v>649</v>
      </c>
      <c r="G35" s="5">
        <f t="shared" si="28"/>
        <v>65.078507667658499</v>
      </c>
      <c r="H35" s="5">
        <f t="shared" si="28"/>
        <v>69.882352941176464</v>
      </c>
      <c r="I35" s="5">
        <f t="shared" si="28"/>
        <v>40.243533989471274</v>
      </c>
      <c r="J35" s="96"/>
      <c r="M35" s="46">
        <f t="shared" si="0"/>
        <v>1.791747050083174</v>
      </c>
      <c r="N35" s="46">
        <f t="shared" si="5"/>
        <v>32</v>
      </c>
      <c r="O35" s="50">
        <f t="shared" si="1"/>
        <v>47.79760301034807</v>
      </c>
      <c r="P35" s="50">
        <f t="shared" si="2"/>
        <v>46.005855960264896</v>
      </c>
      <c r="Q35" s="50">
        <f t="shared" si="3"/>
        <v>46.822002786485541</v>
      </c>
    </row>
    <row r="36" spans="1:17">
      <c r="A36" s="78"/>
      <c r="B36" s="46" t="str">
        <f t="shared" si="27"/>
        <v>D65</v>
      </c>
      <c r="C36" s="79"/>
      <c r="D36" s="46">
        <f t="shared" si="27"/>
        <v>509.75</v>
      </c>
      <c r="E36" s="46">
        <f t="shared" si="27"/>
        <v>576.29999999999995</v>
      </c>
      <c r="F36" s="46">
        <f t="shared" si="27"/>
        <v>527.79999999999995</v>
      </c>
      <c r="G36" s="5">
        <f t="shared" si="28"/>
        <v>27.826047150377661</v>
      </c>
      <c r="H36" s="5">
        <f t="shared" si="28"/>
        <v>33.445639734493021</v>
      </c>
      <c r="I36" s="5">
        <f t="shared" si="28"/>
        <v>28.913710231174182</v>
      </c>
      <c r="J36" s="96"/>
      <c r="M36" s="46">
        <f t="shared" si="0"/>
        <v>0.86102232585255933</v>
      </c>
      <c r="N36" s="46">
        <f t="shared" si="5"/>
        <v>33</v>
      </c>
      <c r="O36" s="50">
        <f t="shared" si="1"/>
        <v>45.631910159924743</v>
      </c>
      <c r="P36" s="50">
        <f t="shared" si="2"/>
        <v>45.921262900110371</v>
      </c>
      <c r="Q36" s="50">
        <f t="shared" si="3"/>
        <v>46.492932485777303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557.9</v>
      </c>
      <c r="E37" s="46">
        <f t="shared" si="27"/>
        <v>516.1</v>
      </c>
      <c r="F37" s="46">
        <f t="shared" si="27"/>
        <v>154.35000000000002</v>
      </c>
      <c r="G37" s="5">
        <f t="shared" ref="G37:I39" si="29">G28*$J$37</f>
        <v>86.638795986622057</v>
      </c>
      <c r="H37" s="5">
        <f t="shared" si="29"/>
        <v>19.64548494983277</v>
      </c>
      <c r="I37" s="5">
        <f t="shared" si="29"/>
        <v>32.006688963210692</v>
      </c>
      <c r="J37" s="96">
        <f>J$22/J28</f>
        <v>1.103678929765886</v>
      </c>
      <c r="K37" s="51" t="str">
        <f>CHAR(34) &amp; "EEpromVersion" &amp;CHAR(34)  &amp; ",3,"</f>
        <v>"EEpromVersion",3,</v>
      </c>
      <c r="M37" s="46">
        <f t="shared" si="0"/>
        <v>2.6976448755676614</v>
      </c>
      <c r="N37" s="46">
        <f t="shared" si="5"/>
        <v>34</v>
      </c>
      <c r="O37" s="50">
        <f t="shared" si="1"/>
        <v>43.466217309501417</v>
      </c>
      <c r="P37" s="50">
        <f t="shared" si="2"/>
        <v>45.836669839955846</v>
      </c>
      <c r="Q37" s="50">
        <f t="shared" si="3"/>
        <v>46.163862185069078</v>
      </c>
    </row>
    <row r="38" spans="1:17">
      <c r="A38" s="78"/>
      <c r="B38" s="46" t="str">
        <f t="shared" si="27"/>
        <v>CWF</v>
      </c>
      <c r="C38" s="79"/>
      <c r="D38" s="46">
        <f t="shared" si="27"/>
        <v>1200.5</v>
      </c>
      <c r="E38" s="46">
        <f t="shared" si="27"/>
        <v>1209.5</v>
      </c>
      <c r="F38" s="46">
        <f t="shared" si="27"/>
        <v>649</v>
      </c>
      <c r="G38" s="5">
        <f t="shared" si="29"/>
        <v>62.357859531772561</v>
      </c>
      <c r="H38" s="5">
        <f t="shared" si="29"/>
        <v>66.110367892976569</v>
      </c>
      <c r="I38" s="5">
        <f t="shared" si="29"/>
        <v>40.946488294314371</v>
      </c>
      <c r="J38" s="96"/>
      <c r="K38" s="52" t="str">
        <f>K4</f>
        <v>"Compensation",33,</v>
      </c>
      <c r="M38" s="46">
        <f t="shared" si="0"/>
        <v>4.5342674252827635</v>
      </c>
      <c r="N38" s="46">
        <f t="shared" si="5"/>
        <v>35</v>
      </c>
      <c r="O38" s="50">
        <f t="shared" si="1"/>
        <v>41.300524459078076</v>
      </c>
      <c r="P38" s="50">
        <f t="shared" si="2"/>
        <v>45.752076779801314</v>
      </c>
      <c r="Q38" s="50">
        <f t="shared" si="3"/>
        <v>45.83479188436084</v>
      </c>
    </row>
    <row r="39" spans="1:17">
      <c r="A39" s="78"/>
      <c r="B39" s="46" t="str">
        <f t="shared" si="27"/>
        <v>D65</v>
      </c>
      <c r="C39" s="79"/>
      <c r="D39" s="46">
        <f t="shared" si="27"/>
        <v>509.75</v>
      </c>
      <c r="E39" s="46">
        <f t="shared" si="27"/>
        <v>576.29999999999995</v>
      </c>
      <c r="F39" s="46">
        <f t="shared" si="27"/>
        <v>527.79999999999995</v>
      </c>
      <c r="G39" s="5">
        <f t="shared" si="29"/>
        <v>27.040133779264206</v>
      </c>
      <c r="H39" s="5">
        <f t="shared" si="29"/>
        <v>32.999999999999993</v>
      </c>
      <c r="I39" s="5">
        <f t="shared" si="29"/>
        <v>28.254180602006684</v>
      </c>
      <c r="J39" s="96"/>
      <c r="K39" s="53" t="str">
        <f>linefmt("CardGain",J42,J45,J48)</f>
        <v>"CardGain",13.85831,14.57369,16.81555,</v>
      </c>
      <c r="M39" s="46">
        <f t="shared" si="0"/>
        <v>6.5326521109920392</v>
      </c>
      <c r="N39" s="46">
        <f t="shared" si="5"/>
        <v>36</v>
      </c>
      <c r="O39" s="50">
        <f t="shared" si="1"/>
        <v>39.13483160865475</v>
      </c>
      <c r="P39" s="50">
        <f t="shared" si="2"/>
        <v>45.667483719646789</v>
      </c>
      <c r="Q39" s="50">
        <f t="shared" si="3"/>
        <v>45.505721583652608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"Range",1,0.9063859,1.103679,</v>
      </c>
      <c r="M40" s="46">
        <f t="shared" si="0"/>
        <v>8.6137519012608408</v>
      </c>
      <c r="N40" s="46">
        <f t="shared" si="5"/>
        <v>37</v>
      </c>
      <c r="O40" s="50">
        <f t="shared" si="1"/>
        <v>36.969138758231423</v>
      </c>
      <c r="P40" s="50">
        <f t="shared" si="2"/>
        <v>45.582890659492264</v>
      </c>
      <c r="Q40" s="50">
        <f t="shared" si="3"/>
        <v>45.176651282944377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10.694851691529657</v>
      </c>
      <c r="N41" s="46">
        <f t="shared" si="5"/>
        <v>38</v>
      </c>
      <c r="O41" s="50">
        <f t="shared" si="1"/>
        <v>34.803445907808083</v>
      </c>
      <c r="P41" s="50">
        <f t="shared" si="2"/>
        <v>45.498297599337739</v>
      </c>
      <c r="Q41" s="50">
        <f t="shared" si="3"/>
        <v>44.847580982236146</v>
      </c>
    </row>
    <row r="42" spans="1:17">
      <c r="A42" s="4"/>
      <c r="B42" s="46" t="s">
        <v>3</v>
      </c>
      <c r="C42" s="79">
        <f>C31</f>
        <v>0</v>
      </c>
      <c r="D42" s="46">
        <f>I42/$H$43</f>
        <v>0.34610505946834624</v>
      </c>
      <c r="E42" s="46">
        <f>H42/$H$43</f>
        <v>1.041992453714822</v>
      </c>
      <c r="F42" s="46">
        <f>G42/$H$43</f>
        <v>-0.24950842311263993</v>
      </c>
      <c r="G42" s="46">
        <f t="array" ref="G42:I42">LINEST($D31:$D33,$G31:$I33,FALSE)</f>
        <v>-3.4577645087654711</v>
      </c>
      <c r="H42" s="46">
        <v>14.440252076099291</v>
      </c>
      <c r="I42" s="46">
        <v>4.7964304210825812</v>
      </c>
      <c r="J42" s="97">
        <f>H43</f>
        <v>13.858307730174193</v>
      </c>
      <c r="K42" s="53" t="str">
        <f t="shared" ref="K42:K50" si="30">linefmt("",D42,E42,F42)</f>
        <v>0.3461051,1.041992,-0.2495084,</v>
      </c>
      <c r="M42" s="46">
        <f t="shared" si="0"/>
        <v>12.775951481798458</v>
      </c>
      <c r="N42" s="46">
        <f t="shared" si="5"/>
        <v>39</v>
      </c>
      <c r="O42" s="50">
        <f t="shared" si="1"/>
        <v>32.637753057384757</v>
      </c>
      <c r="P42" s="50">
        <f t="shared" si="2"/>
        <v>45.413704539183215</v>
      </c>
      <c r="Q42" s="50">
        <f t="shared" si="3"/>
        <v>44.518510681527914</v>
      </c>
    </row>
    <row r="43" spans="1:17">
      <c r="A43" s="4"/>
      <c r="B43" s="46" t="s">
        <v>4</v>
      </c>
      <c r="C43" s="79"/>
      <c r="D43" s="46">
        <f>I43/$H$43</f>
        <v>0.1572329293579941</v>
      </c>
      <c r="E43" s="46">
        <f>H43/$H$43</f>
        <v>1</v>
      </c>
      <c r="F43" s="46">
        <f>G43/$H$43</f>
        <v>0.15059794914325125</v>
      </c>
      <c r="G43" s="46">
        <f t="array" ref="G43:I43">LINEST($E31:$E33,$G31:$I33,FALSE)</f>
        <v>2.0870327227602989</v>
      </c>
      <c r="H43" s="46">
        <v>13.858307730174193</v>
      </c>
      <c r="I43" s="46">
        <v>2.1789823203598226</v>
      </c>
      <c r="J43" s="97"/>
      <c r="K43" s="53" t="str">
        <f t="shared" si="30"/>
        <v>0.1572329,1,0.1505979,</v>
      </c>
      <c r="M43" s="46">
        <f t="shared" si="0"/>
        <v>14.85705127206726</v>
      </c>
      <c r="N43" s="46">
        <f t="shared" si="5"/>
        <v>40</v>
      </c>
      <c r="O43" s="50">
        <f t="shared" si="1"/>
        <v>30.47206020696143</v>
      </c>
      <c r="P43" s="50">
        <f t="shared" si="2"/>
        <v>45.32911147902869</v>
      </c>
      <c r="Q43" s="50">
        <f t="shared" si="3"/>
        <v>44.189440380819683</v>
      </c>
    </row>
    <row r="44" spans="1:17">
      <c r="A44" s="4"/>
      <c r="B44" s="46" t="s">
        <v>5</v>
      </c>
      <c r="C44" s="79"/>
      <c r="D44" s="46">
        <f>I44/$H$43</f>
        <v>-0.54216278764743342</v>
      </c>
      <c r="E44" s="46">
        <f>H44/$H$43</f>
        <v>0.31888054984816538</v>
      </c>
      <c r="F44" s="46">
        <f>G44/$H$43</f>
        <v>1.4935795933945257</v>
      </c>
      <c r="G44" s="46">
        <f t="array" ref="G44:I44">LINEST($F$31:$F$33,$G31:$I33,FALSE)</f>
        <v>20.698485624769784</v>
      </c>
      <c r="H44" s="46">
        <v>4.4191447889630275</v>
      </c>
      <c r="I44" s="46">
        <v>-7.5134587510672155</v>
      </c>
      <c r="J44" s="97"/>
      <c r="K44" s="53" t="str">
        <f t="shared" si="30"/>
        <v>-0.5421628,0.3188806,1.49358,</v>
      </c>
      <c r="M44" s="46">
        <f t="shared" si="0"/>
        <v>16.938151062336061</v>
      </c>
      <c r="N44" s="46">
        <f t="shared" si="5"/>
        <v>41</v>
      </c>
      <c r="O44" s="50">
        <f t="shared" si="1"/>
        <v>28.306367356538104</v>
      </c>
      <c r="P44" s="50">
        <f t="shared" si="2"/>
        <v>45.244518418874165</v>
      </c>
      <c r="Q44" s="50">
        <f t="shared" si="3"/>
        <v>43.860370080111451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0.35990232215610596</v>
      </c>
      <c r="E45" s="46">
        <f>H45/$H$46</f>
        <v>1.0375941796610242</v>
      </c>
      <c r="F45" s="46">
        <f>G45/$H$46</f>
        <v>-0.33687282107975103</v>
      </c>
      <c r="G45" s="46">
        <f t="array" ref="G45:I45">LINEST($D34:$D36,$G34:$I36,FALSE)</f>
        <v>-4.9094797555673484</v>
      </c>
      <c r="H45" s="46">
        <v>15.121574970675201</v>
      </c>
      <c r="I45" s="46">
        <v>5.2451045440343727</v>
      </c>
      <c r="J45" s="97">
        <f>H46</f>
        <v>14.573689084893797</v>
      </c>
      <c r="K45" s="53" t="str">
        <f t="shared" si="30"/>
        <v>0.3599023,1.037594,-0.3368728,</v>
      </c>
      <c r="M45" s="46">
        <f t="shared" si="0"/>
        <v>19.019250852604863</v>
      </c>
      <c r="N45" s="46">
        <f t="shared" si="5"/>
        <v>42</v>
      </c>
      <c r="O45" s="50">
        <f t="shared" si="1"/>
        <v>26.140674506114777</v>
      </c>
      <c r="P45" s="50">
        <f t="shared" si="2"/>
        <v>45.15992535871964</v>
      </c>
      <c r="Q45" s="50">
        <f t="shared" si="3"/>
        <v>43.53129977940322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0.17541046014190614</v>
      </c>
      <c r="E46" s="46">
        <f>H46/$H$46</f>
        <v>1</v>
      </c>
      <c r="F46" s="46">
        <f>G46/$H$46</f>
        <v>4.2099265426889111E-2</v>
      </c>
      <c r="G46" s="46">
        <f t="array" ref="G46:I46">LINEST($E34:$E36,$G34:$I36,FALSE)</f>
        <v>0.61354160503390065</v>
      </c>
      <c r="H46" s="46">
        <v>14.573689084893797</v>
      </c>
      <c r="I46" s="46">
        <v>2.5563775083462961</v>
      </c>
      <c r="J46" s="97"/>
      <c r="K46" s="53" t="str">
        <f t="shared" si="30"/>
        <v>0.1754105,1,4.209927E-02,</v>
      </c>
      <c r="M46" s="46">
        <f t="shared" si="0"/>
        <v>21.100350642873678</v>
      </c>
      <c r="N46" s="46">
        <f t="shared" si="5"/>
        <v>43</v>
      </c>
      <c r="O46" s="50">
        <f t="shared" si="1"/>
        <v>23.974981655691437</v>
      </c>
      <c r="P46" s="50">
        <f t="shared" si="2"/>
        <v>45.075332298565115</v>
      </c>
      <c r="Q46" s="50">
        <f t="shared" si="3"/>
        <v>43.202229478694989</v>
      </c>
    </row>
    <row r="47" spans="1:17">
      <c r="A47" s="4"/>
      <c r="B47" s="46" t="str">
        <f t="shared" si="31"/>
        <v>Z</v>
      </c>
      <c r="C47" s="79"/>
      <c r="D47" s="46">
        <f>I47/$H$46</f>
        <v>-0.51895321568933761</v>
      </c>
      <c r="E47" s="46">
        <f>H47/$H$46</f>
        <v>0.33427410425285964</v>
      </c>
      <c r="F47" s="46">
        <f>G47/$H$46</f>
        <v>1.3653161561754001</v>
      </c>
      <c r="G47" s="46">
        <f t="array" ref="G47:I47">LINEST($F$31:$F$33,$G34:$I36,FALSE)</f>
        <v>19.897693162682582</v>
      </c>
      <c r="H47" s="46">
        <v>4.8716068645125512</v>
      </c>
      <c r="I47" s="46">
        <v>-7.5630628150622359</v>
      </c>
      <c r="J47" s="97"/>
      <c r="K47" s="53" t="str">
        <f t="shared" si="30"/>
        <v>-0.5189532,0.3342741,1.365316,</v>
      </c>
      <c r="M47" s="46">
        <f t="shared" si="0"/>
        <v>23.18145043314248</v>
      </c>
      <c r="N47" s="46">
        <f t="shared" si="5"/>
        <v>44</v>
      </c>
      <c r="O47" s="50">
        <f t="shared" si="1"/>
        <v>21.80928880526811</v>
      </c>
      <c r="P47" s="50">
        <f t="shared" si="2"/>
        <v>44.99073923841059</v>
      </c>
      <c r="Q47" s="50">
        <f t="shared" si="3"/>
        <v>42.873159177986757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0.32457438517588866</v>
      </c>
      <c r="E48" s="46">
        <f>H48/$H$49</f>
        <v>1.0904263763060755</v>
      </c>
      <c r="F48" s="46">
        <f>G48/$H$49</f>
        <v>-0.51130127218848997</v>
      </c>
      <c r="G48" s="46">
        <f t="array" ref="G48:I48">LINEST($D37:$D39,$G37:$I39,FALSE)</f>
        <v>-8.5978111133031927</v>
      </c>
      <c r="H48" s="46">
        <v>18.336117131715508</v>
      </c>
      <c r="I48" s="46">
        <v>5.457896171496416</v>
      </c>
      <c r="J48" s="97">
        <f>H49</f>
        <v>16.815548055459619</v>
      </c>
      <c r="K48" s="53" t="str">
        <f t="shared" si="30"/>
        <v>0.3245744,1.090426,-0.5113013,</v>
      </c>
      <c r="M48" s="46">
        <f t="shared" si="0"/>
        <v>25.262550223411282</v>
      </c>
      <c r="N48" s="46">
        <f t="shared" si="5"/>
        <v>45</v>
      </c>
      <c r="O48" s="50">
        <f t="shared" si="1"/>
        <v>19.643595954844784</v>
      </c>
      <c r="P48" s="50">
        <f t="shared" si="2"/>
        <v>44.906146178256066</v>
      </c>
      <c r="Q48" s="50">
        <f t="shared" si="3"/>
        <v>42.544088877278526</v>
      </c>
    </row>
    <row r="49" spans="1:24">
      <c r="A49" s="4"/>
      <c r="B49" s="46" t="str">
        <f t="shared" si="31"/>
        <v>Y</v>
      </c>
      <c r="C49" s="79"/>
      <c r="D49" s="46">
        <f>I49/$H$49</f>
        <v>0.17150551281679099</v>
      </c>
      <c r="E49" s="46">
        <f>H49/$H$49</f>
        <v>1</v>
      </c>
      <c r="F49" s="46">
        <f>G49/$H$49</f>
        <v>-0.1191214329259445</v>
      </c>
      <c r="G49" s="46">
        <f t="array" ref="G49:I49">LINEST($E37:$E39,$G37:$I39,FALSE)</f>
        <v>-2.0030921798014294</v>
      </c>
      <c r="H49" s="46">
        <v>16.815548055459619</v>
      </c>
      <c r="I49" s="46">
        <v>2.8839591925469947</v>
      </c>
      <c r="J49" s="97"/>
      <c r="K49" s="53" t="str">
        <f t="shared" si="30"/>
        <v>0.1715055,1,-0.1191214,</v>
      </c>
      <c r="M49" s="46">
        <f t="shared" si="0"/>
        <v>27.343650013680097</v>
      </c>
      <c r="N49" s="46">
        <f t="shared" si="5"/>
        <v>46</v>
      </c>
      <c r="O49" s="50">
        <f t="shared" si="1"/>
        <v>17.477903104421443</v>
      </c>
      <c r="P49" s="50">
        <f t="shared" si="2"/>
        <v>44.821553118101541</v>
      </c>
      <c r="Q49" s="50">
        <f t="shared" si="3"/>
        <v>42.215018576570294</v>
      </c>
    </row>
    <row r="50" spans="1:24">
      <c r="A50" s="4"/>
      <c r="B50" s="46" t="str">
        <f t="shared" si="31"/>
        <v>Z</v>
      </c>
      <c r="C50" s="79"/>
      <c r="D50" s="46">
        <f>I50/$H$49</f>
        <v>-0.42127358818787342</v>
      </c>
      <c r="E50" s="46">
        <f>H50/$H$49</f>
        <v>0.15689201471156333</v>
      </c>
      <c r="F50" s="46">
        <f>G50/$H$49</f>
        <v>1.3308287469490472</v>
      </c>
      <c r="G50" s="46">
        <f t="array" ref="G50:I50">LINEST($F$31:$F$33,$G37:$I39,FALSE)</f>
        <v>22.378614747908813</v>
      </c>
      <c r="H50" s="46">
        <v>2.6382252129001706</v>
      </c>
      <c r="I50" s="46">
        <v>-7.0839462666690913</v>
      </c>
      <c r="J50" s="97"/>
      <c r="K50" s="54" t="str">
        <f t="shared" si="30"/>
        <v>-0.4212736,0.156892,1.330829,</v>
      </c>
      <c r="M50" s="46">
        <f t="shared" si="0"/>
        <v>29.424749803948899</v>
      </c>
      <c r="N50" s="46">
        <f t="shared" si="5"/>
        <v>47</v>
      </c>
      <c r="O50" s="50">
        <f t="shared" si="1"/>
        <v>15.312210253998117</v>
      </c>
      <c r="P50" s="50">
        <f t="shared" si="2"/>
        <v>44.736960057947016</v>
      </c>
      <c r="Q50" s="50">
        <f t="shared" si="3"/>
        <v>41.885948275862063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0.3435272556001136</v>
      </c>
      <c r="E51" s="46">
        <f t="shared" ref="E51:F51" si="32">(E42+E45+E48)/3</f>
        <v>1.0566710032273072</v>
      </c>
      <c r="F51" s="46">
        <f t="shared" si="32"/>
        <v>-0.36589417212696035</v>
      </c>
      <c r="J51" s="97">
        <f>(J42+J45+J48)/3</f>
        <v>15.082514956842536</v>
      </c>
      <c r="M51" s="46">
        <f t="shared" si="0"/>
        <v>31.505849594217693</v>
      </c>
      <c r="N51" s="46">
        <f t="shared" si="5"/>
        <v>48</v>
      </c>
      <c r="O51" s="50">
        <f t="shared" si="1"/>
        <v>13.146517403574791</v>
      </c>
      <c r="P51" s="50">
        <f t="shared" si="2"/>
        <v>44.652366997792484</v>
      </c>
      <c r="Q51" s="50">
        <f t="shared" si="3"/>
        <v>41.556877975153832</v>
      </c>
    </row>
    <row r="52" spans="1:24">
      <c r="B52" s="46" t="str">
        <f t="shared" si="31"/>
        <v>Y</v>
      </c>
      <c r="C52" s="79"/>
      <c r="D52" s="46">
        <f t="shared" ref="D52:F53" si="33">(D43+D46+D49)/3</f>
        <v>0.16804963410556373</v>
      </c>
      <c r="E52" s="46">
        <f t="shared" si="33"/>
        <v>1</v>
      </c>
      <c r="F52" s="46">
        <f t="shared" si="33"/>
        <v>2.4525260548065284E-2</v>
      </c>
      <c r="J52" s="97"/>
      <c r="M52" s="46">
        <f t="shared" si="0"/>
        <v>33.586949384486495</v>
      </c>
      <c r="N52" s="46">
        <f t="shared" si="5"/>
        <v>49</v>
      </c>
      <c r="O52" s="50">
        <f t="shared" si="1"/>
        <v>10.980824553151464</v>
      </c>
      <c r="P52" s="50">
        <f t="shared" si="2"/>
        <v>44.567773937637959</v>
      </c>
      <c r="Q52" s="50">
        <f t="shared" si="3"/>
        <v>41.2278076744456</v>
      </c>
    </row>
    <row r="53" spans="1:24" ht="15.75" thickBot="1">
      <c r="B53" s="46" t="str">
        <f t="shared" si="31"/>
        <v>Z</v>
      </c>
      <c r="C53" s="79"/>
      <c r="D53" s="46">
        <f t="shared" si="33"/>
        <v>-0.49412986384154811</v>
      </c>
      <c r="E53" s="46">
        <f t="shared" si="33"/>
        <v>0.27001555627086277</v>
      </c>
      <c r="F53" s="46">
        <f t="shared" si="33"/>
        <v>1.3965748321729909</v>
      </c>
      <c r="J53" s="100"/>
      <c r="M53" s="46">
        <f t="shared" si="0"/>
        <v>35.668049174755296</v>
      </c>
      <c r="N53" s="46">
        <f t="shared" si="5"/>
        <v>50</v>
      </c>
      <c r="O53" s="50">
        <f t="shared" si="1"/>
        <v>8.815131702728138</v>
      </c>
      <c r="P53" s="50">
        <f t="shared" si="2"/>
        <v>44.483180877483434</v>
      </c>
      <c r="Q53" s="50">
        <f t="shared" si="3"/>
        <v>40.898737373737362</v>
      </c>
    </row>
    <row r="54" spans="1:24">
      <c r="B54" s="79" t="s">
        <v>14</v>
      </c>
      <c r="C54" s="79"/>
      <c r="D54" s="19">
        <f>I54/$H$55</f>
        <v>0.3281885138970333</v>
      </c>
      <c r="E54" s="20">
        <f>H54/$H$55</f>
        <v>1.0516450450448798</v>
      </c>
      <c r="F54" s="21">
        <f>G54/$H$55</f>
        <v>-0.3028201421914844</v>
      </c>
      <c r="G54" s="46">
        <f t="array" ref="G54:I54">LINEST(D$31:D$39,$G$31:$I$39,FALSE)</f>
        <v>-4.4471229289448084</v>
      </c>
      <c r="H54" s="46">
        <v>15.444133798645963</v>
      </c>
      <c r="I54" s="46">
        <v>4.8196749879501937</v>
      </c>
      <c r="J54" s="98">
        <f>H55</f>
        <v>14.685690643830183</v>
      </c>
      <c r="M54" s="46">
        <f t="shared" si="0"/>
        <v>37.749148965024112</v>
      </c>
      <c r="N54" s="46">
        <f t="shared" si="5"/>
        <v>51</v>
      </c>
      <c r="O54" s="50">
        <f t="shared" si="1"/>
        <v>6.6494388523047974</v>
      </c>
      <c r="P54" s="50">
        <f t="shared" si="2"/>
        <v>44.398587817328909</v>
      </c>
      <c r="Q54" s="50">
        <f t="shared" si="3"/>
        <v>40.569667073029137</v>
      </c>
    </row>
    <row r="55" spans="1:24" ht="15" customHeight="1">
      <c r="B55" s="79"/>
      <c r="C55" s="79"/>
      <c r="D55" s="22">
        <f>I55/$H$55</f>
        <v>0.15679659644048213</v>
      </c>
      <c r="E55" s="18">
        <f>H55/$H$55</f>
        <v>1</v>
      </c>
      <c r="F55" s="23">
        <f>G55/$H$55</f>
        <v>7.5379277777343018E-2</v>
      </c>
      <c r="G55" s="46">
        <f t="array" ref="G55:I55">LINEST(E$31:E$39,$G$31:$I$39,FALSE)</f>
        <v>1.1069967543934027</v>
      </c>
      <c r="H55" s="46">
        <v>14.685690643830183</v>
      </c>
      <c r="I55" s="46">
        <v>2.3026663093304056</v>
      </c>
      <c r="J55" s="98"/>
      <c r="M55" s="46">
        <f t="shared" si="0"/>
        <v>39.830248755292914</v>
      </c>
      <c r="N55" s="46">
        <f t="shared" si="5"/>
        <v>52</v>
      </c>
      <c r="O55" s="50">
        <f t="shared" si="1"/>
        <v>4.483746001881471</v>
      </c>
      <c r="P55" s="50">
        <f t="shared" si="2"/>
        <v>44.313994757174385</v>
      </c>
      <c r="Q55" s="50">
        <f t="shared" si="3"/>
        <v>40.240596772320899</v>
      </c>
    </row>
    <row r="56" spans="1:24" ht="15" customHeight="1" thickBot="1">
      <c r="B56" s="79"/>
      <c r="C56" s="79"/>
      <c r="D56" s="24">
        <f>I56/$H$55</f>
        <v>-0.4856658209869143</v>
      </c>
      <c r="E56" s="25">
        <f>H56/$H$55</f>
        <v>0.28696042541083533</v>
      </c>
      <c r="F56" s="26">
        <f>G56/$H$55</f>
        <v>1.3810222864373267</v>
      </c>
      <c r="G56" s="46">
        <f t="array" ref="G56:I56">LINEST(F$31:F$39,$G$31:$I$39,FALSE)</f>
        <v>20.281266070853615</v>
      </c>
      <c r="H56" s="46">
        <v>4.2142120346054339</v>
      </c>
      <c r="I56" s="46">
        <v>-7.1323380032956321</v>
      </c>
      <c r="J56" s="98"/>
      <c r="M56" s="46">
        <f t="shared" si="0"/>
        <v>41.911348545561715</v>
      </c>
      <c r="N56" s="46">
        <f t="shared" si="5"/>
        <v>53</v>
      </c>
      <c r="O56" s="50">
        <f t="shared" si="1"/>
        <v>2.3180531514581446</v>
      </c>
      <c r="P56" s="50">
        <f t="shared" si="2"/>
        <v>44.22940169701986</v>
      </c>
      <c r="Q56" s="50">
        <f t="shared" si="3"/>
        <v>39.911526471612675</v>
      </c>
    </row>
    <row r="57" spans="1:24">
      <c r="M57" s="46">
        <f t="shared" si="0"/>
        <v>43.992448335830531</v>
      </c>
      <c r="N57" s="46">
        <f t="shared" si="5"/>
        <v>54</v>
      </c>
      <c r="O57" s="50">
        <f t="shared" si="1"/>
        <v>0.15236030103480402</v>
      </c>
      <c r="P57" s="50">
        <f t="shared" si="2"/>
        <v>44.144808636865335</v>
      </c>
      <c r="Q57" s="50">
        <f t="shared" si="3"/>
        <v>39.582456170904436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46.073548126099332</v>
      </c>
      <c r="N58" s="46">
        <f t="shared" si="5"/>
        <v>55</v>
      </c>
      <c r="O58" s="50">
        <f t="shared" si="1"/>
        <v>-2.0133325493885224</v>
      </c>
      <c r="P58" s="50">
        <f t="shared" si="2"/>
        <v>44.06021557671081</v>
      </c>
      <c r="Q58" s="50">
        <f t="shared" si="3"/>
        <v>39.253385870196212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48.154647916368134</v>
      </c>
      <c r="N59" s="46">
        <f t="shared" si="5"/>
        <v>56</v>
      </c>
      <c r="O59" s="50">
        <f t="shared" si="1"/>
        <v>-4.1790253998118487</v>
      </c>
      <c r="P59" s="50">
        <f t="shared" si="2"/>
        <v>43.975622516556285</v>
      </c>
      <c r="Q59" s="50">
        <f t="shared" si="3"/>
        <v>38.924315569487973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516.1</v>
      </c>
      <c r="E60" s="32">
        <f t="shared" ref="E60:E68" si="37">getCCTfromXY(D22/SUM(D22:F22),E22/SUM(D22:F22))</f>
        <v>2861</v>
      </c>
      <c r="F60" s="31">
        <f t="shared" ref="F60:F68" si="38">V60</f>
        <v>511.1679144097883</v>
      </c>
      <c r="G60" s="32">
        <f t="shared" ref="G60:G68" si="39">getCCTfromXY(U60/X60,V60/X60)</f>
        <v>2945</v>
      </c>
      <c r="H60" s="33">
        <f>F60/D60-1</f>
        <v>-9.5564533815379882E-3</v>
      </c>
      <c r="I60" s="34">
        <f t="shared" ref="I60:I68" si="40">G60/E60-1</f>
        <v>2.9360363509262521E-2</v>
      </c>
      <c r="M60" s="46">
        <f t="shared" si="0"/>
        <v>50.235747706636936</v>
      </c>
      <c r="N60" s="46">
        <f t="shared" si="5"/>
        <v>57</v>
      </c>
      <c r="O60" s="50">
        <f t="shared" si="1"/>
        <v>-6.3447182502351751</v>
      </c>
      <c r="P60" s="50">
        <f t="shared" si="2"/>
        <v>43.89102945640176</v>
      </c>
      <c r="Q60" s="50">
        <f t="shared" si="3"/>
        <v>38.595245268779749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548.25574608644024</v>
      </c>
      <c r="V60" s="50">
        <f>$J$54*$J$31*($D$55*G22+$E$55*H22+$F$55*I22)</f>
        <v>511.1679144097883</v>
      </c>
      <c r="W60" s="50">
        <f>$J$54*$J$31*($D$56*G22+$E$56*H22+$F$56*I22)</f>
        <v>167.08869229165455</v>
      </c>
      <c r="X60" s="29">
        <f>SUM(U60:W60)</f>
        <v>1226.5123527878829</v>
      </c>
    </row>
    <row r="61" spans="1:24">
      <c r="A61" s="87"/>
      <c r="B61" s="48" t="str">
        <f t="shared" si="35"/>
        <v>CWF</v>
      </c>
      <c r="C61" s="93"/>
      <c r="D61" s="31">
        <f t="shared" si="36"/>
        <v>1209.5</v>
      </c>
      <c r="E61" s="32">
        <f t="shared" si="37"/>
        <v>3854</v>
      </c>
      <c r="F61" s="31">
        <f t="shared" si="38"/>
        <v>1237.2173162115153</v>
      </c>
      <c r="G61" s="32">
        <f t="shared" si="39"/>
        <v>3778</v>
      </c>
      <c r="H61" s="33">
        <f t="shared" ref="H61:H68" si="41">F61/D61-1</f>
        <v>2.2916342465080897E-2</v>
      </c>
      <c r="I61" s="34">
        <f t="shared" si="40"/>
        <v>-1.9719771665801744E-2</v>
      </c>
      <c r="M61" s="46">
        <f t="shared" si="0"/>
        <v>52.316847496905737</v>
      </c>
      <c r="N61" s="46">
        <f t="shared" si="5"/>
        <v>58</v>
      </c>
      <c r="O61" s="50">
        <f t="shared" si="1"/>
        <v>-8.5104111006585015</v>
      </c>
      <c r="P61" s="50">
        <f t="shared" si="2"/>
        <v>43.806436396247236</v>
      </c>
      <c r="Q61" s="50">
        <f t="shared" si="3"/>
        <v>38.26617496807151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1233.8180715521135</v>
      </c>
      <c r="V61" s="50">
        <f>$J$54*$J$31*($D$55*G23+$E$55*H23+$F$55*I23)</f>
        <v>1237.2173162115153</v>
      </c>
      <c r="W61" s="50">
        <f>$J$54*$J$31*($D$56*G23+$E$56*H23+$F$56*I23)</f>
        <v>642.6898990688403</v>
      </c>
      <c r="X61" s="29">
        <f t="shared" ref="X61:X68" si="43">SUM(U61:W61)</f>
        <v>3113.7252868324695</v>
      </c>
    </row>
    <row r="62" spans="1:24">
      <c r="A62" s="87"/>
      <c r="B62" s="48" t="str">
        <f t="shared" si="35"/>
        <v>D65</v>
      </c>
      <c r="C62" s="93"/>
      <c r="D62" s="31">
        <f t="shared" si="36"/>
        <v>576.29999999999995</v>
      </c>
      <c r="E62" s="32">
        <f t="shared" si="37"/>
        <v>6300</v>
      </c>
      <c r="F62" s="31">
        <f t="shared" si="38"/>
        <v>579.15955594682168</v>
      </c>
      <c r="G62" s="32">
        <f t="shared" si="39"/>
        <v>6139</v>
      </c>
      <c r="H62" s="33">
        <f t="shared" si="41"/>
        <v>4.9619225174766246E-3</v>
      </c>
      <c r="I62" s="34">
        <f t="shared" si="40"/>
        <v>-2.5555555555555554E-2</v>
      </c>
      <c r="M62" s="46">
        <f t="shared" si="0"/>
        <v>54.397947287174553</v>
      </c>
      <c r="N62" s="46">
        <f t="shared" si="5"/>
        <v>59</v>
      </c>
      <c r="O62" s="50">
        <f t="shared" si="1"/>
        <v>-10.676103951081842</v>
      </c>
      <c r="P62" s="50">
        <f t="shared" si="2"/>
        <v>43.721843336092711</v>
      </c>
      <c r="Q62" s="50">
        <f t="shared" si="3"/>
        <v>37.937104667363279</v>
      </c>
      <c r="R62" s="78"/>
      <c r="S62" s="46" t="str">
        <f t="shared" si="42"/>
        <v>D65</v>
      </c>
      <c r="T62" s="79"/>
      <c r="U62" s="50">
        <f>$J$54*$J$31*($D$54*G24+$E$54*H24+$F$54*I24)</f>
        <v>515.4172188431196</v>
      </c>
      <c r="V62" s="50">
        <f>$J$54*$J$31*($D$55*G24+$E$55*H24+$F$55*I24)</f>
        <v>579.15955594682168</v>
      </c>
      <c r="W62" s="50">
        <f>$J$54*$J$31*($D$56*G24+$E$56*H24+$F$56*I24)</f>
        <v>519.63089226392174</v>
      </c>
      <c r="X62" s="29">
        <f t="shared" si="43"/>
        <v>1614.2076670538631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516.1</v>
      </c>
      <c r="E63" s="32">
        <f t="shared" si="37"/>
        <v>2861</v>
      </c>
      <c r="F63" s="31">
        <f t="shared" si="38"/>
        <v>514.59774867805936</v>
      </c>
      <c r="G63" s="32">
        <f t="shared" si="39"/>
        <v>3061</v>
      </c>
      <c r="H63" s="33">
        <f t="shared" si="41"/>
        <v>-2.9107756673912855E-3</v>
      </c>
      <c r="I63" s="34">
        <f t="shared" si="40"/>
        <v>6.9905627403005877E-2</v>
      </c>
      <c r="M63" s="46">
        <f t="shared" si="0"/>
        <v>56.479047077443369</v>
      </c>
      <c r="N63" s="46">
        <f t="shared" si="5"/>
        <v>60</v>
      </c>
      <c r="O63" s="50">
        <f t="shared" si="1"/>
        <v>-12.841796801505183</v>
      </c>
      <c r="P63" s="50">
        <f t="shared" si="2"/>
        <v>43.637250275938186</v>
      </c>
      <c r="Q63" s="50">
        <f t="shared" si="3"/>
        <v>37.608034366655048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546.31576593034094</v>
      </c>
      <c r="V63" s="50">
        <f>$J$54*$J$34*($D$55*G25+$E$55*H25+$F$55*I25)</f>
        <v>514.59774867805936</v>
      </c>
      <c r="W63" s="50">
        <f>$J$54*$J$34*($D$56*G25+$E$56*H25+$F$56*I25)</f>
        <v>186.8905504003219</v>
      </c>
      <c r="X63" s="29">
        <f t="shared" si="43"/>
        <v>1247.8040650087223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1209.5</v>
      </c>
      <c r="E64" s="32">
        <f t="shared" si="37"/>
        <v>3854</v>
      </c>
      <c r="F64" s="31">
        <f t="shared" si="38"/>
        <v>1220.6741653365568</v>
      </c>
      <c r="G64" s="32">
        <f t="shared" si="39"/>
        <v>3823</v>
      </c>
      <c r="H64" s="33">
        <f t="shared" si="41"/>
        <v>9.2386650157558758E-3</v>
      </c>
      <c r="I64" s="34">
        <f t="shared" si="40"/>
        <v>-8.0435910742086003E-3</v>
      </c>
      <c r="M64" s="46">
        <f t="shared" si="0"/>
        <v>58.560146867712149</v>
      </c>
      <c r="N64" s="46">
        <f t="shared" si="5"/>
        <v>61</v>
      </c>
      <c r="O64" s="50">
        <f t="shared" si="1"/>
        <v>-15.007489651928495</v>
      </c>
      <c r="P64" s="50">
        <f t="shared" si="2"/>
        <v>43.552657215783654</v>
      </c>
      <c r="Q64" s="50">
        <f t="shared" si="3"/>
        <v>37.278964065946816</v>
      </c>
      <c r="R64" s="78"/>
      <c r="S64" s="46" t="str">
        <f t="shared" si="42"/>
        <v>CWF</v>
      </c>
      <c r="T64" s="79"/>
      <c r="U64" s="50">
        <f>$J$54*$J$34*($D$54*G26+$E$54*H26+$F$54*I26)</f>
        <v>1213.9617219003208</v>
      </c>
      <c r="V64" s="50">
        <f>$J$54*$J$34*($D$55*G26+$E$55*H26+$F$55*I26)</f>
        <v>1220.6741653365568</v>
      </c>
      <c r="W64" s="50">
        <f>$J$54*$J$34*($D$56*G26+$E$56*H26+$F$56*I26)</f>
        <v>646.52695980735143</v>
      </c>
      <c r="X64" s="29">
        <f t="shared" si="43"/>
        <v>3081.1628470442288</v>
      </c>
    </row>
    <row r="65" spans="1:24">
      <c r="A65" s="87"/>
      <c r="B65" s="48" t="str">
        <f t="shared" si="35"/>
        <v>D65</v>
      </c>
      <c r="C65" s="93"/>
      <c r="D65" s="31">
        <f t="shared" si="36"/>
        <v>576.29999999999995</v>
      </c>
      <c r="E65" s="32">
        <f t="shared" si="37"/>
        <v>6300</v>
      </c>
      <c r="F65" s="31">
        <f t="shared" si="38"/>
        <v>587.25380320415422</v>
      </c>
      <c r="G65" s="32">
        <f t="shared" si="39"/>
        <v>6168</v>
      </c>
      <c r="H65" s="33">
        <f t="shared" si="41"/>
        <v>1.9007119910037007E-2</v>
      </c>
      <c r="I65" s="34">
        <f t="shared" si="40"/>
        <v>-2.0952380952380945E-2</v>
      </c>
      <c r="M65" s="46">
        <f t="shared" si="0"/>
        <v>60.641246657980965</v>
      </c>
      <c r="N65" s="46">
        <f t="shared" si="5"/>
        <v>62</v>
      </c>
      <c r="O65" s="50">
        <f t="shared" si="1"/>
        <v>-17.173182502351835</v>
      </c>
      <c r="P65" s="50">
        <f t="shared" si="2"/>
        <v>43.468064155629129</v>
      </c>
      <c r="Q65" s="50">
        <f t="shared" si="3"/>
        <v>36.949893765238585</v>
      </c>
      <c r="R65" s="78"/>
      <c r="S65" s="46" t="str">
        <f t="shared" si="42"/>
        <v>D65</v>
      </c>
      <c r="T65" s="79"/>
      <c r="U65" s="50">
        <f>$J$54*$J$34*($D$54*G27+$E$54*H27+$F$54*I27)</f>
        <v>522.06861477509722</v>
      </c>
      <c r="V65" s="50">
        <f>$J$54*$J$34*($D$55*G27+$E$55*H27+$F$55*I27)</f>
        <v>587.25380320415422</v>
      </c>
      <c r="W65" s="50">
        <f>$J$54*$J$34*($D$56*G27+$E$56*H27+$F$56*I27)</f>
        <v>528.88889419604948</v>
      </c>
      <c r="X65" s="29">
        <f t="shared" si="43"/>
        <v>1638.2113121753009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516.1</v>
      </c>
      <c r="E66" s="32">
        <f t="shared" si="37"/>
        <v>2861</v>
      </c>
      <c r="F66" s="31">
        <f t="shared" si="38"/>
        <v>523.43905192176419</v>
      </c>
      <c r="G66" s="32">
        <f t="shared" si="39"/>
        <v>2641</v>
      </c>
      <c r="H66" s="33">
        <f t="shared" si="41"/>
        <v>1.422021298539855E-2</v>
      </c>
      <c r="I66" s="34">
        <f t="shared" si="40"/>
        <v>-7.6896190143306509E-2</v>
      </c>
      <c r="M66" s="46">
        <f t="shared" si="0"/>
        <v>62.722346448249752</v>
      </c>
      <c r="N66" s="46">
        <f t="shared" si="5"/>
        <v>63</v>
      </c>
      <c r="O66" s="50">
        <f t="shared" si="1"/>
        <v>-19.338875352775148</v>
      </c>
      <c r="P66" s="50">
        <f t="shared" si="2"/>
        <v>43.383471095474604</v>
      </c>
      <c r="Q66" s="50">
        <f t="shared" si="3"/>
        <v>36.620823464530353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578.64065573944583</v>
      </c>
      <c r="V66" s="50">
        <f>$J$54*$J$37*($D$55*G28+$E$55*H28+$F$55*I28)</f>
        <v>523.43905192176419</v>
      </c>
      <c r="W66" s="50">
        <f>$J$54*$J$37*($D$56*G28+$E$56*H28+$F$56*I28)</f>
        <v>113.98923683601366</v>
      </c>
      <c r="X66" s="29">
        <f t="shared" si="43"/>
        <v>1216.0689444972236</v>
      </c>
    </row>
    <row r="67" spans="1:24">
      <c r="A67" s="87"/>
      <c r="B67" s="48" t="str">
        <f t="shared" si="35"/>
        <v>CWF</v>
      </c>
      <c r="C67" s="93"/>
      <c r="D67" s="31">
        <f t="shared" si="36"/>
        <v>1209.5</v>
      </c>
      <c r="E67" s="32">
        <f t="shared" si="37"/>
        <v>3854</v>
      </c>
      <c r="F67" s="31">
        <f t="shared" si="38"/>
        <v>1159.7933831374414</v>
      </c>
      <c r="G67" s="32">
        <f t="shared" si="39"/>
        <v>4025</v>
      </c>
      <c r="H67" s="33">
        <f t="shared" si="41"/>
        <v>-4.1096830808233675E-2</v>
      </c>
      <c r="I67" s="34">
        <f t="shared" si="40"/>
        <v>4.4369486248053924E-2</v>
      </c>
      <c r="R67" s="78"/>
      <c r="S67" s="46" t="str">
        <f t="shared" si="42"/>
        <v>CWF</v>
      </c>
      <c r="T67" s="79"/>
      <c r="U67" s="50">
        <f>$J$54*$J$37*($D$54*G29+$E$54*H29+$F$54*I29)</f>
        <v>1139.4679161508184</v>
      </c>
      <c r="V67" s="50">
        <f>$J$54*$J$37*($D$55*G29+$E$55*H29+$F$55*I29)</f>
        <v>1159.7933831374414</v>
      </c>
      <c r="W67" s="50">
        <f>$J$54*$J$37*($D$56*G29+$E$56*H29+$F$56*I29)</f>
        <v>664.29240040822515</v>
      </c>
      <c r="X67" s="29">
        <f t="shared" si="43"/>
        <v>2963.5536996964847</v>
      </c>
    </row>
    <row r="68" spans="1:24">
      <c r="A68" s="87"/>
      <c r="B68" s="48" t="str">
        <f t="shared" si="35"/>
        <v>D65</v>
      </c>
      <c r="C68" s="93"/>
      <c r="D68" s="31">
        <f t="shared" si="36"/>
        <v>576.29999999999995</v>
      </c>
      <c r="E68" s="32">
        <f t="shared" si="37"/>
        <v>6300</v>
      </c>
      <c r="F68" s="31">
        <f t="shared" si="38"/>
        <v>578.16948252416103</v>
      </c>
      <c r="G68" s="32">
        <f t="shared" si="39"/>
        <v>6148</v>
      </c>
      <c r="H68" s="33">
        <f t="shared" si="41"/>
        <v>3.2439398302290812E-3</v>
      </c>
      <c r="I68" s="34">
        <f t="shared" si="40"/>
        <v>-2.4126984126984108E-2</v>
      </c>
      <c r="R68" s="78"/>
      <c r="S68" s="46" t="str">
        <f t="shared" si="42"/>
        <v>D65</v>
      </c>
      <c r="T68" s="79"/>
      <c r="U68" s="50">
        <f>$J$54*$J$37*($D$54*G30+$E$54*H30+$F$54*I30)</f>
        <v>514.33125740833191</v>
      </c>
      <c r="V68" s="50">
        <f>$J$54*$J$37*($D$55*G30+$E$55*H30+$F$55*I30)</f>
        <v>578.16948252416103</v>
      </c>
      <c r="W68" s="50">
        <f>$J$54*$J$37*($D$56*G30+$E$56*H30+$F$56*I30)</f>
        <v>519.2401777771837</v>
      </c>
      <c r="X68" s="29">
        <f t="shared" si="43"/>
        <v>1611.7409177096765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4.1096830808233675E-2</v>
      </c>
      <c r="G69" s="47"/>
      <c r="H69" s="36" t="str">
        <f>I59</f>
        <v>CCT</v>
      </c>
      <c r="I69" s="38">
        <f>MAX(MAX(I60:I68,-MIN(I60:I68)))</f>
        <v>7.6896190143306509E-2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516.1</v>
      </c>
      <c r="E72" s="31">
        <f t="shared" ref="E72:E80" si="47">E60</f>
        <v>2861</v>
      </c>
      <c r="F72" s="31">
        <f t="shared" ref="F72:F80" si="48">V72</f>
        <v>513.9379319483462</v>
      </c>
      <c r="G72" s="32">
        <f t="shared" ref="G72:G80" si="49">getCCTfromXY(U72/X72,V72/X72)</f>
        <v>2920</v>
      </c>
      <c r="H72" s="33">
        <f>F72/D72-1</f>
        <v>-4.1892424949696583E-3</v>
      </c>
      <c r="I72" s="34">
        <f t="shared" ref="I72:I80" si="50">G72/E72-1</f>
        <v>2.0622160083886731E-2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552.53891446601915</v>
      </c>
      <c r="V72" s="50">
        <f>$J$51*$J$31*($D$52*G22+$E$52*H22+$F$52*I22)</f>
        <v>513.9379319483462</v>
      </c>
      <c r="W72" s="50">
        <f>$J$51*$J$31*($D$53*G22+$E$53*H22+$F$53*I22)</f>
        <v>163.87719666321092</v>
      </c>
      <c r="X72" s="29">
        <f>SUM(U72:W72)</f>
        <v>1230.3540430775763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1209.5</v>
      </c>
      <c r="E73" s="31">
        <f t="shared" si="47"/>
        <v>3854</v>
      </c>
      <c r="F73" s="31">
        <f t="shared" si="48"/>
        <v>1251.1277821651397</v>
      </c>
      <c r="G73" s="32">
        <f t="shared" si="49"/>
        <v>3753</v>
      </c>
      <c r="H73" s="33">
        <f t="shared" ref="H73:H80" si="52">F73/D73-1</f>
        <v>3.4417347800859588E-2</v>
      </c>
      <c r="I73" s="34">
        <f t="shared" si="50"/>
        <v>-2.6206538661131318E-2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1249.6888280234587</v>
      </c>
      <c r="V73" s="50">
        <f t="shared" ref="V73:V74" si="55">$J$51*$J$31*($D$52*G23+$E$52*H23+$F$52*I23)</f>
        <v>1251.1277821651397</v>
      </c>
      <c r="W73" s="50">
        <f t="shared" ref="W73:W74" si="56">$J$51*$J$31*($D$53*G23+$E$53*H23+$F$53*I23)</f>
        <v>642.93383064358602</v>
      </c>
      <c r="X73" s="29">
        <f t="shared" ref="X73:X80" si="57">SUM(U73:W73)</f>
        <v>3143.7504408321843</v>
      </c>
    </row>
    <row r="74" spans="1:24">
      <c r="A74" s="87"/>
      <c r="B74" s="48" t="str">
        <f t="shared" si="46"/>
        <v>X</v>
      </c>
      <c r="C74" s="93"/>
      <c r="D74" s="31">
        <f t="shared" si="51"/>
        <v>576.29999999999995</v>
      </c>
      <c r="E74" s="31">
        <f t="shared" si="47"/>
        <v>6300</v>
      </c>
      <c r="F74" s="31">
        <f t="shared" si="48"/>
        <v>577.67657235740546</v>
      </c>
      <c r="G74" s="32">
        <f t="shared" si="49"/>
        <v>6290</v>
      </c>
      <c r="H74" s="33">
        <f t="shared" si="52"/>
        <v>2.3886384823972318E-3</v>
      </c>
      <c r="I74" s="34">
        <f t="shared" si="50"/>
        <v>-1.5873015873015817E-3</v>
      </c>
      <c r="R74" s="78"/>
      <c r="S74" s="46" t="str">
        <f t="shared" si="53"/>
        <v>D65</v>
      </c>
      <c r="T74" s="79"/>
      <c r="U74" s="50">
        <f t="shared" si="54"/>
        <v>511.1674783536202</v>
      </c>
      <c r="V74" s="50">
        <f t="shared" si="55"/>
        <v>577.67657235740546</v>
      </c>
      <c r="W74" s="50">
        <f t="shared" si="56"/>
        <v>528.40204044663255</v>
      </c>
      <c r="X74" s="29">
        <f t="shared" si="57"/>
        <v>1617.2460911576582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516.1</v>
      </c>
      <c r="E75" s="31">
        <f t="shared" si="47"/>
        <v>2861</v>
      </c>
      <c r="F75" s="31">
        <f t="shared" si="48"/>
        <v>516.89846905135028</v>
      </c>
      <c r="G75" s="32">
        <f t="shared" si="49"/>
        <v>3039</v>
      </c>
      <c r="H75" s="33">
        <f t="shared" si="52"/>
        <v>1.5471208125368285E-3</v>
      </c>
      <c r="I75" s="34">
        <f t="shared" si="50"/>
        <v>6.2216008388675359E-2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549.85347076163066</v>
      </c>
      <c r="V75" s="50">
        <f>$J$51*$J$34*($D$52*G25+$E$52*H25+$F$52*I25)</f>
        <v>516.89846905135028</v>
      </c>
      <c r="W75" s="50">
        <f>$J$51*$J$34*($D$53*G25+$E$53*H25+$F$53*I25)</f>
        <v>184.37942059036692</v>
      </c>
      <c r="X75" s="29">
        <f t="shared" si="57"/>
        <v>1251.1313604033478</v>
      </c>
    </row>
    <row r="76" spans="1:24">
      <c r="A76" s="87"/>
      <c r="B76" s="48" t="str">
        <f t="shared" si="46"/>
        <v>Z</v>
      </c>
      <c r="C76" s="93"/>
      <c r="D76" s="31">
        <f t="shared" si="51"/>
        <v>1209.5</v>
      </c>
      <c r="E76" s="31">
        <f t="shared" si="47"/>
        <v>3854</v>
      </c>
      <c r="F76" s="31">
        <f t="shared" si="48"/>
        <v>1233.8365308744378</v>
      </c>
      <c r="G76" s="32">
        <f t="shared" si="49"/>
        <v>3800</v>
      </c>
      <c r="H76" s="33">
        <f t="shared" si="52"/>
        <v>2.0121149958195694E-2</v>
      </c>
      <c r="I76" s="34">
        <f t="shared" si="50"/>
        <v>-1.4011416709911795E-2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1228.8331640863692</v>
      </c>
      <c r="V76" s="50">
        <f t="shared" ref="V76:V77" si="59">$J$51*$J$34*($D$52*G26+$E$52*H26+$F$52*I26)</f>
        <v>1233.8365308744378</v>
      </c>
      <c r="W76" s="50">
        <f t="shared" ref="W76:W77" si="60">$J$51*$J$34*($D$53*G26+$E$53*H26+$F$53*I26)</f>
        <v>647.26907042547498</v>
      </c>
      <c r="X76" s="29">
        <f t="shared" si="57"/>
        <v>3109.9387653862818</v>
      </c>
    </row>
    <row r="77" spans="1:24">
      <c r="A77" s="87"/>
      <c r="B77" s="48" t="str">
        <f t="shared" si="46"/>
        <v>X</v>
      </c>
      <c r="C77" s="93"/>
      <c r="D77" s="31">
        <f t="shared" si="51"/>
        <v>576.29999999999995</v>
      </c>
      <c r="E77" s="31">
        <f t="shared" si="47"/>
        <v>6300</v>
      </c>
      <c r="F77" s="31">
        <f t="shared" si="48"/>
        <v>585.66782691800415</v>
      </c>
      <c r="G77" s="32">
        <f t="shared" si="49"/>
        <v>6322</v>
      </c>
      <c r="H77" s="33">
        <f t="shared" si="52"/>
        <v>1.6255122189839044E-2</v>
      </c>
      <c r="I77" s="34">
        <f t="shared" si="50"/>
        <v>3.4920634920634352E-3</v>
      </c>
      <c r="R77" s="78"/>
      <c r="S77" s="46" t="str">
        <f t="shared" si="53"/>
        <v>D65</v>
      </c>
      <c r="T77" s="79"/>
      <c r="U77" s="50">
        <f t="shared" si="58"/>
        <v>517.64224839261044</v>
      </c>
      <c r="V77" s="50">
        <f t="shared" si="59"/>
        <v>585.66782691800415</v>
      </c>
      <c r="W77" s="50">
        <f t="shared" si="60"/>
        <v>537.86242458266804</v>
      </c>
      <c r="X77" s="29">
        <f t="shared" si="57"/>
        <v>1641.1724998932827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516.1</v>
      </c>
      <c r="E78" s="31">
        <f t="shared" si="47"/>
        <v>2861</v>
      </c>
      <c r="F78" s="31">
        <f t="shared" si="48"/>
        <v>527.73833406588778</v>
      </c>
      <c r="G78" s="32">
        <f t="shared" si="49"/>
        <v>2610</v>
      </c>
      <c r="H78" s="33">
        <f t="shared" si="52"/>
        <v>2.2550540720573053E-2</v>
      </c>
      <c r="I78" s="34">
        <f t="shared" si="50"/>
        <v>-8.7731562390772511E-2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585.36056728587459</v>
      </c>
      <c r="V78" s="50">
        <f>$J$51*$J$37*($D$52*G28+$E$52*H28+$F$52*I28)</f>
        <v>527.73833406588778</v>
      </c>
      <c r="W78" s="50">
        <f>$J$51*$J$37*($D$53*G28+$E$53*H28+$F$53*I28)</f>
        <v>108.49616711426485</v>
      </c>
      <c r="X78" s="29">
        <f t="shared" si="57"/>
        <v>1221.5950684660272</v>
      </c>
    </row>
    <row r="79" spans="1:24">
      <c r="A79" s="87"/>
      <c r="B79" s="48" t="str">
        <f t="shared" si="46"/>
        <v>Z</v>
      </c>
      <c r="C79" s="93"/>
      <c r="D79" s="31">
        <f t="shared" si="51"/>
        <v>1209.5</v>
      </c>
      <c r="E79" s="31">
        <f t="shared" si="47"/>
        <v>3854</v>
      </c>
      <c r="F79" s="31">
        <f t="shared" si="48"/>
        <v>1170.3097495808493</v>
      </c>
      <c r="G79" s="32">
        <f t="shared" si="49"/>
        <v>4011</v>
      </c>
      <c r="H79" s="33">
        <f t="shared" si="52"/>
        <v>-3.2402025976974613E-2</v>
      </c>
      <c r="I79" s="34">
        <f t="shared" si="50"/>
        <v>4.0736896730669381E-2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1150.7423736069156</v>
      </c>
      <c r="V79" s="50">
        <f t="shared" ref="V79:V80" si="62">$J$51*$J$37*($D$52*G29+$E$52*H29+$F$52*I29)</f>
        <v>1170.3097495808493</v>
      </c>
      <c r="W79" s="50">
        <f t="shared" ref="W79:W80" si="63">$J$51*$J$37*($D$53*G29+$E$53*H29+$F$53*I29)</f>
        <v>666.99077305542141</v>
      </c>
      <c r="X79" s="29">
        <f t="shared" si="57"/>
        <v>2988.0428962431861</v>
      </c>
    </row>
    <row r="80" spans="1:24">
      <c r="A80" s="87"/>
      <c r="B80" s="48" t="str">
        <f t="shared" si="46"/>
        <v>X</v>
      </c>
      <c r="C80" s="93"/>
      <c r="D80" s="31">
        <f t="shared" si="51"/>
        <v>576.29999999999995</v>
      </c>
      <c r="E80" s="31">
        <f t="shared" si="47"/>
        <v>6300</v>
      </c>
      <c r="F80" s="31">
        <f t="shared" si="48"/>
        <v>576.71051245689</v>
      </c>
      <c r="G80" s="32">
        <f t="shared" si="49"/>
        <v>6299</v>
      </c>
      <c r="H80" s="33">
        <f t="shared" si="52"/>
        <v>7.1232423545031232E-4</v>
      </c>
      <c r="I80" s="34">
        <f t="shared" si="50"/>
        <v>-1.5873015873013596E-4</v>
      </c>
      <c r="R80" s="78"/>
      <c r="S80" s="46" t="str">
        <f t="shared" si="53"/>
        <v>D65</v>
      </c>
      <c r="T80" s="79"/>
      <c r="U80" s="50">
        <f t="shared" si="61"/>
        <v>510.10763926890502</v>
      </c>
      <c r="V80" s="50">
        <f t="shared" si="62"/>
        <v>576.71051245689</v>
      </c>
      <c r="W80" s="50">
        <f t="shared" si="63"/>
        <v>528.01250350893372</v>
      </c>
      <c r="X80" s="29">
        <f t="shared" si="57"/>
        <v>1614.8306552347285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3.4417347800859588E-2</v>
      </c>
      <c r="G81" s="47"/>
      <c r="H81" s="36" t="str">
        <f>I71</f>
        <v>CCT</v>
      </c>
      <c r="I81" s="38">
        <f>MAX(MAX(I72:I80,-MIN(I72:I80)))</f>
        <v>8.7731562390772511E-2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516.1</v>
      </c>
      <c r="E84" s="31">
        <f t="shared" ref="E84:E92" si="67">E72</f>
        <v>2861</v>
      </c>
      <c r="F84" s="31">
        <f t="shared" ref="F84:F92" si="68">V84</f>
        <v>516.09999999999934</v>
      </c>
      <c r="G84" s="32">
        <f t="shared" ref="G84:G92" si="69">getCCTfromXY(U84/X84,V84/X84)</f>
        <v>2861</v>
      </c>
      <c r="H84" s="33">
        <f>F84/D84-1</f>
        <v>-1.3322676295501878E-15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557.89999999999941</v>
      </c>
      <c r="V84" s="50">
        <f>$J$42*$J$31*($D$43*G22+$E$43*H22+$F$43*I22)</f>
        <v>516.09999999999934</v>
      </c>
      <c r="W84" s="50">
        <f>$J$42*$J$31*($D$44*G22+$E$44*H22+$F$44*I22)</f>
        <v>154.34999999999988</v>
      </c>
      <c r="X84" s="29">
        <f>SUM(U84:W84)</f>
        <v>1228.3499999999985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1209.5</v>
      </c>
      <c r="E85" s="31">
        <f t="shared" si="67"/>
        <v>3854</v>
      </c>
      <c r="F85" s="31">
        <f t="shared" si="68"/>
        <v>1209.5</v>
      </c>
      <c r="G85" s="32">
        <f t="shared" si="69"/>
        <v>3854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1200.5</v>
      </c>
      <c r="V85" s="50">
        <f t="shared" ref="V85:V86" si="75">$J$42*$J$31*($D$43*G23+$E$43*H23+$F$43*I23)</f>
        <v>1209.5</v>
      </c>
      <c r="W85" s="50">
        <f t="shared" ref="W85:W86" si="76">$J$42*$J$31*($D$44*G23+$E$44*H23+$F$44*I23)</f>
        <v>649.00000000000011</v>
      </c>
      <c r="X85" s="29">
        <f t="shared" ref="X85:X92" si="77">SUM(U85:W85)</f>
        <v>3059</v>
      </c>
    </row>
    <row r="86" spans="1:24">
      <c r="A86" s="87"/>
      <c r="B86" s="48">
        <f t="shared" si="66"/>
        <v>0</v>
      </c>
      <c r="C86" s="93"/>
      <c r="D86" s="31">
        <f t="shared" si="71"/>
        <v>576.29999999999995</v>
      </c>
      <c r="E86" s="31">
        <f t="shared" si="67"/>
        <v>6300</v>
      </c>
      <c r="F86" s="31">
        <f t="shared" si="68"/>
        <v>576.30000000000007</v>
      </c>
      <c r="G86" s="32">
        <f t="shared" si="69"/>
        <v>6300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509.75</v>
      </c>
      <c r="V86" s="50">
        <f t="shared" si="75"/>
        <v>576.30000000000007</v>
      </c>
      <c r="W86" s="50">
        <f t="shared" si="76"/>
        <v>527.79999999999995</v>
      </c>
      <c r="X86" s="29">
        <f t="shared" si="77"/>
        <v>1613.8500000000001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516.1</v>
      </c>
      <c r="E87" s="31">
        <f t="shared" si="67"/>
        <v>2861</v>
      </c>
      <c r="F87" s="31">
        <f t="shared" si="68"/>
        <v>516.0999999999998</v>
      </c>
      <c r="G87" s="32">
        <f t="shared" si="69"/>
        <v>2861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557.90000000000043</v>
      </c>
      <c r="V87" s="50">
        <f>$J$45*$J$34*($D$46*G25+$E$46*H25+$F$46*I25)</f>
        <v>516.0999999999998</v>
      </c>
      <c r="W87" s="50">
        <f>$J$45*$J$34*($D$47*G25+$E$47*H25+$F$47*I25)</f>
        <v>154.35000000000011</v>
      </c>
      <c r="X87" s="29">
        <f t="shared" si="77"/>
        <v>1228.3500000000004</v>
      </c>
    </row>
    <row r="88" spans="1:24">
      <c r="A88" s="87"/>
      <c r="B88" s="48">
        <f t="shared" si="66"/>
        <v>0</v>
      </c>
      <c r="C88" s="93"/>
      <c r="D88" s="31">
        <f t="shared" si="71"/>
        <v>1209.5</v>
      </c>
      <c r="E88" s="31">
        <f t="shared" si="67"/>
        <v>3854</v>
      </c>
      <c r="F88" s="31">
        <f t="shared" si="68"/>
        <v>1209.5</v>
      </c>
      <c r="G88" s="32">
        <f t="shared" si="69"/>
        <v>3854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1200.5</v>
      </c>
      <c r="V88" s="50">
        <f t="shared" ref="V88:V89" si="79">$J$45*$J$34*($D$46*G26+$E$46*H26+$F$46*I26)</f>
        <v>1209.5</v>
      </c>
      <c r="W88" s="50">
        <f t="shared" ref="W88:W89" si="80">$J$45*$J$34*($D$47*G26+$E$47*H26+$F$47*I26)</f>
        <v>649.00000000000023</v>
      </c>
      <c r="X88" s="29">
        <f t="shared" si="77"/>
        <v>3059</v>
      </c>
    </row>
    <row r="89" spans="1:24">
      <c r="A89" s="87"/>
      <c r="B89" s="48" t="str">
        <f t="shared" si="66"/>
        <v>A</v>
      </c>
      <c r="C89" s="93"/>
      <c r="D89" s="31">
        <f t="shared" si="71"/>
        <v>576.29999999999995</v>
      </c>
      <c r="E89" s="31">
        <f t="shared" si="67"/>
        <v>6300</v>
      </c>
      <c r="F89" s="31">
        <f t="shared" si="68"/>
        <v>576.29999999999984</v>
      </c>
      <c r="G89" s="32">
        <f t="shared" si="69"/>
        <v>6300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509.74999999999989</v>
      </c>
      <c r="V89" s="50">
        <f t="shared" si="79"/>
        <v>576.29999999999984</v>
      </c>
      <c r="W89" s="50">
        <f t="shared" si="80"/>
        <v>527.80000000000007</v>
      </c>
      <c r="X89" s="29">
        <f t="shared" si="77"/>
        <v>1613.85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516.1</v>
      </c>
      <c r="E90" s="31">
        <f t="shared" si="67"/>
        <v>2861</v>
      </c>
      <c r="F90" s="31">
        <f t="shared" si="68"/>
        <v>516.09999999999991</v>
      </c>
      <c r="G90" s="32">
        <f t="shared" si="69"/>
        <v>2861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557.89999999999986</v>
      </c>
      <c r="V90" s="50">
        <f>$J$48*$J$37*($D$49*G28+$E$49*H28+$F$49*I28)</f>
        <v>516.09999999999991</v>
      </c>
      <c r="W90" s="50">
        <f>$J$48*$J$37*($D$50*G28+$E$50*H28+$F$50*I28)</f>
        <v>154.35000000000036</v>
      </c>
      <c r="X90" s="29">
        <f t="shared" si="77"/>
        <v>1228.3500000000001</v>
      </c>
    </row>
    <row r="91" spans="1:24">
      <c r="A91" s="87"/>
      <c r="B91" s="48" t="str">
        <f t="shared" si="66"/>
        <v>D65</v>
      </c>
      <c r="C91" s="93"/>
      <c r="D91" s="31">
        <f t="shared" si="71"/>
        <v>1209.5</v>
      </c>
      <c r="E91" s="31">
        <f t="shared" si="67"/>
        <v>3854</v>
      </c>
      <c r="F91" s="31">
        <f t="shared" si="68"/>
        <v>1209.4999999999998</v>
      </c>
      <c r="G91" s="32">
        <f t="shared" si="69"/>
        <v>3854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1200.5</v>
      </c>
      <c r="V91" s="50">
        <f t="shared" ref="V91:V92" si="82">$J$48*$J$37*($D$49*G29+$E$49*H29+$F$49*I29)</f>
        <v>1209.4999999999998</v>
      </c>
      <c r="W91" s="50">
        <f t="shared" ref="W91:W92" si="83">$J$48*$J$37*($D$50*G29+$E$50*H29+$F$50*I29)</f>
        <v>649</v>
      </c>
      <c r="X91" s="29">
        <f t="shared" si="77"/>
        <v>3059</v>
      </c>
    </row>
    <row r="92" spans="1:24">
      <c r="A92" s="87"/>
      <c r="B92" s="48" t="str">
        <f t="shared" si="66"/>
        <v>A</v>
      </c>
      <c r="C92" s="93"/>
      <c r="D92" s="31">
        <f t="shared" si="71"/>
        <v>576.29999999999995</v>
      </c>
      <c r="E92" s="31">
        <f t="shared" si="67"/>
        <v>6300</v>
      </c>
      <c r="F92" s="31">
        <f t="shared" si="68"/>
        <v>576.29999999999995</v>
      </c>
      <c r="G92" s="32">
        <f t="shared" si="69"/>
        <v>6300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509.75000000000011</v>
      </c>
      <c r="V92" s="50">
        <f t="shared" si="82"/>
        <v>576.29999999999995</v>
      </c>
      <c r="W92" s="50">
        <f t="shared" si="83"/>
        <v>527.80000000000007</v>
      </c>
      <c r="X92" s="29">
        <f t="shared" si="77"/>
        <v>1613.8500000000004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1.3322676295501878E-15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3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2.2193587648593933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77.170517809467952</v>
      </c>
      <c r="N3" s="46">
        <v>0</v>
      </c>
      <c r="O3" s="50">
        <f>G$5-N3*G$7</f>
        <v>132.0254586297267</v>
      </c>
      <c r="P3" s="50">
        <f>H$5-N3*H$7</f>
        <v>54.854940820258747</v>
      </c>
      <c r="Q3" s="50">
        <f>I$5-N3*I$7</f>
        <v>65.386221294363267</v>
      </c>
    </row>
    <row r="4" spans="1:17">
      <c r="C4" s="46" t="s">
        <v>20</v>
      </c>
      <c r="D4" s="7">
        <v>534.20000000000005</v>
      </c>
      <c r="E4" s="7">
        <v>1211</v>
      </c>
      <c r="F4" s="7">
        <v>574.79999999999995</v>
      </c>
      <c r="G4" s="50">
        <f>AVERAGE(D4:F4)</f>
        <v>773.33333333333337</v>
      </c>
      <c r="H4" s="50">
        <f>G4</f>
        <v>773.33333333333337</v>
      </c>
      <c r="I4" s="50">
        <f>H4</f>
        <v>773.33333333333337</v>
      </c>
      <c r="K4" s="13" t="str">
        <f>linefmt("Compensation",B12)</f>
        <v>"Compensation",31,</v>
      </c>
      <c r="M4" s="46">
        <f t="shared" si="0"/>
        <v>74.750334534537785</v>
      </c>
      <c r="N4" s="46">
        <f>N3+1</f>
        <v>1</v>
      </c>
      <c r="O4" s="50">
        <f t="shared" ref="O4:O66" si="1">G$5-N4*G$7</f>
        <v>129.49393133593807</v>
      </c>
      <c r="P4" s="50">
        <f t="shared" ref="P4:P66" si="2">H$5-N4*H$7</f>
        <v>54.74359680140028</v>
      </c>
      <c r="Q4" s="50">
        <f t="shared" ref="Q4:Q66" si="3">I$5-N4*I$7</f>
        <v>65.006750768754955</v>
      </c>
    </row>
    <row r="5" spans="1:17">
      <c r="C5" s="46">
        <v>0</v>
      </c>
      <c r="D5" s="9">
        <v>91.2</v>
      </c>
      <c r="E5" s="9">
        <v>85.9</v>
      </c>
      <c r="F5" s="9">
        <v>48.6</v>
      </c>
      <c r="G5" s="50">
        <f>G$4/D$4*D5</f>
        <v>132.0254586297267</v>
      </c>
      <c r="H5" s="50">
        <f t="shared" ref="H5:I6" si="4">H$4/E$4*E5</f>
        <v>54.854940820258747</v>
      </c>
      <c r="I5" s="50">
        <f t="shared" si="4"/>
        <v>65.386221294363267</v>
      </c>
      <c r="K5" s="14" t="str">
        <f>linefmt("CardGain",J54)</f>
        <v>"CardGain",17.0414,</v>
      </c>
      <c r="M5" s="46">
        <f t="shared" si="0"/>
        <v>72.330151259607646</v>
      </c>
      <c r="N5" s="46">
        <f t="shared" ref="N5:N66" si="5">N4+1</f>
        <v>2</v>
      </c>
      <c r="O5" s="50">
        <f t="shared" si="1"/>
        <v>126.96240404214946</v>
      </c>
      <c r="P5" s="50">
        <f t="shared" si="2"/>
        <v>54.632252782541805</v>
      </c>
      <c r="Q5" s="50">
        <f t="shared" si="3"/>
        <v>64.627280243146643</v>
      </c>
    </row>
    <row r="6" spans="1:17">
      <c r="B6" s="50">
        <f>D5/4</f>
        <v>22.8</v>
      </c>
      <c r="C6" s="7">
        <v>39</v>
      </c>
      <c r="D6" s="9">
        <v>23</v>
      </c>
      <c r="E6" s="9">
        <v>79.099999999999994</v>
      </c>
      <c r="F6" s="9">
        <v>37.6</v>
      </c>
      <c r="G6" s="50">
        <f>G$4/D$4*D6</f>
        <v>33.295894171970545</v>
      </c>
      <c r="H6" s="50">
        <f t="shared" si="4"/>
        <v>50.51252408477842</v>
      </c>
      <c r="I6" s="50">
        <f t="shared" si="4"/>
        <v>50.586870795639072</v>
      </c>
      <c r="K6" s="14" t="str">
        <f>linefmt("Range",1,J34,J37)</f>
        <v>"Range",1,0.8925088,1.105339,</v>
      </c>
      <c r="M6" s="46">
        <f t="shared" si="0"/>
        <v>69.909967984677508</v>
      </c>
      <c r="N6" s="46">
        <f t="shared" si="5"/>
        <v>3</v>
      </c>
      <c r="O6" s="50">
        <f t="shared" si="1"/>
        <v>124.43087674836084</v>
      </c>
      <c r="P6" s="50">
        <f t="shared" si="2"/>
        <v>54.520908763683337</v>
      </c>
      <c r="Q6" s="50">
        <f t="shared" si="3"/>
        <v>64.247809717538331</v>
      </c>
    </row>
    <row r="7" spans="1:17">
      <c r="C7" s="46">
        <f>C5</f>
        <v>0</v>
      </c>
      <c r="D7" s="46">
        <f t="shared" ref="D7:F8" si="6">D$4/D5</f>
        <v>5.8574561403508776</v>
      </c>
      <c r="E7" s="46">
        <f t="shared" si="6"/>
        <v>14.09778812572759</v>
      </c>
      <c r="F7" s="46">
        <f t="shared" si="6"/>
        <v>11.82716049382716</v>
      </c>
      <c r="G7" s="49">
        <f>(G5-G6)/($C6-$C5)</f>
        <v>2.5315272937886193</v>
      </c>
      <c r="H7" s="49">
        <f t="shared" ref="H7:I7" si="7">(H5-H6)/($C6-$C5)</f>
        <v>0.11134401885846994</v>
      </c>
      <c r="I7" s="49">
        <f t="shared" si="7"/>
        <v>0.37947052560831268</v>
      </c>
      <c r="K7" s="14" t="str">
        <f>linefmt("CCM" )</f>
        <v>"CCM",</v>
      </c>
      <c r="M7" s="46">
        <f t="shared" si="0"/>
        <v>67.48978470974734</v>
      </c>
      <c r="N7" s="46">
        <f t="shared" si="5"/>
        <v>4</v>
      </c>
      <c r="O7" s="50">
        <f t="shared" si="1"/>
        <v>121.89934945457222</v>
      </c>
      <c r="P7" s="50">
        <f t="shared" si="2"/>
        <v>54.40956474482487</v>
      </c>
      <c r="Q7" s="50">
        <f t="shared" si="3"/>
        <v>63.868339191930019</v>
      </c>
    </row>
    <row r="8" spans="1:17">
      <c r="C8" s="46">
        <f>C6</f>
        <v>39</v>
      </c>
      <c r="D8" s="46">
        <f t="shared" si="6"/>
        <v>23.22608695652174</v>
      </c>
      <c r="E8" s="46">
        <f t="shared" si="6"/>
        <v>15.309734513274337</v>
      </c>
      <c r="F8" s="46">
        <f t="shared" si="6"/>
        <v>15.287234042553189</v>
      </c>
      <c r="K8" s="15" t="str">
        <f>linefmt("",D54,E54,F54)</f>
        <v>0.1769682,1.040042,-0.5203395,</v>
      </c>
      <c r="M8" s="46">
        <f t="shared" si="0"/>
        <v>65.069601434817201</v>
      </c>
      <c r="N8" s="46">
        <f t="shared" si="5"/>
        <v>5</v>
      </c>
      <c r="O8" s="50">
        <f t="shared" si="1"/>
        <v>119.3678221607836</v>
      </c>
      <c r="P8" s="50">
        <f t="shared" si="2"/>
        <v>54.298220725966395</v>
      </c>
      <c r="Q8" s="50">
        <f t="shared" si="3"/>
        <v>63.488868666321707</v>
      </c>
    </row>
    <row r="9" spans="1:17">
      <c r="C9" s="46" t="s">
        <v>23</v>
      </c>
      <c r="D9" s="46">
        <f>(D8-D7)/($C8-$C7)</f>
        <v>0.44534950810694524</v>
      </c>
      <c r="E9" s="46">
        <f>(E8-E7)/($C8-$C7)</f>
        <v>3.1075548398634557E-2</v>
      </c>
      <c r="F9" s="46">
        <f>(F8-F7)/($C8-$C7)</f>
        <v>8.8719834582718704E-2</v>
      </c>
      <c r="K9" s="15" t="str">
        <f>linefmt("",D55,E55,F55)</f>
        <v>4.298438E-02,1,-0.2305118,</v>
      </c>
      <c r="M9" s="46">
        <f t="shared" si="0"/>
        <v>62.649418159887063</v>
      </c>
      <c r="N9" s="46">
        <f t="shared" si="5"/>
        <v>6</v>
      </c>
      <c r="O9" s="50">
        <f t="shared" si="1"/>
        <v>116.83629486699499</v>
      </c>
      <c r="P9" s="50">
        <f t="shared" si="2"/>
        <v>54.186876707107928</v>
      </c>
      <c r="Q9" s="50">
        <f t="shared" si="3"/>
        <v>63.109398140713388</v>
      </c>
    </row>
    <row r="10" spans="1:17">
      <c r="K10" s="16" t="str">
        <f>linefmt("",D56,E56,F56)</f>
        <v>-0.4189968,0.3294861,0.9269588,</v>
      </c>
      <c r="M10" s="46">
        <f t="shared" si="0"/>
        <v>60.229234884956902</v>
      </c>
      <c r="N10" s="46">
        <f t="shared" si="5"/>
        <v>7</v>
      </c>
      <c r="O10" s="50">
        <f t="shared" si="1"/>
        <v>114.30476757320636</v>
      </c>
      <c r="P10" s="50">
        <f t="shared" si="2"/>
        <v>54.07553268824946</v>
      </c>
      <c r="Q10" s="50">
        <f t="shared" si="3"/>
        <v>62.729927615105076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57.809051610026764</v>
      </c>
      <c r="N11" s="46">
        <f t="shared" si="5"/>
        <v>8</v>
      </c>
      <c r="O11" s="50">
        <f t="shared" si="1"/>
        <v>111.77324027941775</v>
      </c>
      <c r="P11" s="50">
        <f t="shared" si="2"/>
        <v>53.964188669390985</v>
      </c>
      <c r="Q11" s="50">
        <f t="shared" si="3"/>
        <v>62.350457089496764</v>
      </c>
    </row>
    <row r="12" spans="1:17">
      <c r="A12" s="46" t="s">
        <v>16</v>
      </c>
      <c r="B12" s="10">
        <f>MATCH(M2,M3:M66,0)-1</f>
        <v>31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Compensation=31</v>
      </c>
      <c r="M12" s="46">
        <f t="shared" si="0"/>
        <v>55.388868335096603</v>
      </c>
      <c r="N12" s="46">
        <f t="shared" si="5"/>
        <v>9</v>
      </c>
      <c r="O12" s="50">
        <f t="shared" si="1"/>
        <v>109.24171298562912</v>
      </c>
      <c r="P12" s="50">
        <f t="shared" si="2"/>
        <v>53.852844650532518</v>
      </c>
      <c r="Q12" s="50">
        <f t="shared" si="3"/>
        <v>61.970986563888452</v>
      </c>
    </row>
    <row r="13" spans="1:17">
      <c r="A13" s="78" t="s">
        <v>12</v>
      </c>
      <c r="B13" s="79" t="s">
        <v>0</v>
      </c>
      <c r="C13" s="46">
        <v>0</v>
      </c>
      <c r="D13" s="7">
        <v>552</v>
      </c>
      <c r="E13" s="7">
        <v>510.7</v>
      </c>
      <c r="F13" s="7">
        <v>154.69999999999999</v>
      </c>
      <c r="G13" s="8">
        <v>89.6</v>
      </c>
      <c r="H13" s="8">
        <v>34.799999999999997</v>
      </c>
      <c r="I13" s="8">
        <v>37.5</v>
      </c>
      <c r="M13" s="46">
        <f t="shared" si="0"/>
        <v>52.968685060166457</v>
      </c>
      <c r="N13" s="46">
        <f t="shared" si="5"/>
        <v>10</v>
      </c>
      <c r="O13" s="50">
        <f t="shared" si="1"/>
        <v>106.71018569184051</v>
      </c>
      <c r="P13" s="50">
        <f t="shared" si="2"/>
        <v>53.74150063167405</v>
      </c>
      <c r="Q13" s="50">
        <f t="shared" si="3"/>
        <v>61.59151603828014</v>
      </c>
    </row>
    <row r="14" spans="1:17">
      <c r="A14" s="78"/>
      <c r="B14" s="79"/>
      <c r="C14" s="46">
        <f>C13+1</f>
        <v>1</v>
      </c>
      <c r="D14" s="7">
        <v>559</v>
      </c>
      <c r="E14" s="7">
        <v>516.9</v>
      </c>
      <c r="F14" s="7">
        <v>154.30000000000001</v>
      </c>
      <c r="G14" s="8">
        <v>97.9</v>
      </c>
      <c r="H14" s="8">
        <v>39.700000000000003</v>
      </c>
      <c r="I14" s="8">
        <v>42.8</v>
      </c>
      <c r="M14" s="46">
        <f t="shared" si="0"/>
        <v>50.548501785236304</v>
      </c>
      <c r="N14" s="46">
        <f t="shared" si="5"/>
        <v>11</v>
      </c>
      <c r="O14" s="50">
        <f t="shared" si="1"/>
        <v>104.17865839805188</v>
      </c>
      <c r="P14" s="50">
        <f t="shared" si="2"/>
        <v>53.630156612815576</v>
      </c>
      <c r="Q14" s="50">
        <f t="shared" si="3"/>
        <v>61.212045512671828</v>
      </c>
    </row>
    <row r="15" spans="1:17">
      <c r="A15" s="78"/>
      <c r="B15" s="79"/>
      <c r="C15" s="46">
        <f>C14+1</f>
        <v>2</v>
      </c>
      <c r="D15" s="6">
        <f>2*(D13-D14)/(D13+D14)</f>
        <v>-1.2601260126012601E-2</v>
      </c>
      <c r="E15" s="6">
        <f t="shared" ref="E15:F15" si="8">2*(E13-E14)/(E13+E14)</f>
        <v>-1.2066952121448014E-2</v>
      </c>
      <c r="F15" s="6">
        <f t="shared" si="8"/>
        <v>2.5889967637538983E-3</v>
      </c>
      <c r="G15" s="8">
        <v>84.1</v>
      </c>
      <c r="H15" s="8">
        <v>31.9</v>
      </c>
      <c r="I15" s="8">
        <v>34.6</v>
      </c>
      <c r="M15" s="46">
        <f t="shared" si="0"/>
        <v>48.128318510306158</v>
      </c>
      <c r="N15" s="46">
        <f t="shared" si="5"/>
        <v>12</v>
      </c>
      <c r="O15" s="50">
        <f t="shared" si="1"/>
        <v>101.64713110426327</v>
      </c>
      <c r="P15" s="50">
        <f t="shared" si="2"/>
        <v>53.518812593957108</v>
      </c>
      <c r="Q15" s="50">
        <f t="shared" si="3"/>
        <v>60.832574987063516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651</v>
      </c>
      <c r="G16" s="8">
        <v>69.8</v>
      </c>
      <c r="H16" s="8">
        <v>80.3</v>
      </c>
      <c r="I16" s="8">
        <v>44</v>
      </c>
      <c r="M16" s="46">
        <f t="shared" si="0"/>
        <v>45.708135235376012</v>
      </c>
      <c r="N16" s="46">
        <f t="shared" si="5"/>
        <v>13</v>
      </c>
      <c r="O16" s="50">
        <f t="shared" si="1"/>
        <v>99.115603810474653</v>
      </c>
      <c r="P16" s="50">
        <f t="shared" si="2"/>
        <v>53.40746857509864</v>
      </c>
      <c r="Q16" s="50">
        <f t="shared" si="3"/>
        <v>60.453104461455204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1211</v>
      </c>
      <c r="F17" s="7">
        <v>651</v>
      </c>
      <c r="G17" s="8">
        <v>77.7</v>
      </c>
      <c r="H17" s="8">
        <v>88.7</v>
      </c>
      <c r="I17" s="8">
        <v>49.9</v>
      </c>
      <c r="M17" s="46">
        <f t="shared" si="0"/>
        <v>43.287951960445859</v>
      </c>
      <c r="N17" s="46">
        <f t="shared" si="5"/>
        <v>14</v>
      </c>
      <c r="O17" s="50">
        <f t="shared" si="1"/>
        <v>96.584076516686025</v>
      </c>
      <c r="P17" s="50">
        <f t="shared" si="2"/>
        <v>53.296124556240166</v>
      </c>
      <c r="Q17" s="50">
        <f t="shared" si="3"/>
        <v>60.073633935846892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-8.2610491532424622E-4</v>
      </c>
      <c r="F18" s="6">
        <f t="shared" si="10"/>
        <v>0</v>
      </c>
      <c r="G18" s="8">
        <v>62</v>
      </c>
      <c r="H18" s="8">
        <v>67.5</v>
      </c>
      <c r="I18" s="8">
        <v>41.5</v>
      </c>
      <c r="M18" s="46">
        <f t="shared" si="0"/>
        <v>40.867768685515713</v>
      </c>
      <c r="N18" s="46">
        <f t="shared" si="5"/>
        <v>15</v>
      </c>
      <c r="O18" s="50">
        <f t="shared" si="1"/>
        <v>94.052549222897412</v>
      </c>
      <c r="P18" s="50">
        <f t="shared" si="2"/>
        <v>53.184780537381698</v>
      </c>
      <c r="Q18" s="50">
        <f t="shared" si="3"/>
        <v>59.694163410238573</v>
      </c>
    </row>
    <row r="19" spans="1:21">
      <c r="A19" s="78"/>
      <c r="B19" s="79" t="s">
        <v>2</v>
      </c>
      <c r="C19" s="46">
        <f t="shared" si="9"/>
        <v>0</v>
      </c>
      <c r="D19" s="7">
        <v>509</v>
      </c>
      <c r="E19" s="7">
        <v>575.9</v>
      </c>
      <c r="F19" s="7">
        <v>530.79999999999995</v>
      </c>
      <c r="G19" s="8">
        <v>29.4</v>
      </c>
      <c r="H19" s="8">
        <v>39.799999999999997</v>
      </c>
      <c r="I19" s="8">
        <v>32.299999999999997</v>
      </c>
      <c r="M19" s="46">
        <f t="shared" si="0"/>
        <v>38.447585410585567</v>
      </c>
      <c r="N19" s="46">
        <f t="shared" si="5"/>
        <v>16</v>
      </c>
      <c r="O19" s="50">
        <f t="shared" si="1"/>
        <v>91.521021929108798</v>
      </c>
      <c r="P19" s="50">
        <f t="shared" si="2"/>
        <v>53.073436518523231</v>
      </c>
      <c r="Q19" s="50">
        <f t="shared" si="3"/>
        <v>59.314692884630261</v>
      </c>
    </row>
    <row r="20" spans="1:21">
      <c r="A20" s="78"/>
      <c r="B20" s="79"/>
      <c r="C20" s="46">
        <f t="shared" si="9"/>
        <v>1</v>
      </c>
      <c r="D20" s="7">
        <v>511.4</v>
      </c>
      <c r="E20" s="7">
        <v>578</v>
      </c>
      <c r="F20" s="7">
        <v>531.1</v>
      </c>
      <c r="G20" s="8">
        <v>33.6</v>
      </c>
      <c r="H20" s="8">
        <v>45.4</v>
      </c>
      <c r="I20" s="8">
        <v>36.9</v>
      </c>
      <c r="M20" s="46">
        <f t="shared" si="0"/>
        <v>36.027402135655414</v>
      </c>
      <c r="N20" s="46">
        <f t="shared" si="5"/>
        <v>17</v>
      </c>
      <c r="O20" s="50">
        <f t="shared" si="1"/>
        <v>88.98949463532017</v>
      </c>
      <c r="P20" s="50">
        <f t="shared" si="2"/>
        <v>52.962092499664756</v>
      </c>
      <c r="Q20" s="50">
        <f t="shared" si="3"/>
        <v>58.93522235902195</v>
      </c>
    </row>
    <row r="21" spans="1:21">
      <c r="A21" s="78"/>
      <c r="B21" s="79"/>
      <c r="C21" s="46">
        <f t="shared" si="9"/>
        <v>2</v>
      </c>
      <c r="D21" s="6">
        <f>2*(D19-D20)/(D19+D20)</f>
        <v>-4.704037632301014E-3</v>
      </c>
      <c r="E21" s="6">
        <f t="shared" ref="E21:F21" si="11">2*(E19-E20)/(E19+E20)</f>
        <v>-3.6398301412601136E-3</v>
      </c>
      <c r="F21" s="6">
        <f t="shared" si="11"/>
        <v>-5.6502495526898611E-4</v>
      </c>
      <c r="G21" s="8">
        <v>26.1</v>
      </c>
      <c r="H21" s="8">
        <v>37.200000000000003</v>
      </c>
      <c r="I21" s="8">
        <v>29</v>
      </c>
      <c r="M21" s="46">
        <f t="shared" si="0"/>
        <v>33.607218860725254</v>
      </c>
      <c r="N21" s="46">
        <f t="shared" si="5"/>
        <v>18</v>
      </c>
      <c r="O21" s="50">
        <f t="shared" si="1"/>
        <v>86.457967341531543</v>
      </c>
      <c r="P21" s="50">
        <f t="shared" si="2"/>
        <v>52.850748480806288</v>
      </c>
      <c r="Q21" s="50">
        <f t="shared" si="3"/>
        <v>58.555751833413638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555.5</v>
      </c>
      <c r="E22" s="46">
        <f t="shared" ref="E22:F22" si="12">(E13+E14)/2</f>
        <v>513.79999999999995</v>
      </c>
      <c r="F22" s="46">
        <f t="shared" si="12"/>
        <v>154.5</v>
      </c>
      <c r="G22" s="5">
        <f>G13</f>
        <v>89.6</v>
      </c>
      <c r="H22" s="5">
        <f t="shared" ref="H22:I22" si="13">H13</f>
        <v>34.799999999999997</v>
      </c>
      <c r="I22" s="5">
        <f t="shared" si="13"/>
        <v>37.5</v>
      </c>
      <c r="J22" s="99">
        <f>AVERAGE(G22:I24)</f>
        <v>50.833333333333336</v>
      </c>
      <c r="M22" s="46">
        <f t="shared" si="0"/>
        <v>31.187035585795122</v>
      </c>
      <c r="N22" s="46">
        <f t="shared" si="5"/>
        <v>19</v>
      </c>
      <c r="O22" s="50">
        <f t="shared" si="1"/>
        <v>83.926440047742943</v>
      </c>
      <c r="P22" s="50">
        <f t="shared" si="2"/>
        <v>52.739404461947821</v>
      </c>
      <c r="Q22" s="50">
        <f t="shared" si="3"/>
        <v>58.176281307805326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1210.5</v>
      </c>
      <c r="F23" s="46">
        <f>(F16+F17)/2</f>
        <v>651</v>
      </c>
      <c r="G23" s="5">
        <f>G16</f>
        <v>69.8</v>
      </c>
      <c r="H23" s="5">
        <f>H16</f>
        <v>80.3</v>
      </c>
      <c r="I23" s="5">
        <f>I16</f>
        <v>44</v>
      </c>
      <c r="J23" s="99"/>
      <c r="M23" s="46">
        <f t="shared" si="0"/>
        <v>28.766852310864969</v>
      </c>
      <c r="N23" s="46">
        <f t="shared" si="5"/>
        <v>20</v>
      </c>
      <c r="O23" s="50">
        <f t="shared" si="1"/>
        <v>81.394912753954316</v>
      </c>
      <c r="P23" s="50">
        <f t="shared" si="2"/>
        <v>52.628060443089346</v>
      </c>
      <c r="Q23" s="50">
        <f t="shared" si="3"/>
        <v>57.796810782197014</v>
      </c>
    </row>
    <row r="24" spans="1:21">
      <c r="A24" s="78"/>
      <c r="B24" s="46" t="str">
        <f>B19</f>
        <v>D65</v>
      </c>
      <c r="C24" s="79"/>
      <c r="D24" s="46">
        <f>(D19+D20)/2</f>
        <v>510.2</v>
      </c>
      <c r="E24" s="46">
        <f>(E19+E20)/2</f>
        <v>576.95000000000005</v>
      </c>
      <c r="F24" s="46">
        <f>(F19+F20)/2</f>
        <v>530.95000000000005</v>
      </c>
      <c r="G24" s="5">
        <f>G19</f>
        <v>29.4</v>
      </c>
      <c r="H24" s="5">
        <f>H19</f>
        <v>39.799999999999997</v>
      </c>
      <c r="I24" s="5">
        <f>I19</f>
        <v>32.299999999999997</v>
      </c>
      <c r="J24" s="99"/>
      <c r="M24" s="46">
        <f t="shared" si="0"/>
        <v>26.346669035934809</v>
      </c>
      <c r="N24" s="46">
        <f t="shared" si="5"/>
        <v>21</v>
      </c>
      <c r="O24" s="50">
        <f t="shared" si="1"/>
        <v>78.863385460165688</v>
      </c>
      <c r="P24" s="50">
        <f t="shared" si="2"/>
        <v>52.516716424230879</v>
      </c>
      <c r="Q24" s="50">
        <f t="shared" si="3"/>
        <v>57.417340256588702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555.5</v>
      </c>
      <c r="E25" s="46">
        <f t="shared" ref="E25:F25" si="15">(E13+E14)/2</f>
        <v>513.79999999999995</v>
      </c>
      <c r="F25" s="46">
        <f t="shared" si="15"/>
        <v>154.5</v>
      </c>
      <c r="G25" s="5">
        <f t="shared" ref="G25:I25" si="16">G14</f>
        <v>97.9</v>
      </c>
      <c r="H25" s="5">
        <f t="shared" si="16"/>
        <v>39.700000000000003</v>
      </c>
      <c r="I25" s="5">
        <f t="shared" si="16"/>
        <v>42.8</v>
      </c>
      <c r="J25" s="99">
        <f>AVERAGE(G25:I27)</f>
        <v>56.955555555555556</v>
      </c>
      <c r="M25" s="46">
        <f t="shared" si="0"/>
        <v>23.926485761004663</v>
      </c>
      <c r="N25" s="46">
        <f t="shared" si="5"/>
        <v>22</v>
      </c>
      <c r="O25" s="50">
        <f t="shared" si="1"/>
        <v>76.331858166377074</v>
      </c>
      <c r="P25" s="50">
        <f t="shared" si="2"/>
        <v>52.405372405372411</v>
      </c>
      <c r="Q25" s="50">
        <f t="shared" si="3"/>
        <v>57.03786973098039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1210.5</v>
      </c>
      <c r="F26" s="46">
        <f>(F16+F17)/2</f>
        <v>651</v>
      </c>
      <c r="G26" s="5">
        <f>G17</f>
        <v>77.7</v>
      </c>
      <c r="H26" s="5">
        <f>H17</f>
        <v>88.7</v>
      </c>
      <c r="I26" s="5">
        <f>I17</f>
        <v>49.9</v>
      </c>
      <c r="J26" s="99"/>
      <c r="M26" s="46">
        <f t="shared" si="0"/>
        <v>21.506302486074524</v>
      </c>
      <c r="N26" s="46">
        <f t="shared" si="5"/>
        <v>23</v>
      </c>
      <c r="O26" s="50">
        <f t="shared" si="1"/>
        <v>73.800330872588461</v>
      </c>
      <c r="P26" s="50">
        <f t="shared" si="2"/>
        <v>52.294028386513936</v>
      </c>
      <c r="Q26" s="50">
        <f t="shared" si="3"/>
        <v>56.658399205372078</v>
      </c>
    </row>
    <row r="27" spans="1:21">
      <c r="A27" s="78"/>
      <c r="B27" s="46" t="str">
        <f>B19</f>
        <v>D65</v>
      </c>
      <c r="C27" s="79"/>
      <c r="D27" s="46">
        <f>(D19+D20)/2</f>
        <v>510.2</v>
      </c>
      <c r="E27" s="46">
        <f>(E19+E20)/2</f>
        <v>576.95000000000005</v>
      </c>
      <c r="F27" s="46">
        <f>(F19+F20)/2</f>
        <v>530.95000000000005</v>
      </c>
      <c r="G27" s="5">
        <f>G20</f>
        <v>33.6</v>
      </c>
      <c r="H27" s="5">
        <f>H20</f>
        <v>45.4</v>
      </c>
      <c r="I27" s="5">
        <f>I20</f>
        <v>36.9</v>
      </c>
      <c r="J27" s="99"/>
      <c r="M27" s="46">
        <f t="shared" si="0"/>
        <v>19.086119211144364</v>
      </c>
      <c r="N27" s="46">
        <f t="shared" si="5"/>
        <v>24</v>
      </c>
      <c r="O27" s="50">
        <f t="shared" si="1"/>
        <v>71.268803578799833</v>
      </c>
      <c r="P27" s="50">
        <f t="shared" si="2"/>
        <v>52.182684367655469</v>
      </c>
      <c r="Q27" s="50">
        <f t="shared" si="3"/>
        <v>56.278928679763766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555.5</v>
      </c>
      <c r="E28" s="46">
        <f t="shared" ref="E28:F28" si="17">(E13+E14)/2</f>
        <v>513.79999999999995</v>
      </c>
      <c r="F28" s="46">
        <f t="shared" si="17"/>
        <v>154.5</v>
      </c>
      <c r="G28" s="5">
        <f t="shared" ref="G28:I28" si="18">G15</f>
        <v>84.1</v>
      </c>
      <c r="H28" s="5">
        <f t="shared" si="18"/>
        <v>31.9</v>
      </c>
      <c r="I28" s="5">
        <f t="shared" si="18"/>
        <v>34.6</v>
      </c>
      <c r="J28" s="99">
        <f>AVERAGE(G28:I30)</f>
        <v>45.988888888888894</v>
      </c>
      <c r="M28" s="46">
        <f t="shared" si="0"/>
        <v>16.665935936214218</v>
      </c>
      <c r="N28" s="46">
        <f t="shared" si="5"/>
        <v>25</v>
      </c>
      <c r="O28" s="50">
        <f t="shared" si="1"/>
        <v>68.73727628501122</v>
      </c>
      <c r="P28" s="50">
        <f t="shared" si="2"/>
        <v>52.071340348797001</v>
      </c>
      <c r="Q28" s="50">
        <f t="shared" si="3"/>
        <v>55.899458154155454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1210.5</v>
      </c>
      <c r="F29" s="46">
        <f t="shared" si="20"/>
        <v>651</v>
      </c>
      <c r="G29" s="5">
        <f t="shared" ref="G29:I29" si="21">G18</f>
        <v>62</v>
      </c>
      <c r="H29" s="5">
        <f t="shared" si="21"/>
        <v>67.5</v>
      </c>
      <c r="I29" s="5">
        <f t="shared" si="21"/>
        <v>41.5</v>
      </c>
      <c r="J29" s="99"/>
      <c r="M29" s="46">
        <f t="shared" si="0"/>
        <v>14.245752661284065</v>
      </c>
      <c r="N29" s="46">
        <f t="shared" si="5"/>
        <v>26</v>
      </c>
      <c r="O29" s="50">
        <f t="shared" si="1"/>
        <v>66.205748991222592</v>
      </c>
      <c r="P29" s="50">
        <f t="shared" si="2"/>
        <v>51.959996329938527</v>
      </c>
      <c r="Q29" s="50">
        <f t="shared" si="3"/>
        <v>55.519987628547135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510.2</v>
      </c>
      <c r="E30" s="46">
        <f t="shared" si="23"/>
        <v>576.95000000000005</v>
      </c>
      <c r="F30" s="46">
        <f t="shared" si="23"/>
        <v>530.95000000000005</v>
      </c>
      <c r="G30" s="5">
        <f t="shared" ref="G30:I30" si="24">G21</f>
        <v>26.1</v>
      </c>
      <c r="H30" s="5">
        <f t="shared" si="24"/>
        <v>37.200000000000003</v>
      </c>
      <c r="I30" s="5">
        <f t="shared" si="24"/>
        <v>29</v>
      </c>
      <c r="J30" s="99"/>
      <c r="M30" s="46">
        <f t="shared" si="0"/>
        <v>11.825569386353919</v>
      </c>
      <c r="N30" s="46">
        <f t="shared" si="5"/>
        <v>27</v>
      </c>
      <c r="O30" s="50">
        <f t="shared" si="1"/>
        <v>63.674221697433978</v>
      </c>
      <c r="P30" s="50">
        <f t="shared" si="2"/>
        <v>51.848652311080059</v>
      </c>
      <c r="Q30" s="50">
        <f t="shared" si="3"/>
        <v>55.140517102938823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555.5</v>
      </c>
      <c r="E31" s="46">
        <f t="shared" si="25"/>
        <v>513.79999999999995</v>
      </c>
      <c r="F31" s="46">
        <f t="shared" si="25"/>
        <v>154.5</v>
      </c>
      <c r="G31" s="5">
        <f t="shared" ref="G31:I33" si="26">G22*$J$31</f>
        <v>89.6</v>
      </c>
      <c r="H31" s="5">
        <f t="shared" si="26"/>
        <v>34.799999999999997</v>
      </c>
      <c r="I31" s="5">
        <f t="shared" si="26"/>
        <v>37.5</v>
      </c>
      <c r="J31" s="96">
        <f>J$22/J22</f>
        <v>1</v>
      </c>
      <c r="M31" s="46">
        <f t="shared" si="0"/>
        <v>9.4053861114237733</v>
      </c>
      <c r="N31" s="46">
        <f t="shared" si="5"/>
        <v>28</v>
      </c>
      <c r="O31" s="50">
        <f t="shared" si="1"/>
        <v>61.142694403645365</v>
      </c>
      <c r="P31" s="50">
        <f t="shared" si="2"/>
        <v>51.737308292221591</v>
      </c>
      <c r="Q31" s="50">
        <f t="shared" si="3"/>
        <v>54.761046577330511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1210.5</v>
      </c>
      <c r="F32" s="46">
        <f t="shared" si="27"/>
        <v>651</v>
      </c>
      <c r="G32" s="5">
        <f t="shared" si="26"/>
        <v>69.8</v>
      </c>
      <c r="H32" s="5">
        <f t="shared" si="26"/>
        <v>80.3</v>
      </c>
      <c r="I32" s="5">
        <f t="shared" si="26"/>
        <v>44</v>
      </c>
      <c r="J32" s="96"/>
      <c r="M32" s="46">
        <f t="shared" si="0"/>
        <v>6.9852028364936203</v>
      </c>
      <c r="N32" s="46">
        <f t="shared" si="5"/>
        <v>29</v>
      </c>
      <c r="O32" s="50">
        <f t="shared" si="1"/>
        <v>58.611167109856737</v>
      </c>
      <c r="P32" s="50">
        <f t="shared" si="2"/>
        <v>51.625964273363117</v>
      </c>
      <c r="Q32" s="50">
        <f t="shared" si="3"/>
        <v>54.381576051722199</v>
      </c>
    </row>
    <row r="33" spans="1:17">
      <c r="A33" s="78"/>
      <c r="B33" s="46" t="str">
        <f t="shared" si="27"/>
        <v>D65</v>
      </c>
      <c r="C33" s="79"/>
      <c r="D33" s="46">
        <f t="shared" si="27"/>
        <v>510.2</v>
      </c>
      <c r="E33" s="46">
        <f t="shared" si="27"/>
        <v>576.95000000000005</v>
      </c>
      <c r="F33" s="46">
        <f t="shared" si="27"/>
        <v>530.95000000000005</v>
      </c>
      <c r="G33" s="5">
        <f t="shared" si="26"/>
        <v>29.4</v>
      </c>
      <c r="H33" s="5">
        <f t="shared" si="26"/>
        <v>39.799999999999997</v>
      </c>
      <c r="I33" s="5">
        <f t="shared" si="26"/>
        <v>32.299999999999997</v>
      </c>
      <c r="J33" s="96"/>
      <c r="M33" s="46">
        <f t="shared" si="0"/>
        <v>4.5650195615634743</v>
      </c>
      <c r="N33" s="46">
        <f t="shared" si="5"/>
        <v>30</v>
      </c>
      <c r="O33" s="50">
        <f t="shared" si="1"/>
        <v>56.079639816068124</v>
      </c>
      <c r="P33" s="50">
        <f t="shared" si="2"/>
        <v>51.514620254504649</v>
      </c>
      <c r="Q33" s="50">
        <f t="shared" si="3"/>
        <v>54.002105526113887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555.5</v>
      </c>
      <c r="E34" s="46">
        <f t="shared" si="27"/>
        <v>513.79999999999995</v>
      </c>
      <c r="F34" s="46">
        <f t="shared" si="27"/>
        <v>154.5</v>
      </c>
      <c r="G34" s="5">
        <f t="shared" ref="G34:I36" si="28">G25*$J$34</f>
        <v>87.376609442060101</v>
      </c>
      <c r="H34" s="5">
        <f t="shared" si="28"/>
        <v>35.432598517362472</v>
      </c>
      <c r="I34" s="5">
        <f t="shared" si="28"/>
        <v>38.199375731564572</v>
      </c>
      <c r="J34" s="96">
        <f>J$22/J25</f>
        <v>0.89250877877487322</v>
      </c>
      <c r="M34" s="46">
        <f t="shared" si="0"/>
        <v>2.2193587648593933</v>
      </c>
      <c r="N34" s="46">
        <f t="shared" si="5"/>
        <v>31</v>
      </c>
      <c r="O34" s="50">
        <f t="shared" si="1"/>
        <v>53.548112522279496</v>
      </c>
      <c r="P34" s="50">
        <f t="shared" si="2"/>
        <v>51.403276235646182</v>
      </c>
      <c r="Q34" s="50">
        <f t="shared" si="3"/>
        <v>53.622635000505575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1210.5</v>
      </c>
      <c r="F35" s="46">
        <f t="shared" si="27"/>
        <v>651</v>
      </c>
      <c r="G35" s="5">
        <f t="shared" si="28"/>
        <v>69.347932110807648</v>
      </c>
      <c r="H35" s="5">
        <f t="shared" si="28"/>
        <v>79.165528677331253</v>
      </c>
      <c r="I35" s="5">
        <f t="shared" si="28"/>
        <v>44.536188060866174</v>
      </c>
      <c r="J35" s="96"/>
      <c r="M35" s="46">
        <f t="shared" si="0"/>
        <v>2.2265792464063807</v>
      </c>
      <c r="N35" s="46">
        <f t="shared" si="5"/>
        <v>32</v>
      </c>
      <c r="O35" s="50">
        <f t="shared" si="1"/>
        <v>51.016585228490882</v>
      </c>
      <c r="P35" s="50">
        <f t="shared" si="2"/>
        <v>51.291932216787707</v>
      </c>
      <c r="Q35" s="50">
        <f t="shared" si="3"/>
        <v>53.243164474897263</v>
      </c>
    </row>
    <row r="36" spans="1:17">
      <c r="A36" s="78"/>
      <c r="B36" s="46" t="str">
        <f t="shared" si="27"/>
        <v>D65</v>
      </c>
      <c r="C36" s="79"/>
      <c r="D36" s="46">
        <f t="shared" si="27"/>
        <v>510.2</v>
      </c>
      <c r="E36" s="46">
        <f t="shared" si="27"/>
        <v>576.95000000000005</v>
      </c>
      <c r="F36" s="46">
        <f t="shared" si="27"/>
        <v>530.95000000000005</v>
      </c>
      <c r="G36" s="5">
        <f t="shared" si="28"/>
        <v>29.988294966835742</v>
      </c>
      <c r="H36" s="5">
        <f t="shared" si="28"/>
        <v>40.519898556379246</v>
      </c>
      <c r="I36" s="5">
        <f t="shared" si="28"/>
        <v>32.933573936792818</v>
      </c>
      <c r="J36" s="96"/>
      <c r="M36" s="46">
        <f t="shared" si="0"/>
        <v>4.3786360145866823</v>
      </c>
      <c r="N36" s="46">
        <f t="shared" si="5"/>
        <v>33</v>
      </c>
      <c r="O36" s="50">
        <f t="shared" si="1"/>
        <v>48.485057934702269</v>
      </c>
      <c r="P36" s="50">
        <f t="shared" si="2"/>
        <v>51.180588197929239</v>
      </c>
      <c r="Q36" s="50">
        <f t="shared" si="3"/>
        <v>52.863693949288951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555.5</v>
      </c>
      <c r="E37" s="46">
        <f t="shared" si="27"/>
        <v>513.79999999999995</v>
      </c>
      <c r="F37" s="46">
        <f t="shared" si="27"/>
        <v>154.5</v>
      </c>
      <c r="G37" s="5">
        <f t="shared" ref="G37:I39" si="29">G28*$J$37</f>
        <v>92.959048079246188</v>
      </c>
      <c r="H37" s="5">
        <f t="shared" si="29"/>
        <v>35.260328581783035</v>
      </c>
      <c r="I37" s="5">
        <f t="shared" si="29"/>
        <v>38.244745107513893</v>
      </c>
      <c r="J37" s="96">
        <f>J$22/J28</f>
        <v>1.1053394539743899</v>
      </c>
      <c r="K37" s="51" t="str">
        <f>CHAR(34) &amp; "EEpromVersion" &amp;CHAR(34)  &amp; ",3,"</f>
        <v>"EEpromVersion",3,</v>
      </c>
      <c r="M37" s="46">
        <f t="shared" si="0"/>
        <v>6.5306927827669909</v>
      </c>
      <c r="N37" s="46">
        <f t="shared" si="5"/>
        <v>34</v>
      </c>
      <c r="O37" s="50">
        <f t="shared" si="1"/>
        <v>45.953530640913641</v>
      </c>
      <c r="P37" s="50">
        <f t="shared" si="2"/>
        <v>51.069244179070772</v>
      </c>
      <c r="Q37" s="50">
        <f t="shared" si="3"/>
        <v>52.484223423680632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1210.5</v>
      </c>
      <c r="F38" s="46">
        <f t="shared" si="27"/>
        <v>651</v>
      </c>
      <c r="G38" s="5">
        <f t="shared" si="29"/>
        <v>68.53104614641218</v>
      </c>
      <c r="H38" s="5">
        <f t="shared" si="29"/>
        <v>74.610413143271316</v>
      </c>
      <c r="I38" s="5">
        <f t="shared" si="29"/>
        <v>45.871587339937179</v>
      </c>
      <c r="J38" s="96"/>
      <c r="K38" s="52" t="str">
        <f>K4</f>
        <v>"Compensation",31,</v>
      </c>
      <c r="M38" s="46">
        <f t="shared" si="0"/>
        <v>8.6827495509472925</v>
      </c>
      <c r="N38" s="46">
        <f t="shared" si="5"/>
        <v>35</v>
      </c>
      <c r="O38" s="50">
        <f t="shared" si="1"/>
        <v>43.422003347125028</v>
      </c>
      <c r="P38" s="50">
        <f t="shared" si="2"/>
        <v>50.957900160212297</v>
      </c>
      <c r="Q38" s="50">
        <f t="shared" si="3"/>
        <v>52.10475289807232</v>
      </c>
    </row>
    <row r="39" spans="1:17">
      <c r="A39" s="78"/>
      <c r="B39" s="46" t="str">
        <f t="shared" si="27"/>
        <v>D65</v>
      </c>
      <c r="C39" s="79"/>
      <c r="D39" s="46">
        <f t="shared" si="27"/>
        <v>510.2</v>
      </c>
      <c r="E39" s="46">
        <f t="shared" si="27"/>
        <v>576.95000000000005</v>
      </c>
      <c r="F39" s="46">
        <f t="shared" si="27"/>
        <v>530.95000000000005</v>
      </c>
      <c r="G39" s="5">
        <f t="shared" si="29"/>
        <v>28.84935974873158</v>
      </c>
      <c r="H39" s="5">
        <f t="shared" si="29"/>
        <v>41.118627687847308</v>
      </c>
      <c r="I39" s="5">
        <f t="shared" si="29"/>
        <v>32.054844165257308</v>
      </c>
      <c r="J39" s="96"/>
      <c r="K39" s="53" t="str">
        <f>linefmt("CardGain",J42,J45,J48)</f>
        <v>"CardGain",15.78335,16.78578,21.00493,</v>
      </c>
      <c r="M39" s="46">
        <f t="shared" si="0"/>
        <v>10.834806319127608</v>
      </c>
      <c r="N39" s="46">
        <f t="shared" si="5"/>
        <v>36</v>
      </c>
      <c r="O39" s="50">
        <f t="shared" si="1"/>
        <v>40.8904760533364</v>
      </c>
      <c r="P39" s="50">
        <f t="shared" si="2"/>
        <v>50.84655614135383</v>
      </c>
      <c r="Q39" s="50">
        <f t="shared" si="3"/>
        <v>51.725282372464008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"Range",1,0.8925088,1.105339,</v>
      </c>
      <c r="M40" s="46">
        <f t="shared" si="0"/>
        <v>12.98686308730791</v>
      </c>
      <c r="N40" s="46">
        <f t="shared" si="5"/>
        <v>37</v>
      </c>
      <c r="O40" s="50">
        <f t="shared" si="1"/>
        <v>38.358948759547786</v>
      </c>
      <c r="P40" s="50">
        <f t="shared" si="2"/>
        <v>50.735212122495362</v>
      </c>
      <c r="Q40" s="50">
        <f t="shared" si="3"/>
        <v>51.345811846855696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15.138919855488211</v>
      </c>
      <c r="N41" s="46">
        <f t="shared" si="5"/>
        <v>38</v>
      </c>
      <c r="O41" s="50">
        <f t="shared" si="1"/>
        <v>35.827421465759173</v>
      </c>
      <c r="P41" s="50">
        <f t="shared" si="2"/>
        <v>50.623868103636887</v>
      </c>
      <c r="Q41" s="50">
        <f t="shared" si="3"/>
        <v>50.966341321247384</v>
      </c>
    </row>
    <row r="42" spans="1:17">
      <c r="A42" s="4"/>
      <c r="B42" s="46" t="s">
        <v>3</v>
      </c>
      <c r="C42" s="79">
        <f>C31</f>
        <v>0</v>
      </c>
      <c r="D42" s="46">
        <f>I42/$H$43</f>
        <v>0.17086596798996298</v>
      </c>
      <c r="E42" s="46">
        <f>H42/$H$43</f>
        <v>1.0354079972163714</v>
      </c>
      <c r="F42" s="46">
        <f>G42/$H$43</f>
        <v>-0.43057290128485398</v>
      </c>
      <c r="G42" s="46">
        <f t="array" ref="G42:I42">LINEST($D31:$D33,$G31:$I33,FALSE)</f>
        <v>-6.7958849924483484</v>
      </c>
      <c r="H42" s="46">
        <v>16.342212081499749</v>
      </c>
      <c r="I42" s="46">
        <v>2.6968382453194475</v>
      </c>
      <c r="J42" s="97">
        <f>H43</f>
        <v>15.78335508846247</v>
      </c>
      <c r="K42" s="53" t="str">
        <f t="shared" ref="K42:K50" si="30">linefmt("",D42,E42,F42)</f>
        <v>0.170866,1.035408,-0.4305729,</v>
      </c>
      <c r="M42" s="46">
        <f t="shared" si="0"/>
        <v>17.290976623668527</v>
      </c>
      <c r="N42" s="46">
        <f t="shared" si="5"/>
        <v>39</v>
      </c>
      <c r="O42" s="50">
        <f t="shared" si="1"/>
        <v>33.295894171970545</v>
      </c>
      <c r="P42" s="50">
        <f t="shared" si="2"/>
        <v>50.51252408477842</v>
      </c>
      <c r="Q42" s="50">
        <f t="shared" si="3"/>
        <v>50.586870795639072</v>
      </c>
    </row>
    <row r="43" spans="1:17">
      <c r="A43" s="4"/>
      <c r="B43" s="46" t="s">
        <v>4</v>
      </c>
      <c r="C43" s="79"/>
      <c r="D43" s="46">
        <f>I43/$H$43</f>
        <v>2.7430282027017409E-2</v>
      </c>
      <c r="E43" s="46">
        <f>H43/$H$43</f>
        <v>1</v>
      </c>
      <c r="F43" s="46">
        <f>G43/$H$43</f>
        <v>-0.12545258256617539</v>
      </c>
      <c r="G43" s="46">
        <f t="array" ref="G43:I43">LINEST($E31:$E33,$G31:$I33,FALSE)</f>
        <v>-1.9800626574066025</v>
      </c>
      <c r="H43" s="46">
        <v>15.78335508846247</v>
      </c>
      <c r="I43" s="46">
        <v>0.43294188140908585</v>
      </c>
      <c r="J43" s="97"/>
      <c r="K43" s="53" t="str">
        <f t="shared" si="30"/>
        <v>2.743028E-02,1,-0.1254526,</v>
      </c>
      <c r="M43" s="46">
        <f t="shared" si="0"/>
        <v>19.636813187738021</v>
      </c>
      <c r="N43" s="46">
        <f t="shared" si="5"/>
        <v>40</v>
      </c>
      <c r="O43" s="50">
        <f t="shared" si="1"/>
        <v>30.764366878181931</v>
      </c>
      <c r="P43" s="50">
        <f t="shared" si="2"/>
        <v>50.401180065919952</v>
      </c>
      <c r="Q43" s="50">
        <f t="shared" si="3"/>
        <v>50.20740027003076</v>
      </c>
    </row>
    <row r="44" spans="1:17">
      <c r="A44" s="4"/>
      <c r="B44" s="46" t="s">
        <v>5</v>
      </c>
      <c r="C44" s="79"/>
      <c r="D44" s="46">
        <f>I44/$H$43</f>
        <v>-0.45663468183804129</v>
      </c>
      <c r="E44" s="46">
        <f>H44/$H$43</f>
        <v>0.34527359153388554</v>
      </c>
      <c r="F44" s="46">
        <f>G44/$H$43</f>
        <v>1.0316730606134237</v>
      </c>
      <c r="G44" s="46">
        <f t="array" ref="G44:I44">LINEST($F$31:$F$33,$G31:$I33,FALSE)</f>
        <v>16.283262250862531</v>
      </c>
      <c r="H44" s="46">
        <v>5.4495756978480649</v>
      </c>
      <c r="I44" s="46">
        <v>-7.2072273291568898</v>
      </c>
      <c r="J44" s="97"/>
      <c r="K44" s="53" t="str">
        <f t="shared" si="30"/>
        <v>-0.4566347,0.3452736,1.031673,</v>
      </c>
      <c r="M44" s="46">
        <f t="shared" si="0"/>
        <v>22.056996462668174</v>
      </c>
      <c r="N44" s="46">
        <f t="shared" si="5"/>
        <v>41</v>
      </c>
      <c r="O44" s="50">
        <f t="shared" si="1"/>
        <v>28.232839584393304</v>
      </c>
      <c r="P44" s="50">
        <f t="shared" si="2"/>
        <v>50.289836047061478</v>
      </c>
      <c r="Q44" s="50">
        <f t="shared" si="3"/>
        <v>49.827929744422448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0.18567089022240546</v>
      </c>
      <c r="E45" s="46">
        <f>H45/$H$46</f>
        <v>1.0311371458412222</v>
      </c>
      <c r="F45" s="46">
        <f>G45/$H$46</f>
        <v>-0.51481673223359514</v>
      </c>
      <c r="G45" s="46">
        <f t="array" ref="G45:I45">LINEST($D34:$D36,$G34:$I36,FALSE)</f>
        <v>-8.641601422495178</v>
      </c>
      <c r="H45" s="46">
        <v>17.308443312689292</v>
      </c>
      <c r="I45" s="46">
        <v>3.1166310817066742</v>
      </c>
      <c r="J45" s="97">
        <f>H46</f>
        <v>16.785781971387248</v>
      </c>
      <c r="K45" s="53" t="str">
        <f t="shared" si="30"/>
        <v>0.1856709,1.031137,-0.5148168,</v>
      </c>
      <c r="M45" s="46">
        <f t="shared" si="0"/>
        <v>24.47717973759832</v>
      </c>
      <c r="N45" s="46">
        <f t="shared" si="5"/>
        <v>42</v>
      </c>
      <c r="O45" s="50">
        <f t="shared" si="1"/>
        <v>25.70131229060469</v>
      </c>
      <c r="P45" s="50">
        <f t="shared" si="2"/>
        <v>50.17849202820301</v>
      </c>
      <c r="Q45" s="50">
        <f t="shared" si="3"/>
        <v>49.448459218814136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4.3889290618686919E-2</v>
      </c>
      <c r="E46" s="46">
        <f>H46/$H$46</f>
        <v>1</v>
      </c>
      <c r="F46" s="46">
        <f>G46/$H$46</f>
        <v>-0.22665966344450045</v>
      </c>
      <c r="G46" s="46">
        <f t="array" ref="G46:I46">LINEST($E34:$E36,$G34:$I36,FALSE)</f>
        <v>-3.8046596922873968</v>
      </c>
      <c r="H46" s="46">
        <v>16.785781971387248</v>
      </c>
      <c r="I46" s="46">
        <v>0.7367160632041303</v>
      </c>
      <c r="J46" s="97"/>
      <c r="K46" s="53" t="str">
        <f t="shared" si="30"/>
        <v>4.388929E-02,1,-0.2266597,</v>
      </c>
      <c r="M46" s="46">
        <f t="shared" si="0"/>
        <v>26.897363012528466</v>
      </c>
      <c r="N46" s="46">
        <f t="shared" si="5"/>
        <v>43</v>
      </c>
      <c r="O46" s="50">
        <f t="shared" si="1"/>
        <v>23.169784996816077</v>
      </c>
      <c r="P46" s="50">
        <f t="shared" si="2"/>
        <v>50.067148009344542</v>
      </c>
      <c r="Q46" s="50">
        <f t="shared" si="3"/>
        <v>49.068988693205824</v>
      </c>
    </row>
    <row r="47" spans="1:17">
      <c r="A47" s="4"/>
      <c r="B47" s="46" t="str">
        <f t="shared" si="31"/>
        <v>Z</v>
      </c>
      <c r="C47" s="79"/>
      <c r="D47" s="46">
        <f>I47/$H$46</f>
        <v>-0.44339039146258086</v>
      </c>
      <c r="E47" s="46">
        <f>H47/$H$46</f>
        <v>0.36008828105140822</v>
      </c>
      <c r="F47" s="46">
        <f>G47/$H$46</f>
        <v>0.92114866022381425</v>
      </c>
      <c r="G47" s="46">
        <f t="array" ref="G47:I47">LINEST($F$31:$F$33,$G34:$I36,FALSE)</f>
        <v>15.462200573752419</v>
      </c>
      <c r="H47" s="46">
        <v>6.0443633761805522</v>
      </c>
      <c r="I47" s="46">
        <v>-7.4426544392989245</v>
      </c>
      <c r="J47" s="97"/>
      <c r="K47" s="53" t="str">
        <f t="shared" si="30"/>
        <v>-0.4433904,0.3600883,0.9211487,</v>
      </c>
      <c r="M47" s="46">
        <f t="shared" si="0"/>
        <v>29.317546287458619</v>
      </c>
      <c r="N47" s="46">
        <f t="shared" si="5"/>
        <v>44</v>
      </c>
      <c r="O47" s="50">
        <f t="shared" si="1"/>
        <v>20.638257703027449</v>
      </c>
      <c r="P47" s="50">
        <f t="shared" si="2"/>
        <v>49.955803990486068</v>
      </c>
      <c r="Q47" s="50">
        <f t="shared" si="3"/>
        <v>48.689518167597512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0.20762486297591004</v>
      </c>
      <c r="E48" s="46">
        <f>H48/$H$49</f>
        <v>1.064457588373565</v>
      </c>
      <c r="F48" s="46">
        <f>G48/$H$49</f>
        <v>-0.79455511458618078</v>
      </c>
      <c r="G48" s="46">
        <f t="array" ref="G48:I48">LINEST($D37:$D39,$G37:$I39,FALSE)</f>
        <v>-16.689572217024967</v>
      </c>
      <c r="H48" s="46">
        <v>22.358853988843016</v>
      </c>
      <c r="I48" s="46">
        <v>4.3611451000363761</v>
      </c>
      <c r="J48" s="97">
        <f>H49</f>
        <v>21.004927047404646</v>
      </c>
      <c r="K48" s="53" t="str">
        <f t="shared" si="30"/>
        <v>0.2076249,1.064458,-0.7945551,</v>
      </c>
      <c r="M48" s="46">
        <f t="shared" si="0"/>
        <v>31.737729562388765</v>
      </c>
      <c r="N48" s="46">
        <f t="shared" si="5"/>
        <v>45</v>
      </c>
      <c r="O48" s="50">
        <f t="shared" si="1"/>
        <v>18.106730409238835</v>
      </c>
      <c r="P48" s="50">
        <f t="shared" si="2"/>
        <v>49.8444599716276</v>
      </c>
      <c r="Q48" s="50">
        <f t="shared" si="3"/>
        <v>48.3100476419892</v>
      </c>
    </row>
    <row r="49" spans="1:24">
      <c r="A49" s="4"/>
      <c r="B49" s="46" t="str">
        <f t="shared" si="31"/>
        <v>Y</v>
      </c>
      <c r="C49" s="79"/>
      <c r="D49" s="46">
        <f>I49/$H$49</f>
        <v>9.3749267396168595E-2</v>
      </c>
      <c r="E49" s="46">
        <f>H49/$H$49</f>
        <v>1</v>
      </c>
      <c r="F49" s="46">
        <f>G49/$H$49</f>
        <v>-0.51024640301013235</v>
      </c>
      <c r="G49" s="46">
        <f t="array" ref="G49:I49">LINEST($E37:$E39,$G37:$I39,FALSE)</f>
        <v>-10.71768847142846</v>
      </c>
      <c r="H49" s="46">
        <v>21.004927047404646</v>
      </c>
      <c r="I49" s="46">
        <v>1.9691965224041521</v>
      </c>
      <c r="J49" s="97"/>
      <c r="K49" s="53" t="str">
        <f t="shared" si="30"/>
        <v>9.374927E-02,1,-0.5102464,</v>
      </c>
      <c r="M49" s="46">
        <f t="shared" si="0"/>
        <v>34.157912837318925</v>
      </c>
      <c r="N49" s="46">
        <f t="shared" si="5"/>
        <v>46</v>
      </c>
      <c r="O49" s="50">
        <f t="shared" si="1"/>
        <v>15.575203115450208</v>
      </c>
      <c r="P49" s="50">
        <f t="shared" si="2"/>
        <v>49.733115952769133</v>
      </c>
      <c r="Q49" s="50">
        <f t="shared" si="3"/>
        <v>47.930577116380888</v>
      </c>
    </row>
    <row r="50" spans="1:24">
      <c r="A50" s="4"/>
      <c r="B50" s="46" t="str">
        <f t="shared" si="31"/>
        <v>Z</v>
      </c>
      <c r="C50" s="79"/>
      <c r="D50" s="46">
        <f>I50/$H$49</f>
        <v>-0.3318229240248991</v>
      </c>
      <c r="E50" s="46">
        <f>H50/$H$49</f>
        <v>0.24485586608383531</v>
      </c>
      <c r="F50" s="46">
        <f>G50/$H$49</f>
        <v>0.7731169835592393</v>
      </c>
      <c r="G50" s="46">
        <f t="array" ref="G50:I50">LINEST($F$31:$F$33,$G37:$I39,FALSE)</f>
        <v>16.23926583877136</v>
      </c>
      <c r="H50" s="46">
        <v>5.1431796042200419</v>
      </c>
      <c r="I50" s="46">
        <v>-6.9699163117994996</v>
      </c>
      <c r="J50" s="97"/>
      <c r="K50" s="54" t="str">
        <f t="shared" si="30"/>
        <v>-0.3318229,0.2448559,0.773117,</v>
      </c>
      <c r="M50" s="46">
        <f t="shared" si="0"/>
        <v>36.578096112249064</v>
      </c>
      <c r="N50" s="46">
        <f t="shared" si="5"/>
        <v>47</v>
      </c>
      <c r="O50" s="50">
        <f t="shared" si="1"/>
        <v>13.043675821661594</v>
      </c>
      <c r="P50" s="50">
        <f t="shared" si="2"/>
        <v>49.621771933910658</v>
      </c>
      <c r="Q50" s="50">
        <f t="shared" si="3"/>
        <v>47.551106590772569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0.18805390706275951</v>
      </c>
      <c r="E51" s="46">
        <f t="shared" ref="E51:F51" si="32">(E42+E45+E48)/3</f>
        <v>1.0436675771437196</v>
      </c>
      <c r="F51" s="46">
        <f t="shared" si="32"/>
        <v>-0.57998158270154321</v>
      </c>
      <c r="J51" s="97">
        <f>(J42+J45+J48)/3</f>
        <v>17.858021369084785</v>
      </c>
      <c r="M51" s="46">
        <f t="shared" si="0"/>
        <v>38.998279387179224</v>
      </c>
      <c r="N51" s="46">
        <f t="shared" si="5"/>
        <v>48</v>
      </c>
      <c r="O51" s="50">
        <f t="shared" si="1"/>
        <v>10.512148527872966</v>
      </c>
      <c r="P51" s="50">
        <f t="shared" si="2"/>
        <v>49.51042791505219</v>
      </c>
      <c r="Q51" s="50">
        <f t="shared" si="3"/>
        <v>47.171636065164257</v>
      </c>
    </row>
    <row r="52" spans="1:24">
      <c r="B52" s="46" t="str">
        <f t="shared" si="31"/>
        <v>Y</v>
      </c>
      <c r="C52" s="79"/>
      <c r="D52" s="46">
        <f t="shared" ref="D52:F53" si="33">(D43+D46+D49)/3</f>
        <v>5.5022946680624303E-2</v>
      </c>
      <c r="E52" s="46">
        <f t="shared" si="33"/>
        <v>1</v>
      </c>
      <c r="F52" s="46">
        <f t="shared" si="33"/>
        <v>-0.28745288300693606</v>
      </c>
      <c r="J52" s="97"/>
      <c r="M52" s="46">
        <f t="shared" si="0"/>
        <v>41.41846266210937</v>
      </c>
      <c r="N52" s="46">
        <f t="shared" si="5"/>
        <v>49</v>
      </c>
      <c r="O52" s="50">
        <f t="shared" si="1"/>
        <v>7.980621234084353</v>
      </c>
      <c r="P52" s="50">
        <f t="shared" si="2"/>
        <v>49.399083896193723</v>
      </c>
      <c r="Q52" s="50">
        <f t="shared" si="3"/>
        <v>46.792165539555945</v>
      </c>
    </row>
    <row r="53" spans="1:24" ht="15.75" thickBot="1">
      <c r="B53" s="46" t="str">
        <f t="shared" si="31"/>
        <v>Z</v>
      </c>
      <c r="C53" s="79"/>
      <c r="D53" s="46">
        <f t="shared" si="33"/>
        <v>-0.41061599910850705</v>
      </c>
      <c r="E53" s="46">
        <f t="shared" si="33"/>
        <v>0.316739246223043</v>
      </c>
      <c r="F53" s="46">
        <f t="shared" si="33"/>
        <v>0.90864623479882578</v>
      </c>
      <c r="J53" s="100"/>
      <c r="M53" s="46">
        <f t="shared" si="0"/>
        <v>43.838645937039509</v>
      </c>
      <c r="N53" s="46">
        <f t="shared" si="5"/>
        <v>50</v>
      </c>
      <c r="O53" s="50">
        <f t="shared" si="1"/>
        <v>5.4490939402957395</v>
      </c>
      <c r="P53" s="50">
        <f t="shared" si="2"/>
        <v>49.287739877335248</v>
      </c>
      <c r="Q53" s="50">
        <f t="shared" si="3"/>
        <v>46.412695013947634</v>
      </c>
    </row>
    <row r="54" spans="1:24">
      <c r="B54" s="79" t="s">
        <v>14</v>
      </c>
      <c r="C54" s="79"/>
      <c r="D54" s="19">
        <f>I54/$H$55</f>
        <v>0.17696815399702906</v>
      </c>
      <c r="E54" s="20">
        <f>H54/$H$55</f>
        <v>1.0400424394052159</v>
      </c>
      <c r="F54" s="21">
        <f>G54/$H$55</f>
        <v>-0.52033950125014683</v>
      </c>
      <c r="G54" s="46">
        <f t="array" ref="G54:I54">LINEST(D$31:D$39,$G$31:$I$39,FALSE)</f>
        <v>-8.8673136663941836</v>
      </c>
      <c r="H54" s="46">
        <v>17.723779406350065</v>
      </c>
      <c r="I54" s="46">
        <v>3.0157851300626457</v>
      </c>
      <c r="J54" s="98">
        <f>H55</f>
        <v>17.041400172560284</v>
      </c>
      <c r="M54" s="46">
        <f t="shared" si="0"/>
        <v>46.258829211969669</v>
      </c>
      <c r="N54" s="46">
        <f t="shared" si="5"/>
        <v>51</v>
      </c>
      <c r="O54" s="50">
        <f t="shared" si="1"/>
        <v>2.9175666465071117</v>
      </c>
      <c r="P54" s="50">
        <f t="shared" si="2"/>
        <v>49.176395858476781</v>
      </c>
      <c r="Q54" s="50">
        <f t="shared" si="3"/>
        <v>46.033224488339322</v>
      </c>
    </row>
    <row r="55" spans="1:24" ht="15" customHeight="1">
      <c r="B55" s="79"/>
      <c r="C55" s="79"/>
      <c r="D55" s="22">
        <f>I55/$H$55</f>
        <v>4.2984378298262564E-2</v>
      </c>
      <c r="E55" s="18">
        <f>H55/$H$55</f>
        <v>1</v>
      </c>
      <c r="F55" s="23">
        <f>G55/$H$55</f>
        <v>-0.23051176609775037</v>
      </c>
      <c r="G55" s="46">
        <f t="array" ref="G55:I55">LINEST(E$31:E$39,$G$31:$I$39,FALSE)</f>
        <v>-3.9282432505553788</v>
      </c>
      <c r="H55" s="46">
        <v>17.041400172560284</v>
      </c>
      <c r="I55" s="46">
        <v>0.73251399174940823</v>
      </c>
      <c r="J55" s="98"/>
      <c r="M55" s="46">
        <f t="shared" si="0"/>
        <v>48.679012486899829</v>
      </c>
      <c r="N55" s="46">
        <f t="shared" si="5"/>
        <v>52</v>
      </c>
      <c r="O55" s="50">
        <f t="shared" si="1"/>
        <v>0.386039352718484</v>
      </c>
      <c r="P55" s="50">
        <f t="shared" si="2"/>
        <v>49.065051839618313</v>
      </c>
      <c r="Q55" s="50">
        <f t="shared" si="3"/>
        <v>45.653753962731003</v>
      </c>
    </row>
    <row r="56" spans="1:24" ht="15" customHeight="1" thickBot="1">
      <c r="B56" s="79"/>
      <c r="C56" s="79"/>
      <c r="D56" s="24">
        <f>I56/$H$55</f>
        <v>-0.41899680096027708</v>
      </c>
      <c r="E56" s="25">
        <f>H56/$H$55</f>
        <v>0.3294861137868571</v>
      </c>
      <c r="F56" s="26">
        <f>G56/$H$55</f>
        <v>0.92695880821105436</v>
      </c>
      <c r="G56" s="46">
        <f t="array" ref="G56:I56">LINEST(F$31:F$39,$G$31:$I$39,FALSE)</f>
        <v>15.796675994204136</v>
      </c>
      <c r="H56" s="46">
        <v>5.6149047163435641</v>
      </c>
      <c r="I56" s="46">
        <v>-7.140292156186673</v>
      </c>
      <c r="J56" s="98"/>
      <c r="M56" s="46">
        <f t="shared" si="0"/>
        <v>51.099195761829954</v>
      </c>
      <c r="N56" s="46">
        <f t="shared" si="5"/>
        <v>53</v>
      </c>
      <c r="O56" s="50">
        <f t="shared" si="1"/>
        <v>-2.1454879410701153</v>
      </c>
      <c r="P56" s="50">
        <f t="shared" si="2"/>
        <v>48.953707820759838</v>
      </c>
      <c r="Q56" s="50">
        <f t="shared" si="3"/>
        <v>45.274283437122691</v>
      </c>
    </row>
    <row r="57" spans="1:24">
      <c r="M57" s="46">
        <f t="shared" si="0"/>
        <v>53.519379036760114</v>
      </c>
      <c r="N57" s="46">
        <f t="shared" si="5"/>
        <v>54</v>
      </c>
      <c r="O57" s="50">
        <f t="shared" si="1"/>
        <v>-4.677015234858743</v>
      </c>
      <c r="P57" s="50">
        <f t="shared" si="2"/>
        <v>48.842363801901371</v>
      </c>
      <c r="Q57" s="50">
        <f t="shared" si="3"/>
        <v>44.894812911514379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55.939562311690274</v>
      </c>
      <c r="N58" s="46">
        <f t="shared" si="5"/>
        <v>55</v>
      </c>
      <c r="O58" s="50">
        <f t="shared" si="1"/>
        <v>-7.2085425286473708</v>
      </c>
      <c r="P58" s="50">
        <f t="shared" si="2"/>
        <v>48.731019783042903</v>
      </c>
      <c r="Q58" s="50">
        <f t="shared" si="3"/>
        <v>44.515342385906067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58.359745586620399</v>
      </c>
      <c r="N59" s="46">
        <f t="shared" si="5"/>
        <v>56</v>
      </c>
      <c r="O59" s="50">
        <f t="shared" si="1"/>
        <v>-9.7400698224359701</v>
      </c>
      <c r="P59" s="50">
        <f t="shared" si="2"/>
        <v>48.619675764184429</v>
      </c>
      <c r="Q59" s="50">
        <f t="shared" si="3"/>
        <v>44.135871860297755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513.79999999999995</v>
      </c>
      <c r="E60" s="32">
        <f t="shared" ref="E60:E68" si="37">getCCTfromXY(D22/SUM(D22:F22),E22/SUM(D22:F22))</f>
        <v>2863</v>
      </c>
      <c r="F60" s="31">
        <f t="shared" ref="F60:F68" si="38">V60</f>
        <v>511.36485777001809</v>
      </c>
      <c r="G60" s="32">
        <f t="shared" ref="G60:G68" si="39">getCCTfromXY(U60/X60,V60/X60)</f>
        <v>2831</v>
      </c>
      <c r="H60" s="33">
        <f>F60/D60-1</f>
        <v>-4.7394749513076651E-3</v>
      </c>
      <c r="I60" s="34">
        <f t="shared" ref="I60:I68" si="40">G60/E60-1</f>
        <v>-1.117708697170805E-2</v>
      </c>
      <c r="M60" s="46">
        <f t="shared" si="0"/>
        <v>60.779928861550559</v>
      </c>
      <c r="N60" s="46">
        <f t="shared" si="5"/>
        <v>57</v>
      </c>
      <c r="O60" s="50">
        <f t="shared" si="1"/>
        <v>-12.271597116224598</v>
      </c>
      <c r="P60" s="50">
        <f t="shared" si="2"/>
        <v>48.508331745325961</v>
      </c>
      <c r="Q60" s="50">
        <f t="shared" si="3"/>
        <v>43.756401334689443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554.47760850481336</v>
      </c>
      <c r="V60" s="50">
        <f>$J$54*$J$31*($D$55*G22+$E$55*H22+$F$55*I22)</f>
        <v>511.36485777001809</v>
      </c>
      <c r="W60" s="50">
        <f>$J$54*$J$31*($D$56*G22+$E$56*H22+$F$56*I22)</f>
        <v>148.00385671708526</v>
      </c>
      <c r="X60" s="29">
        <f>SUM(U60:W60)</f>
        <v>1213.8463229919166</v>
      </c>
    </row>
    <row r="61" spans="1:24">
      <c r="A61" s="87"/>
      <c r="B61" s="48" t="str">
        <f t="shared" si="35"/>
        <v>CWF</v>
      </c>
      <c r="C61" s="93"/>
      <c r="D61" s="31">
        <f t="shared" si="36"/>
        <v>1210.5</v>
      </c>
      <c r="E61" s="32">
        <f t="shared" si="37"/>
        <v>3857</v>
      </c>
      <c r="F61" s="31">
        <f t="shared" si="38"/>
        <v>1246.7112074562629</v>
      </c>
      <c r="G61" s="32">
        <f t="shared" si="39"/>
        <v>3776</v>
      </c>
      <c r="H61" s="33">
        <f t="shared" ref="H61:H68" si="41">F61/D61-1</f>
        <v>2.9914256469444789E-2</v>
      </c>
      <c r="I61" s="34">
        <f t="shared" si="40"/>
        <v>-2.100077780658538E-2</v>
      </c>
      <c r="M61" s="46">
        <f t="shared" si="0"/>
        <v>63.200112136480719</v>
      </c>
      <c r="N61" s="46">
        <f t="shared" si="5"/>
        <v>58</v>
      </c>
      <c r="O61" s="50">
        <f t="shared" si="1"/>
        <v>-14.803124410013226</v>
      </c>
      <c r="P61" s="50">
        <f t="shared" si="2"/>
        <v>48.396987726467493</v>
      </c>
      <c r="Q61" s="50">
        <f t="shared" si="3"/>
        <v>43.376930809081131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1243.5594870869388</v>
      </c>
      <c r="V61" s="50">
        <f>$J$54*$J$31*($D$55*G23+$E$55*H23+$F$55*I23)</f>
        <v>1246.7112074562629</v>
      </c>
      <c r="W61" s="50">
        <f>$J$54*$J$31*($D$56*G23+$E$56*H23+$F$56*I23)</f>
        <v>647.53819996554046</v>
      </c>
      <c r="X61" s="29">
        <f t="shared" ref="X61:X68" si="43">SUM(U61:W61)</f>
        <v>3137.8088945087425</v>
      </c>
    </row>
    <row r="62" spans="1:24">
      <c r="A62" s="87"/>
      <c r="B62" s="48" t="str">
        <f t="shared" si="35"/>
        <v>D65</v>
      </c>
      <c r="C62" s="93"/>
      <c r="D62" s="31">
        <f t="shared" si="36"/>
        <v>576.95000000000005</v>
      </c>
      <c r="E62" s="32">
        <f t="shared" si="37"/>
        <v>6328</v>
      </c>
      <c r="F62" s="31">
        <f t="shared" si="38"/>
        <v>572.90138123239319</v>
      </c>
      <c r="G62" s="32">
        <f t="shared" si="39"/>
        <v>6274</v>
      </c>
      <c r="H62" s="33">
        <f t="shared" si="41"/>
        <v>-7.0172783908603042E-3</v>
      </c>
      <c r="I62" s="34">
        <f t="shared" si="40"/>
        <v>-8.5335018963337284E-3</v>
      </c>
      <c r="M62" s="46">
        <f t="shared" si="0"/>
        <v>65.620295411410837</v>
      </c>
      <c r="N62" s="46">
        <f t="shared" si="5"/>
        <v>59</v>
      </c>
      <c r="O62" s="50">
        <f t="shared" si="1"/>
        <v>-17.334651703801825</v>
      </c>
      <c r="P62" s="50">
        <f t="shared" si="2"/>
        <v>48.285643707609019</v>
      </c>
      <c r="Q62" s="50">
        <f t="shared" si="3"/>
        <v>42.997460283472819</v>
      </c>
      <c r="R62" s="78"/>
      <c r="S62" s="46" t="str">
        <f t="shared" si="42"/>
        <v>D65</v>
      </c>
      <c r="T62" s="79"/>
      <c r="U62" s="50">
        <f>$J$54*$J$31*($D$54*G24+$E$54*H24+$F$54*I24)</f>
        <v>507.65627177204226</v>
      </c>
      <c r="V62" s="50">
        <f>$J$54*$J$31*($D$55*G24+$E$55*H24+$F$55*I24)</f>
        <v>572.90138123239319</v>
      </c>
      <c r="W62" s="50">
        <f>$J$54*$J$31*($D$56*G24+$E$56*H24+$F$56*I24)</f>
        <v>523.78125293137919</v>
      </c>
      <c r="X62" s="29">
        <f t="shared" si="43"/>
        <v>1604.3389059358146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513.79999999999995</v>
      </c>
      <c r="E63" s="32">
        <f t="shared" si="37"/>
        <v>2863</v>
      </c>
      <c r="F63" s="31">
        <f t="shared" si="38"/>
        <v>517.76923956302505</v>
      </c>
      <c r="G63" s="32">
        <f t="shared" si="39"/>
        <v>2999</v>
      </c>
      <c r="H63" s="33">
        <f t="shared" si="41"/>
        <v>7.7252618976744181E-3</v>
      </c>
      <c r="I63" s="34">
        <f t="shared" si="40"/>
        <v>4.7502619629758991E-2</v>
      </c>
      <c r="M63" s="46">
        <f t="shared" si="0"/>
        <v>68.040478686341004</v>
      </c>
      <c r="N63" s="46">
        <f t="shared" si="5"/>
        <v>60</v>
      </c>
      <c r="O63" s="50">
        <f t="shared" si="1"/>
        <v>-19.866178997590453</v>
      </c>
      <c r="P63" s="50">
        <f t="shared" si="2"/>
        <v>48.174299688750551</v>
      </c>
      <c r="Q63" s="50">
        <f t="shared" si="3"/>
        <v>42.617989757864507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552.78279291392607</v>
      </c>
      <c r="V63" s="50">
        <f>$J$54*$J$34*($D$55*G25+$E$55*H25+$F$55*I25)</f>
        <v>517.76923956302505</v>
      </c>
      <c r="W63" s="50">
        <f>$J$54*$J$34*($D$56*G25+$E$56*H25+$F$56*I25)</f>
        <v>178.47930710650866</v>
      </c>
      <c r="X63" s="29">
        <f t="shared" si="43"/>
        <v>1249.0313395834598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1210.5</v>
      </c>
      <c r="E64" s="32">
        <f t="shared" si="37"/>
        <v>3857</v>
      </c>
      <c r="F64" s="31">
        <f t="shared" si="38"/>
        <v>1224.940804477191</v>
      </c>
      <c r="G64" s="32">
        <f t="shared" si="39"/>
        <v>3836</v>
      </c>
      <c r="H64" s="33">
        <f t="shared" si="41"/>
        <v>1.1929619559843951E-2</v>
      </c>
      <c r="I64" s="34">
        <f t="shared" si="40"/>
        <v>-5.4446460980036582E-3</v>
      </c>
      <c r="M64" s="46">
        <f t="shared" si="0"/>
        <v>70.460661961271171</v>
      </c>
      <c r="N64" s="46">
        <f t="shared" si="5"/>
        <v>61</v>
      </c>
      <c r="O64" s="50">
        <f t="shared" si="1"/>
        <v>-22.39770629137908</v>
      </c>
      <c r="P64" s="50">
        <f t="shared" si="2"/>
        <v>48.062955669892084</v>
      </c>
      <c r="Q64" s="50">
        <f t="shared" si="3"/>
        <v>42.238519232256195</v>
      </c>
      <c r="R64" s="78"/>
      <c r="S64" s="46" t="str">
        <f t="shared" si="42"/>
        <v>CWF</v>
      </c>
      <c r="T64" s="79"/>
      <c r="U64" s="50">
        <f>$J$54*$J$34*($D$54*G26+$E$54*H26+$F$54*I26)</f>
        <v>1217.3344802832466</v>
      </c>
      <c r="V64" s="50">
        <f>$J$54*$J$34*($D$55*G26+$E$55*H26+$F$55*I26)</f>
        <v>1224.940804477191</v>
      </c>
      <c r="W64" s="50">
        <f>$J$54*$J$34*($D$56*G26+$E$56*H26+$F$56*I26)</f>
        <v>652.86613745805869</v>
      </c>
      <c r="X64" s="29">
        <f t="shared" si="43"/>
        <v>3095.1414222184967</v>
      </c>
    </row>
    <row r="65" spans="1:24">
      <c r="A65" s="87"/>
      <c r="B65" s="48" t="str">
        <f t="shared" si="35"/>
        <v>D65</v>
      </c>
      <c r="C65" s="93"/>
      <c r="D65" s="31">
        <f t="shared" si="36"/>
        <v>576.95000000000005</v>
      </c>
      <c r="E65" s="32">
        <f t="shared" si="37"/>
        <v>6328</v>
      </c>
      <c r="F65" s="31">
        <f t="shared" si="38"/>
        <v>583.11156236884892</v>
      </c>
      <c r="G65" s="32">
        <f t="shared" si="39"/>
        <v>6282</v>
      </c>
      <c r="H65" s="33">
        <f t="shared" si="41"/>
        <v>1.0679543060661878E-2</v>
      </c>
      <c r="I65" s="34">
        <f t="shared" si="40"/>
        <v>-7.2692793931732336E-3</v>
      </c>
      <c r="M65" s="46">
        <f t="shared" si="0"/>
        <v>72.88084523620131</v>
      </c>
      <c r="N65" s="46">
        <f t="shared" si="5"/>
        <v>62</v>
      </c>
      <c r="O65" s="50">
        <f t="shared" si="1"/>
        <v>-24.929233585167708</v>
      </c>
      <c r="P65" s="50">
        <f t="shared" si="2"/>
        <v>47.951611651033609</v>
      </c>
      <c r="Q65" s="50">
        <f t="shared" si="3"/>
        <v>41.859048706647883</v>
      </c>
      <c r="R65" s="78"/>
      <c r="S65" s="46" t="str">
        <f t="shared" si="42"/>
        <v>D65</v>
      </c>
      <c r="T65" s="79"/>
      <c r="U65" s="50">
        <f>$J$54*$J$34*($D$54*G27+$E$54*H27+$F$54*I27)</f>
        <v>516.57166736493764</v>
      </c>
      <c r="V65" s="50">
        <f>$J$54*$J$34*($D$55*G27+$E$55*H27+$F$55*I27)</f>
        <v>583.11156236884892</v>
      </c>
      <c r="W65" s="50">
        <f>$J$54*$J$34*($D$56*G27+$E$56*H27+$F$56*I27)</f>
        <v>533.63117899154918</v>
      </c>
      <c r="X65" s="29">
        <f t="shared" si="43"/>
        <v>1633.3144087253356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513.79999999999995</v>
      </c>
      <c r="E66" s="32">
        <f t="shared" si="37"/>
        <v>2863</v>
      </c>
      <c r="F66" s="31">
        <f t="shared" si="38"/>
        <v>518.74451111808116</v>
      </c>
      <c r="G66" s="32">
        <f t="shared" si="39"/>
        <v>2766</v>
      </c>
      <c r="H66" s="33">
        <f t="shared" si="41"/>
        <v>9.6234159557828658E-3</v>
      </c>
      <c r="I66" s="34">
        <f t="shared" si="40"/>
        <v>-3.388054488298986E-2</v>
      </c>
      <c r="M66" s="46">
        <f t="shared" si="0"/>
        <v>75.301028511131449</v>
      </c>
      <c r="N66" s="46">
        <f t="shared" si="5"/>
        <v>63</v>
      </c>
      <c r="O66" s="50">
        <f t="shared" si="1"/>
        <v>-27.460760878956307</v>
      </c>
      <c r="P66" s="50">
        <f t="shared" si="2"/>
        <v>47.840267632175141</v>
      </c>
      <c r="Q66" s="50">
        <f t="shared" si="3"/>
        <v>41.479578181039571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566.16264952149186</v>
      </c>
      <c r="V66" s="50">
        <f>$J$54*$J$37*($D$55*G28+$E$55*H28+$F$55*I28)</f>
        <v>518.74451111808116</v>
      </c>
      <c r="W66" s="50">
        <f>$J$54*$J$37*($D$56*G28+$E$56*H28+$F$56*I28)</f>
        <v>138.36847035117694</v>
      </c>
      <c r="X66" s="29">
        <f t="shared" si="43"/>
        <v>1223.27563099075</v>
      </c>
    </row>
    <row r="67" spans="1:24">
      <c r="A67" s="87"/>
      <c r="B67" s="48" t="str">
        <f t="shared" si="35"/>
        <v>CWF</v>
      </c>
      <c r="C67" s="93"/>
      <c r="D67" s="31">
        <f t="shared" si="36"/>
        <v>1210.5</v>
      </c>
      <c r="E67" s="32">
        <f t="shared" si="37"/>
        <v>3857</v>
      </c>
      <c r="F67" s="31">
        <f t="shared" si="38"/>
        <v>1141.4711042256395</v>
      </c>
      <c r="G67" s="32">
        <f t="shared" si="39"/>
        <v>4020</v>
      </c>
      <c r="H67" s="33">
        <f t="shared" si="41"/>
        <v>-5.7025110098604337E-2</v>
      </c>
      <c r="I67" s="34">
        <f t="shared" si="40"/>
        <v>4.2260824474980474E-2</v>
      </c>
      <c r="R67" s="78"/>
      <c r="S67" s="46" t="str">
        <f t="shared" si="42"/>
        <v>CWF</v>
      </c>
      <c r="T67" s="79"/>
      <c r="U67" s="50">
        <f>$J$54*$J$37*($D$54*G29+$E$54*H29+$F$54*I29)</f>
        <v>1122.2956605653499</v>
      </c>
      <c r="V67" s="50">
        <f>$J$54*$J$37*($D$55*G29+$E$55*H29+$F$55*I29)</f>
        <v>1141.4711042256395</v>
      </c>
      <c r="W67" s="50">
        <f>$J$54*$J$37*($D$56*G29+$E$56*H29+$F$56*I29)</f>
        <v>654.21727194082632</v>
      </c>
      <c r="X67" s="29">
        <f t="shared" si="43"/>
        <v>2917.9840367318156</v>
      </c>
    </row>
    <row r="68" spans="1:24">
      <c r="A68" s="87"/>
      <c r="B68" s="48" t="str">
        <f t="shared" si="35"/>
        <v>D65</v>
      </c>
      <c r="C68" s="93"/>
      <c r="D68" s="31">
        <f t="shared" si="36"/>
        <v>576.95000000000005</v>
      </c>
      <c r="E68" s="32">
        <f t="shared" si="37"/>
        <v>6328</v>
      </c>
      <c r="F68" s="31">
        <f t="shared" si="38"/>
        <v>595.93232340430484</v>
      </c>
      <c r="G68" s="32">
        <f t="shared" si="39"/>
        <v>6087</v>
      </c>
      <c r="H68" s="33">
        <f t="shared" si="41"/>
        <v>3.2901158513397588E-2</v>
      </c>
      <c r="I68" s="34">
        <f t="shared" si="40"/>
        <v>-3.8084702907711709E-2</v>
      </c>
      <c r="R68" s="78"/>
      <c r="S68" s="46" t="str">
        <f t="shared" si="42"/>
        <v>D65</v>
      </c>
      <c r="T68" s="79"/>
      <c r="U68" s="50">
        <f>$J$54*$J$37*($D$54*G30+$E$54*H30+$F$54*I30)</f>
        <v>531.54059903257428</v>
      </c>
      <c r="V68" s="50">
        <f>$J$54*$J$37*($D$55*G30+$E$55*H30+$F$55*I30)</f>
        <v>595.93232340430484</v>
      </c>
      <c r="W68" s="50">
        <f>$J$54*$J$37*($D$56*G30+$E$56*H30+$F$56*I30)</f>
        <v>531.24430673246798</v>
      </c>
      <c r="X68" s="29">
        <f t="shared" si="43"/>
        <v>1658.7172291693471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5.7025110098604337E-2</v>
      </c>
      <c r="G69" s="47"/>
      <c r="H69" s="36" t="str">
        <f>I59</f>
        <v>CCT</v>
      </c>
      <c r="I69" s="38">
        <f>MAX(MAX(I60:I68,-MIN(I60:I68)))</f>
        <v>4.7502619629758991E-2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513.79999999999995</v>
      </c>
      <c r="E72" s="31">
        <f t="shared" ref="E72:E80" si="47">E60</f>
        <v>2863</v>
      </c>
      <c r="F72" s="31">
        <f t="shared" ref="F72:F80" si="48">V72</f>
        <v>516.99994967088105</v>
      </c>
      <c r="G72" s="32">
        <f t="shared" ref="G72:G80" si="49">getCCTfromXY(U72/X72,V72/X72)</f>
        <v>2823</v>
      </c>
      <c r="H72" s="33">
        <f>F72/D72-1</f>
        <v>6.2280063660589136E-3</v>
      </c>
      <c r="I72" s="34">
        <f t="shared" ref="I72:I80" si="50">G72/E72-1</f>
        <v>-1.3971358714634952E-2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561.09818148406112</v>
      </c>
      <c r="V72" s="50">
        <f>$J$51*$J$31*($D$52*G22+$E$52*H22+$F$52*I22)</f>
        <v>516.99994967088105</v>
      </c>
      <c r="W72" s="50">
        <f>$J$51*$J$31*($D$53*G22+$E$53*H22+$F$53*I22)</f>
        <v>148.32097606388442</v>
      </c>
      <c r="X72" s="29">
        <f>SUM(U72:W72)</f>
        <v>1226.4191072188266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1210.5</v>
      </c>
      <c r="E73" s="31">
        <f t="shared" si="47"/>
        <v>3857</v>
      </c>
      <c r="F73" s="31">
        <f t="shared" si="48"/>
        <v>1276.7177147757805</v>
      </c>
      <c r="G73" s="32">
        <f t="shared" si="49"/>
        <v>3753</v>
      </c>
      <c r="H73" s="33">
        <f t="shared" ref="H73:H80" si="52">F73/D73-1</f>
        <v>5.4702779657811229E-2</v>
      </c>
      <c r="I73" s="34">
        <f t="shared" si="50"/>
        <v>-2.6963961628208466E-2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1275.3034432865966</v>
      </c>
      <c r="V73" s="50">
        <f t="shared" ref="V73:V74" si="55">$J$51*$J$31*($D$52*G23+$E$52*H23+$F$52*I23)</f>
        <v>1276.7177147757805</v>
      </c>
      <c r="W73" s="50">
        <f t="shared" ref="W73:W74" si="56">$J$51*$J$31*($D$53*G23+$E$53*H23+$F$53*I23)</f>
        <v>656.34655749506067</v>
      </c>
      <c r="X73" s="29">
        <f t="shared" ref="X73:X80" si="57">SUM(U73:W73)</f>
        <v>3208.3677155574378</v>
      </c>
    </row>
    <row r="74" spans="1:24">
      <c r="A74" s="87"/>
      <c r="B74" s="48" t="str">
        <f t="shared" si="46"/>
        <v>X</v>
      </c>
      <c r="C74" s="93"/>
      <c r="D74" s="31">
        <f t="shared" si="51"/>
        <v>576.95000000000005</v>
      </c>
      <c r="E74" s="31">
        <f t="shared" si="47"/>
        <v>6328</v>
      </c>
      <c r="F74" s="31">
        <f t="shared" si="48"/>
        <v>573.83084545020949</v>
      </c>
      <c r="G74" s="32">
        <f t="shared" si="49"/>
        <v>6411</v>
      </c>
      <c r="H74" s="33">
        <f t="shared" si="52"/>
        <v>-5.4062822597981119E-3</v>
      </c>
      <c r="I74" s="34">
        <f t="shared" si="50"/>
        <v>1.3116308470290772E-2</v>
      </c>
      <c r="R74" s="78"/>
      <c r="S74" s="46" t="str">
        <f t="shared" si="53"/>
        <v>D65</v>
      </c>
      <c r="T74" s="79"/>
      <c r="U74" s="50">
        <f t="shared" si="54"/>
        <v>505.97755755546746</v>
      </c>
      <c r="V74" s="50">
        <f t="shared" si="55"/>
        <v>573.83084545020949</v>
      </c>
      <c r="W74" s="50">
        <f t="shared" si="56"/>
        <v>533.65812808718704</v>
      </c>
      <c r="X74" s="29">
        <f t="shared" si="57"/>
        <v>1613.466531092864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513.79999999999995</v>
      </c>
      <c r="E75" s="31">
        <f t="shared" si="47"/>
        <v>2863</v>
      </c>
      <c r="F75" s="31">
        <f t="shared" si="48"/>
        <v>522.52206859343289</v>
      </c>
      <c r="G75" s="32">
        <f t="shared" si="49"/>
        <v>2994</v>
      </c>
      <c r="H75" s="33">
        <f t="shared" si="52"/>
        <v>1.6975610341442016E-2</v>
      </c>
      <c r="I75" s="34">
        <f t="shared" si="50"/>
        <v>4.5756199790429664E-2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558.17804205995151</v>
      </c>
      <c r="V75" s="50">
        <f>$J$51*$J$34*($D$52*G25+$E$52*H25+$F$52*I25)</f>
        <v>522.52206859343289</v>
      </c>
      <c r="W75" s="50">
        <f>$J$51*$J$34*($D$53*G25+$E$53*H25+$F$53*I25)</f>
        <v>179.55132738369144</v>
      </c>
      <c r="X75" s="29">
        <f t="shared" si="57"/>
        <v>1260.2514380370758</v>
      </c>
    </row>
    <row r="76" spans="1:24">
      <c r="A76" s="87"/>
      <c r="B76" s="48" t="str">
        <f t="shared" si="46"/>
        <v>Z</v>
      </c>
      <c r="C76" s="93"/>
      <c r="D76" s="31">
        <f t="shared" si="51"/>
        <v>1210.5</v>
      </c>
      <c r="E76" s="31">
        <f t="shared" si="47"/>
        <v>3857</v>
      </c>
      <c r="F76" s="31">
        <f t="shared" si="48"/>
        <v>1253.2616638379509</v>
      </c>
      <c r="G76" s="32">
        <f t="shared" si="49"/>
        <v>3815</v>
      </c>
      <c r="H76" s="33">
        <f t="shared" si="52"/>
        <v>3.5325620683974268E-2</v>
      </c>
      <c r="I76" s="34">
        <f t="shared" si="50"/>
        <v>-1.0889292196007205E-2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1247.08771113386</v>
      </c>
      <c r="V76" s="50">
        <f t="shared" ref="V76:V77" si="59">$J$51*$J$34*($D$52*G26+$E$52*H26+$F$52*I26)</f>
        <v>1253.2616638379509</v>
      </c>
      <c r="W76" s="50">
        <f t="shared" ref="W76:W77" si="60">$J$51*$J$34*($D$53*G26+$E$53*H26+$F$53*I26)</f>
        <v>661.94504681982107</v>
      </c>
      <c r="X76" s="29">
        <f t="shared" si="57"/>
        <v>3162.294421791632</v>
      </c>
    </row>
    <row r="77" spans="1:24">
      <c r="A77" s="87"/>
      <c r="B77" s="48" t="str">
        <f t="shared" si="46"/>
        <v>X</v>
      </c>
      <c r="C77" s="93"/>
      <c r="D77" s="31">
        <f t="shared" si="51"/>
        <v>576.95000000000005</v>
      </c>
      <c r="E77" s="31">
        <f t="shared" si="47"/>
        <v>6328</v>
      </c>
      <c r="F77" s="31">
        <f t="shared" si="48"/>
        <v>584.01251819142726</v>
      </c>
      <c r="G77" s="32">
        <f t="shared" si="49"/>
        <v>6420</v>
      </c>
      <c r="H77" s="33">
        <f t="shared" si="52"/>
        <v>1.2241126945883085E-2</v>
      </c>
      <c r="I77" s="34">
        <f t="shared" si="50"/>
        <v>1.4538558786346467E-2</v>
      </c>
      <c r="R77" s="78"/>
      <c r="S77" s="46" t="str">
        <f t="shared" si="53"/>
        <v>D65</v>
      </c>
      <c r="T77" s="79"/>
      <c r="U77" s="50">
        <f t="shared" si="58"/>
        <v>514.80843367172588</v>
      </c>
      <c r="V77" s="50">
        <f t="shared" si="59"/>
        <v>584.01251819142726</v>
      </c>
      <c r="W77" s="50">
        <f t="shared" si="60"/>
        <v>543.69703931281538</v>
      </c>
      <c r="X77" s="29">
        <f t="shared" si="57"/>
        <v>1642.5179911759685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513.79999999999995</v>
      </c>
      <c r="E78" s="31">
        <f t="shared" si="47"/>
        <v>2863</v>
      </c>
      <c r="F78" s="31">
        <f t="shared" si="48"/>
        <v>524.69808153335191</v>
      </c>
      <c r="G78" s="32">
        <f t="shared" si="49"/>
        <v>2757</v>
      </c>
      <c r="H78" s="33">
        <f t="shared" si="52"/>
        <v>2.1210746464289443E-2</v>
      </c>
      <c r="I78" s="34">
        <f t="shared" si="50"/>
        <v>-3.7024100593782694E-2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573.24473768169923</v>
      </c>
      <c r="V78" s="50">
        <f>$J$51*$J$37*($D$52*G28+$E$52*H28+$F$52*I28)</f>
        <v>524.69808153335191</v>
      </c>
      <c r="W78" s="50">
        <f>$J$51*$J$37*($D$53*G28+$E$53*H28+$F$53*I28)</f>
        <v>138.37825627359581</v>
      </c>
      <c r="X78" s="29">
        <f t="shared" si="57"/>
        <v>1236.321075488647</v>
      </c>
    </row>
    <row r="79" spans="1:24">
      <c r="A79" s="87"/>
      <c r="B79" s="48" t="str">
        <f t="shared" si="46"/>
        <v>Z</v>
      </c>
      <c r="C79" s="93"/>
      <c r="D79" s="31">
        <f t="shared" si="51"/>
        <v>1210.5</v>
      </c>
      <c r="E79" s="31">
        <f t="shared" si="47"/>
        <v>3857</v>
      </c>
      <c r="F79" s="31">
        <f t="shared" si="48"/>
        <v>1164.2585821900627</v>
      </c>
      <c r="G79" s="32">
        <f t="shared" si="49"/>
        <v>4006</v>
      </c>
      <c r="H79" s="33">
        <f t="shared" si="52"/>
        <v>-3.8200262544351271E-2</v>
      </c>
      <c r="I79" s="34">
        <f t="shared" si="50"/>
        <v>3.8631060409644702E-2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1145.615719693966</v>
      </c>
      <c r="V79" s="50">
        <f t="shared" ref="V79:V80" si="62">$J$51*$J$37*($D$52*G29+$E$52*H29+$F$52*I29)</f>
        <v>1164.2585821900627</v>
      </c>
      <c r="W79" s="50">
        <f t="shared" ref="W79:W80" si="63">$J$51*$J$37*($D$53*G29+$E$53*H29+$F$53*I29)</f>
        <v>663.8388562806382</v>
      </c>
      <c r="X79" s="29">
        <f t="shared" si="57"/>
        <v>2973.7131581646668</v>
      </c>
    </row>
    <row r="80" spans="1:24">
      <c r="A80" s="87"/>
      <c r="B80" s="48" t="str">
        <f t="shared" si="46"/>
        <v>X</v>
      </c>
      <c r="C80" s="93"/>
      <c r="D80" s="31">
        <f t="shared" si="51"/>
        <v>576.95000000000005</v>
      </c>
      <c r="E80" s="31">
        <f t="shared" si="47"/>
        <v>6328</v>
      </c>
      <c r="F80" s="31">
        <f t="shared" si="48"/>
        <v>598.09633542533174</v>
      </c>
      <c r="G80" s="32">
        <f t="shared" si="49"/>
        <v>6199</v>
      </c>
      <c r="H80" s="33">
        <f t="shared" si="52"/>
        <v>3.6651937646818178E-2</v>
      </c>
      <c r="I80" s="34">
        <f t="shared" si="50"/>
        <v>-2.0385587863464005E-2</v>
      </c>
      <c r="R80" s="78"/>
      <c r="S80" s="46" t="str">
        <f t="shared" si="53"/>
        <v>D65</v>
      </c>
      <c r="T80" s="79"/>
      <c r="U80" s="50">
        <f t="shared" si="61"/>
        <v>531.24388591592924</v>
      </c>
      <c r="V80" s="50">
        <f t="shared" si="62"/>
        <v>598.09633542533174</v>
      </c>
      <c r="W80" s="50">
        <f t="shared" si="63"/>
        <v>541.17640706190787</v>
      </c>
      <c r="X80" s="29">
        <f t="shared" si="57"/>
        <v>1670.5166284031689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5.4702779657811229E-2</v>
      </c>
      <c r="G81" s="47"/>
      <c r="H81" s="36" t="str">
        <f>I71</f>
        <v>CCT</v>
      </c>
      <c r="I81" s="38">
        <f>MAX(MAX(I72:I80,-MIN(I72:I80)))</f>
        <v>4.5756199790429664E-2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513.79999999999995</v>
      </c>
      <c r="E84" s="31">
        <f t="shared" ref="E84:E92" si="67">E72</f>
        <v>2863</v>
      </c>
      <c r="F84" s="31">
        <f t="shared" ref="F84:F92" si="68">V84</f>
        <v>513.80000000000041</v>
      </c>
      <c r="G84" s="32">
        <f t="shared" ref="G84:G92" si="69">getCCTfromXY(U84/X84,V84/X84)</f>
        <v>2863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555.5000000000008</v>
      </c>
      <c r="V84" s="50">
        <f>$J$42*$J$31*($D$43*G22+$E$43*H22+$F$43*I22)</f>
        <v>513.80000000000041</v>
      </c>
      <c r="W84" s="50">
        <f>$J$42*$J$31*($D$44*G22+$E$44*H22+$F$44*I22)</f>
        <v>154.50000000000023</v>
      </c>
      <c r="X84" s="29">
        <f>SUM(U84:W84)</f>
        <v>1223.8000000000013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1210.5</v>
      </c>
      <c r="E85" s="31">
        <f t="shared" si="67"/>
        <v>3857</v>
      </c>
      <c r="F85" s="31">
        <f t="shared" si="68"/>
        <v>1210.4999999999998</v>
      </c>
      <c r="G85" s="32">
        <f t="shared" si="69"/>
        <v>3857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1201.4999999999998</v>
      </c>
      <c r="V85" s="50">
        <f t="shared" ref="V85:V86" si="75">$J$42*$J$31*($D$43*G23+$E$43*H23+$F$43*I23)</f>
        <v>1210.4999999999998</v>
      </c>
      <c r="W85" s="50">
        <f t="shared" ref="W85:W86" si="76">$J$42*$J$31*($D$44*G23+$E$44*H23+$F$44*I23)</f>
        <v>651.00000000000011</v>
      </c>
      <c r="X85" s="29">
        <f t="shared" ref="X85:X92" si="77">SUM(U85:W85)</f>
        <v>3062.9999999999995</v>
      </c>
    </row>
    <row r="86" spans="1:24">
      <c r="A86" s="87"/>
      <c r="B86" s="48">
        <f t="shared" si="66"/>
        <v>0</v>
      </c>
      <c r="C86" s="93"/>
      <c r="D86" s="31">
        <f t="shared" si="71"/>
        <v>576.95000000000005</v>
      </c>
      <c r="E86" s="31">
        <f t="shared" si="67"/>
        <v>6328</v>
      </c>
      <c r="F86" s="31">
        <f t="shared" si="68"/>
        <v>576.95000000000005</v>
      </c>
      <c r="G86" s="32">
        <f t="shared" si="69"/>
        <v>6328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510.2000000000001</v>
      </c>
      <c r="V86" s="50">
        <f t="shared" si="75"/>
        <v>576.95000000000005</v>
      </c>
      <c r="W86" s="50">
        <f t="shared" si="76"/>
        <v>530.95000000000016</v>
      </c>
      <c r="X86" s="29">
        <f t="shared" si="77"/>
        <v>1618.1000000000004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513.79999999999995</v>
      </c>
      <c r="E87" s="31">
        <f t="shared" si="67"/>
        <v>2863</v>
      </c>
      <c r="F87" s="31">
        <f t="shared" si="68"/>
        <v>513.79999999999961</v>
      </c>
      <c r="G87" s="32">
        <f t="shared" si="69"/>
        <v>2863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555.5</v>
      </c>
      <c r="V87" s="50">
        <f>$J$45*$J$34*($D$46*G25+$E$46*H25+$F$46*I25)</f>
        <v>513.79999999999961</v>
      </c>
      <c r="W87" s="50">
        <f>$J$45*$J$34*($D$47*G25+$E$47*H25+$F$47*I25)</f>
        <v>154.50000000000014</v>
      </c>
      <c r="X87" s="29">
        <f t="shared" si="77"/>
        <v>1223.8</v>
      </c>
    </row>
    <row r="88" spans="1:24">
      <c r="A88" s="87"/>
      <c r="B88" s="48">
        <f t="shared" si="66"/>
        <v>0</v>
      </c>
      <c r="C88" s="93"/>
      <c r="D88" s="31">
        <f t="shared" si="71"/>
        <v>1210.5</v>
      </c>
      <c r="E88" s="31">
        <f t="shared" si="67"/>
        <v>3857</v>
      </c>
      <c r="F88" s="31">
        <f t="shared" si="68"/>
        <v>1210.5000000000002</v>
      </c>
      <c r="G88" s="32">
        <f t="shared" si="69"/>
        <v>3857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1201.4999999999998</v>
      </c>
      <c r="V88" s="50">
        <f t="shared" ref="V88:V89" si="79">$J$45*$J$34*($D$46*G26+$E$46*H26+$F$46*I26)</f>
        <v>1210.5000000000002</v>
      </c>
      <c r="W88" s="50">
        <f t="shared" ref="W88:W89" si="80">$J$45*$J$34*($D$47*G26+$E$47*H26+$F$47*I26)</f>
        <v>650.99999999999977</v>
      </c>
      <c r="X88" s="29">
        <f t="shared" si="77"/>
        <v>3063</v>
      </c>
    </row>
    <row r="89" spans="1:24">
      <c r="A89" s="87"/>
      <c r="B89" s="48" t="str">
        <f t="shared" si="66"/>
        <v>A</v>
      </c>
      <c r="C89" s="93"/>
      <c r="D89" s="31">
        <f t="shared" si="71"/>
        <v>576.95000000000005</v>
      </c>
      <c r="E89" s="31">
        <f t="shared" si="67"/>
        <v>6328</v>
      </c>
      <c r="F89" s="31">
        <f t="shared" si="68"/>
        <v>576.94999999999982</v>
      </c>
      <c r="G89" s="32">
        <f t="shared" si="69"/>
        <v>6328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510.19999999999987</v>
      </c>
      <c r="V89" s="50">
        <f t="shared" si="79"/>
        <v>576.94999999999982</v>
      </c>
      <c r="W89" s="50">
        <f t="shared" si="80"/>
        <v>530.94999999999993</v>
      </c>
      <c r="X89" s="29">
        <f t="shared" si="77"/>
        <v>1618.0999999999995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513.79999999999995</v>
      </c>
      <c r="E90" s="31">
        <f t="shared" si="67"/>
        <v>2863</v>
      </c>
      <c r="F90" s="31">
        <f t="shared" si="68"/>
        <v>513.79999999999995</v>
      </c>
      <c r="G90" s="32">
        <f t="shared" si="69"/>
        <v>2863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555.50000000000011</v>
      </c>
      <c r="V90" s="50">
        <f>$J$48*$J$37*($D$49*G28+$E$49*H28+$F$49*I28)</f>
        <v>513.79999999999995</v>
      </c>
      <c r="W90" s="50">
        <f>$J$48*$J$37*($D$50*G28+$E$50*H28+$F$50*I28)</f>
        <v>154.5</v>
      </c>
      <c r="X90" s="29">
        <f t="shared" si="77"/>
        <v>1223.8000000000002</v>
      </c>
    </row>
    <row r="91" spans="1:24">
      <c r="A91" s="87"/>
      <c r="B91" s="48" t="str">
        <f t="shared" si="66"/>
        <v>D65</v>
      </c>
      <c r="C91" s="93"/>
      <c r="D91" s="31">
        <f t="shared" si="71"/>
        <v>1210.5</v>
      </c>
      <c r="E91" s="31">
        <f t="shared" si="67"/>
        <v>3857</v>
      </c>
      <c r="F91" s="31">
        <f t="shared" si="68"/>
        <v>1210.4999999999998</v>
      </c>
      <c r="G91" s="32">
        <f t="shared" si="69"/>
        <v>3857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1201.5</v>
      </c>
      <c r="V91" s="50">
        <f t="shared" ref="V91:V92" si="82">$J$48*$J$37*($D$49*G29+$E$49*H29+$F$49*I29)</f>
        <v>1210.4999999999998</v>
      </c>
      <c r="W91" s="50">
        <f t="shared" ref="W91:W92" si="83">$J$48*$J$37*($D$50*G29+$E$50*H29+$F$50*I29)</f>
        <v>651.00000000000011</v>
      </c>
      <c r="X91" s="29">
        <f t="shared" si="77"/>
        <v>3063</v>
      </c>
    </row>
    <row r="92" spans="1:24">
      <c r="A92" s="87"/>
      <c r="B92" s="48" t="str">
        <f t="shared" si="66"/>
        <v>A</v>
      </c>
      <c r="C92" s="93"/>
      <c r="D92" s="31">
        <f t="shared" si="71"/>
        <v>576.95000000000005</v>
      </c>
      <c r="E92" s="31">
        <f t="shared" si="67"/>
        <v>6328</v>
      </c>
      <c r="F92" s="31">
        <f t="shared" si="68"/>
        <v>576.94999999999993</v>
      </c>
      <c r="G92" s="32">
        <f t="shared" si="69"/>
        <v>6328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510.19999999999982</v>
      </c>
      <c r="V92" s="50">
        <f t="shared" si="82"/>
        <v>576.94999999999993</v>
      </c>
      <c r="W92" s="50">
        <f t="shared" si="83"/>
        <v>530.95000000000005</v>
      </c>
      <c r="X92" s="29">
        <f t="shared" si="77"/>
        <v>1618.0999999999997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2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1.3317210722732185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75.839025494155877</v>
      </c>
      <c r="N3" s="46">
        <v>0</v>
      </c>
      <c r="O3" s="50">
        <f>G$5-N3*G$7</f>
        <v>127.53342018735654</v>
      </c>
      <c r="P3" s="50">
        <f>H$5-N3*H$7</f>
        <v>51.694394693200664</v>
      </c>
      <c r="Q3" s="50">
        <f>I$5-N3*I$7</f>
        <v>60.936374717046839</v>
      </c>
    </row>
    <row r="4" spans="1:17">
      <c r="C4" s="46" t="s">
        <v>20</v>
      </c>
      <c r="D4" s="7">
        <v>537.29999999999995</v>
      </c>
      <c r="E4" s="7">
        <v>1206</v>
      </c>
      <c r="F4" s="7">
        <v>574.29999999999995</v>
      </c>
      <c r="G4" s="50">
        <f>AVERAGE(D4:F4)</f>
        <v>772.5333333333333</v>
      </c>
      <c r="H4" s="50">
        <f>G4</f>
        <v>772.5333333333333</v>
      </c>
      <c r="I4" s="50">
        <f>H4</f>
        <v>772.5333333333333</v>
      </c>
      <c r="K4" s="13" t="str">
        <f>linefmt("Compensation",B12)</f>
        <v>"Compensation",37,</v>
      </c>
      <c r="M4" s="46">
        <f t="shared" si="0"/>
        <v>73.773678662673646</v>
      </c>
      <c r="N4" s="46">
        <f>N3+1</f>
        <v>1</v>
      </c>
      <c r="O4" s="50">
        <f t="shared" ref="O4:O66" si="1">G$5-N4*G$7</f>
        <v>125.37344297243796</v>
      </c>
      <c r="P4" s="50">
        <f t="shared" ref="P4:P66" si="2">H$5-N4*H$7</f>
        <v>51.599764309764311</v>
      </c>
      <c r="Q4" s="50">
        <f t="shared" ref="Q4:Q66" si="3">I$5-N4*I$7</f>
        <v>60.612310111387245</v>
      </c>
    </row>
    <row r="5" spans="1:17">
      <c r="C5" s="46">
        <v>0</v>
      </c>
      <c r="D5" s="9">
        <v>88.7</v>
      </c>
      <c r="E5" s="9">
        <v>80.7</v>
      </c>
      <c r="F5" s="9">
        <v>45.3</v>
      </c>
      <c r="G5" s="50">
        <f>G$4/D$4*D5</f>
        <v>127.53342018735654</v>
      </c>
      <c r="H5" s="50">
        <f t="shared" ref="H5:I6" si="4">H$4/E$4*E5</f>
        <v>51.694394693200664</v>
      </c>
      <c r="I5" s="50">
        <f t="shared" si="4"/>
        <v>60.936374717046839</v>
      </c>
      <c r="K5" s="14" t="str">
        <f>linefmt("CardGain",J54)</f>
        <v>"CardGain",2.616135,</v>
      </c>
      <c r="M5" s="46">
        <f t="shared" si="0"/>
        <v>71.708331831191401</v>
      </c>
      <c r="N5" s="46">
        <f t="shared" ref="N5:N66" si="5">N4+1</f>
        <v>2</v>
      </c>
      <c r="O5" s="50">
        <f t="shared" si="1"/>
        <v>123.21346575751936</v>
      </c>
      <c r="P5" s="50">
        <f t="shared" si="2"/>
        <v>51.505133926327957</v>
      </c>
      <c r="Q5" s="50">
        <f t="shared" si="3"/>
        <v>60.288245505727659</v>
      </c>
    </row>
    <row r="6" spans="1:17">
      <c r="B6" s="50">
        <f>D5/4</f>
        <v>22.175000000000001</v>
      </c>
      <c r="C6" s="7">
        <v>44</v>
      </c>
      <c r="D6" s="9">
        <v>22.6</v>
      </c>
      <c r="E6" s="9">
        <v>74.2</v>
      </c>
      <c r="F6" s="9">
        <v>34.700000000000003</v>
      </c>
      <c r="G6" s="50">
        <f>G$4/D$4*D6</f>
        <v>32.494422730938645</v>
      </c>
      <c r="H6" s="50">
        <f t="shared" si="4"/>
        <v>47.530657822001103</v>
      </c>
      <c r="I6" s="50">
        <f t="shared" si="4"/>
        <v>46.677532068024853</v>
      </c>
      <c r="K6" s="14" t="str">
        <f>linefmt("Range",1,J34,J37)</f>
        <v>"Range",1,0.8618972,1.190059,</v>
      </c>
      <c r="M6" s="46">
        <f t="shared" si="0"/>
        <v>69.642984999709171</v>
      </c>
      <c r="N6" s="46">
        <f t="shared" si="5"/>
        <v>3</v>
      </c>
      <c r="O6" s="50">
        <f t="shared" si="1"/>
        <v>121.05348854260077</v>
      </c>
      <c r="P6" s="50">
        <f t="shared" si="2"/>
        <v>51.410503542891604</v>
      </c>
      <c r="Q6" s="50">
        <f t="shared" si="3"/>
        <v>59.964180900068065</v>
      </c>
    </row>
    <row r="7" spans="1:17">
      <c r="C7" s="46">
        <f>C5</f>
        <v>0</v>
      </c>
      <c r="D7" s="46">
        <f t="shared" ref="D7:F8" si="6">D$4/D5</f>
        <v>6.0574971815107093</v>
      </c>
      <c r="E7" s="46">
        <f t="shared" si="6"/>
        <v>14.944237918215613</v>
      </c>
      <c r="F7" s="46">
        <f t="shared" si="6"/>
        <v>12.677704194260485</v>
      </c>
      <c r="G7" s="49">
        <f>(G5-G6)/($C6-$C5)</f>
        <v>2.1599772149185883</v>
      </c>
      <c r="H7" s="49">
        <f t="shared" ref="H7:I7" si="7">(H5-H6)/($C6-$C5)</f>
        <v>9.4630383436353646E-2</v>
      </c>
      <c r="I7" s="49">
        <f t="shared" si="7"/>
        <v>0.32406460565959061</v>
      </c>
      <c r="K7" s="14" t="str">
        <f>linefmt("CCM" )</f>
        <v>"CCM",</v>
      </c>
      <c r="M7" s="46">
        <f t="shared" si="0"/>
        <v>67.57763816822694</v>
      </c>
      <c r="N7" s="46">
        <f t="shared" si="5"/>
        <v>4</v>
      </c>
      <c r="O7" s="50">
        <f t="shared" si="1"/>
        <v>118.89351132768219</v>
      </c>
      <c r="P7" s="50">
        <f t="shared" si="2"/>
        <v>51.315873159455251</v>
      </c>
      <c r="Q7" s="50">
        <f t="shared" si="3"/>
        <v>59.640116294408479</v>
      </c>
    </row>
    <row r="8" spans="1:17">
      <c r="C8" s="46">
        <f>C6</f>
        <v>44</v>
      </c>
      <c r="D8" s="46">
        <f t="shared" si="6"/>
        <v>23.774336283185836</v>
      </c>
      <c r="E8" s="46">
        <f t="shared" si="6"/>
        <v>16.253369272237197</v>
      </c>
      <c r="F8" s="46">
        <f t="shared" si="6"/>
        <v>16.550432276657059</v>
      </c>
      <c r="K8" s="15" t="str">
        <f>linefmt("",D54,E54,F54)</f>
        <v>7.186178,-0.1681881,-0.163547,</v>
      </c>
      <c r="M8" s="46">
        <f t="shared" si="0"/>
        <v>65.51229133674471</v>
      </c>
      <c r="N8" s="46">
        <f t="shared" si="5"/>
        <v>5</v>
      </c>
      <c r="O8" s="50">
        <f t="shared" si="1"/>
        <v>116.73353411276361</v>
      </c>
      <c r="P8" s="50">
        <f t="shared" si="2"/>
        <v>51.221242776018897</v>
      </c>
      <c r="Q8" s="50">
        <f t="shared" si="3"/>
        <v>59.316051688748885</v>
      </c>
    </row>
    <row r="9" spans="1:17">
      <c r="C9" s="46" t="s">
        <v>23</v>
      </c>
      <c r="D9" s="46">
        <f>(D8-D7)/($C8-$C7)</f>
        <v>0.40265543412898014</v>
      </c>
      <c r="E9" s="46">
        <f>(E8-E7)/($C8-$C7)</f>
        <v>2.9752985318672372E-2</v>
      </c>
      <c r="F9" s="46">
        <f>(F8-F7)/($C8-$C7)</f>
        <v>8.8016547327194855E-2</v>
      </c>
      <c r="K9" s="15" t="str">
        <f>linefmt("",D55,E55,F55)</f>
        <v>4.948094,1,1.305396,</v>
      </c>
      <c r="M9" s="46">
        <f t="shared" si="0"/>
        <v>63.446944505262465</v>
      </c>
      <c r="N9" s="46">
        <f t="shared" si="5"/>
        <v>6</v>
      </c>
      <c r="O9" s="50">
        <f t="shared" si="1"/>
        <v>114.57355689784501</v>
      </c>
      <c r="P9" s="50">
        <f t="shared" si="2"/>
        <v>51.126612392582544</v>
      </c>
      <c r="Q9" s="50">
        <f t="shared" si="3"/>
        <v>58.991987083089292</v>
      </c>
    </row>
    <row r="10" spans="1:17">
      <c r="K10" s="16" t="str">
        <f>linefmt("",D56,E56,F56)</f>
        <v>-5.401551,4.645493,5.869015,</v>
      </c>
      <c r="M10" s="46">
        <f t="shared" si="0"/>
        <v>61.381597673780234</v>
      </c>
      <c r="N10" s="46">
        <f t="shared" si="5"/>
        <v>7</v>
      </c>
      <c r="O10" s="50">
        <f t="shared" si="1"/>
        <v>112.41357968292643</v>
      </c>
      <c r="P10" s="50">
        <f t="shared" si="2"/>
        <v>51.031982009146191</v>
      </c>
      <c r="Q10" s="50">
        <f t="shared" si="3"/>
        <v>58.667922477429705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59.316250842298004</v>
      </c>
      <c r="N11" s="46">
        <f t="shared" si="5"/>
        <v>8</v>
      </c>
      <c r="O11" s="50">
        <f t="shared" si="1"/>
        <v>110.25360246800784</v>
      </c>
      <c r="P11" s="50">
        <f t="shared" si="2"/>
        <v>50.937351625709837</v>
      </c>
      <c r="Q11" s="50">
        <f t="shared" si="3"/>
        <v>58.343857871770112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57.250904010815759</v>
      </c>
      <c r="N12" s="46">
        <f t="shared" si="5"/>
        <v>9</v>
      </c>
      <c r="O12" s="50">
        <f t="shared" si="1"/>
        <v>108.09362525308924</v>
      </c>
      <c r="P12" s="50">
        <f t="shared" si="2"/>
        <v>50.842721242273484</v>
      </c>
      <c r="Q12" s="50">
        <f t="shared" si="3"/>
        <v>58.019793266110526</v>
      </c>
    </row>
    <row r="13" spans="1:17">
      <c r="A13" s="78" t="s">
        <v>12</v>
      </c>
      <c r="B13" s="79" t="s">
        <v>0</v>
      </c>
      <c r="C13" s="46">
        <v>0</v>
      </c>
      <c r="D13" s="7">
        <v>510</v>
      </c>
      <c r="E13" s="7">
        <v>577</v>
      </c>
      <c r="F13" s="7">
        <v>530.9</v>
      </c>
      <c r="G13" s="8">
        <v>28.6</v>
      </c>
      <c r="H13" s="8">
        <v>36.299999999999997</v>
      </c>
      <c r="I13" s="8">
        <v>31.9</v>
      </c>
      <c r="M13" s="46">
        <f t="shared" si="0"/>
        <v>55.185557179333529</v>
      </c>
      <c r="N13" s="46">
        <f t="shared" si="5"/>
        <v>10</v>
      </c>
      <c r="O13" s="50">
        <f t="shared" si="1"/>
        <v>105.93364803817066</v>
      </c>
      <c r="P13" s="50">
        <f t="shared" si="2"/>
        <v>50.748090858837131</v>
      </c>
      <c r="Q13" s="50">
        <f t="shared" si="3"/>
        <v>57.695728660450932</v>
      </c>
    </row>
    <row r="14" spans="1:17">
      <c r="A14" s="78"/>
      <c r="B14" s="79"/>
      <c r="C14" s="46">
        <f>C13+1</f>
        <v>1</v>
      </c>
      <c r="D14" s="7">
        <v>511.3</v>
      </c>
      <c r="E14" s="7">
        <v>578</v>
      </c>
      <c r="F14" s="7">
        <v>530.9</v>
      </c>
      <c r="G14" s="8">
        <v>33.6</v>
      </c>
      <c r="H14" s="8">
        <v>42.7</v>
      </c>
      <c r="I14" s="8">
        <v>37.4</v>
      </c>
      <c r="M14" s="46">
        <f t="shared" si="0"/>
        <v>53.120210347851298</v>
      </c>
      <c r="N14" s="46">
        <f t="shared" si="5"/>
        <v>11</v>
      </c>
      <c r="O14" s="50">
        <f t="shared" si="1"/>
        <v>103.77367082325208</v>
      </c>
      <c r="P14" s="50">
        <f t="shared" si="2"/>
        <v>50.653460475400777</v>
      </c>
      <c r="Q14" s="50">
        <f t="shared" si="3"/>
        <v>57.371664054791339</v>
      </c>
    </row>
    <row r="15" spans="1:17">
      <c r="A15" s="78"/>
      <c r="B15" s="79"/>
      <c r="C15" s="46">
        <f>C14+1</f>
        <v>2</v>
      </c>
      <c r="D15" s="6">
        <f>2*(D13-D14)/(D13+D14)</f>
        <v>-2.5457749926564408E-3</v>
      </c>
      <c r="E15" s="6">
        <f t="shared" ref="E15:F15" si="8">2*(E13-E14)/(E13+E14)</f>
        <v>-1.7316017316017316E-3</v>
      </c>
      <c r="F15" s="6">
        <f t="shared" si="8"/>
        <v>0</v>
      </c>
      <c r="G15" s="8">
        <v>24.1</v>
      </c>
      <c r="H15" s="8">
        <v>31</v>
      </c>
      <c r="I15" s="8">
        <v>26.8</v>
      </c>
      <c r="M15" s="46">
        <f t="shared" si="0"/>
        <v>51.054863516369061</v>
      </c>
      <c r="N15" s="46">
        <f t="shared" si="5"/>
        <v>12</v>
      </c>
      <c r="O15" s="50">
        <f t="shared" si="1"/>
        <v>101.61369360833348</v>
      </c>
      <c r="P15" s="50">
        <f t="shared" si="2"/>
        <v>50.558830091964417</v>
      </c>
      <c r="Q15" s="50">
        <f t="shared" si="3"/>
        <v>57.047599449131752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652</v>
      </c>
      <c r="G16" s="8">
        <v>67.2</v>
      </c>
      <c r="H16" s="8">
        <v>75.5</v>
      </c>
      <c r="I16" s="8">
        <v>44.4</v>
      </c>
      <c r="M16" s="46">
        <f t="shared" si="0"/>
        <v>48.98951668488683</v>
      </c>
      <c r="N16" s="46">
        <f t="shared" si="5"/>
        <v>13</v>
      </c>
      <c r="O16" s="50">
        <f t="shared" si="1"/>
        <v>99.453716393414894</v>
      </c>
      <c r="P16" s="50">
        <f t="shared" si="2"/>
        <v>50.464199708528064</v>
      </c>
      <c r="Q16" s="50">
        <f t="shared" si="3"/>
        <v>56.723534843472159</v>
      </c>
    </row>
    <row r="17" spans="1:21">
      <c r="A17" s="78"/>
      <c r="B17" s="79"/>
      <c r="C17" s="46">
        <f t="shared" ref="C17:C21" si="9">C14</f>
        <v>1</v>
      </c>
      <c r="D17" s="7">
        <v>1203</v>
      </c>
      <c r="E17" s="7">
        <v>1213</v>
      </c>
      <c r="F17" s="7">
        <v>651</v>
      </c>
      <c r="G17" s="8">
        <v>76.7</v>
      </c>
      <c r="H17" s="8">
        <v>85.9</v>
      </c>
      <c r="I17" s="8">
        <v>51.9</v>
      </c>
      <c r="M17" s="46">
        <f t="shared" si="0"/>
        <v>46.924169853404599</v>
      </c>
      <c r="N17" s="46">
        <f t="shared" si="5"/>
        <v>14</v>
      </c>
      <c r="O17" s="50">
        <f t="shared" si="1"/>
        <v>97.29373917849631</v>
      </c>
      <c r="P17" s="50">
        <f t="shared" si="2"/>
        <v>50.36956932509171</v>
      </c>
      <c r="Q17" s="50">
        <f t="shared" si="3"/>
        <v>56.399470237812572</v>
      </c>
    </row>
    <row r="18" spans="1:21">
      <c r="A18" s="78"/>
      <c r="B18" s="79"/>
      <c r="C18" s="46">
        <f t="shared" si="9"/>
        <v>2</v>
      </c>
      <c r="D18" s="6">
        <f>2*(D16-D17)/(D16+D17)</f>
        <v>-1.6638935108153079E-3</v>
      </c>
      <c r="E18" s="6">
        <f t="shared" ref="E18:F18" si="10">2*(E16-E17)/(E16+E17)</f>
        <v>-2.4762690879075525E-3</v>
      </c>
      <c r="F18" s="6">
        <f t="shared" si="10"/>
        <v>1.5349194167306216E-3</v>
      </c>
      <c r="G18" s="8">
        <v>56.1</v>
      </c>
      <c r="H18" s="8">
        <v>61.2</v>
      </c>
      <c r="I18" s="8">
        <v>38.9</v>
      </c>
      <c r="M18" s="46">
        <f t="shared" si="0"/>
        <v>44.858823021922355</v>
      </c>
      <c r="N18" s="46">
        <f t="shared" si="5"/>
        <v>15</v>
      </c>
      <c r="O18" s="50">
        <f t="shared" si="1"/>
        <v>95.133761963577712</v>
      </c>
      <c r="P18" s="50">
        <f t="shared" si="2"/>
        <v>50.274938941655357</v>
      </c>
      <c r="Q18" s="50">
        <f t="shared" si="3"/>
        <v>56.075405632152979</v>
      </c>
    </row>
    <row r="19" spans="1:21">
      <c r="A19" s="78"/>
      <c r="B19" s="79" t="s">
        <v>2</v>
      </c>
      <c r="C19" s="46">
        <f t="shared" si="9"/>
        <v>0</v>
      </c>
      <c r="D19" s="7">
        <v>508.7</v>
      </c>
      <c r="E19" s="7">
        <v>575.5</v>
      </c>
      <c r="F19" s="7">
        <v>530.5</v>
      </c>
      <c r="G19" s="8">
        <v>28.6</v>
      </c>
      <c r="H19" s="8">
        <v>36.299999999999997</v>
      </c>
      <c r="I19" s="8">
        <v>31.9</v>
      </c>
      <c r="M19" s="46">
        <f t="shared" si="0"/>
        <v>42.793476190440124</v>
      </c>
      <c r="N19" s="46">
        <f t="shared" si="5"/>
        <v>16</v>
      </c>
      <c r="O19" s="50">
        <f t="shared" si="1"/>
        <v>92.973784748659128</v>
      </c>
      <c r="P19" s="50">
        <f t="shared" si="2"/>
        <v>50.180308558219004</v>
      </c>
      <c r="Q19" s="50">
        <f t="shared" si="3"/>
        <v>55.751341026493392</v>
      </c>
    </row>
    <row r="20" spans="1:21">
      <c r="A20" s="78"/>
      <c r="B20" s="79"/>
      <c r="C20" s="46">
        <f t="shared" si="9"/>
        <v>1</v>
      </c>
      <c r="D20" s="7">
        <v>510.6</v>
      </c>
      <c r="E20" s="7">
        <v>577.29999999999995</v>
      </c>
      <c r="F20" s="7">
        <v>531</v>
      </c>
      <c r="G20" s="8">
        <v>33.6</v>
      </c>
      <c r="H20" s="8">
        <v>42.5</v>
      </c>
      <c r="I20" s="8">
        <v>37.4</v>
      </c>
      <c r="M20" s="46">
        <f t="shared" si="0"/>
        <v>40.728129358957894</v>
      </c>
      <c r="N20" s="46">
        <f t="shared" si="5"/>
        <v>17</v>
      </c>
      <c r="O20" s="50">
        <f t="shared" si="1"/>
        <v>90.813807533740544</v>
      </c>
      <c r="P20" s="50">
        <f t="shared" si="2"/>
        <v>50.08567817478265</v>
      </c>
      <c r="Q20" s="50">
        <f t="shared" si="3"/>
        <v>55.427276420833799</v>
      </c>
    </row>
    <row r="21" spans="1:21">
      <c r="A21" s="78"/>
      <c r="B21" s="79"/>
      <c r="C21" s="46">
        <f t="shared" si="9"/>
        <v>2</v>
      </c>
      <c r="D21" s="6">
        <f>2*(D19-D20)/(D19+D20)</f>
        <v>-3.7280486608457456E-3</v>
      </c>
      <c r="E21" s="6">
        <f t="shared" ref="E21:F21" si="11">2*(E19-E20)/(E19+E20)</f>
        <v>-3.1228313671060976E-3</v>
      </c>
      <c r="F21" s="6">
        <f t="shared" si="11"/>
        <v>-9.4206311822892137E-4</v>
      </c>
      <c r="G21" s="8">
        <v>24</v>
      </c>
      <c r="H21" s="8">
        <v>31</v>
      </c>
      <c r="I21" s="8">
        <v>26.8</v>
      </c>
      <c r="M21" s="46">
        <f t="shared" si="0"/>
        <v>38.662782527475649</v>
      </c>
      <c r="N21" s="46">
        <f t="shared" si="5"/>
        <v>18</v>
      </c>
      <c r="O21" s="50">
        <f t="shared" si="1"/>
        <v>88.653830318821946</v>
      </c>
      <c r="P21" s="50">
        <f t="shared" si="2"/>
        <v>49.991047791346297</v>
      </c>
      <c r="Q21" s="50">
        <f t="shared" si="3"/>
        <v>55.103211815174205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510.65</v>
      </c>
      <c r="E22" s="46">
        <f t="shared" ref="E22:F22" si="12">(E13+E14)/2</f>
        <v>577.5</v>
      </c>
      <c r="F22" s="46">
        <f t="shared" si="12"/>
        <v>530.9</v>
      </c>
      <c r="G22" s="5">
        <f>G13</f>
        <v>28.6</v>
      </c>
      <c r="H22" s="5">
        <f t="shared" ref="H22:I22" si="13">H13</f>
        <v>36.299999999999997</v>
      </c>
      <c r="I22" s="5">
        <f t="shared" si="13"/>
        <v>31.9</v>
      </c>
      <c r="J22" s="99">
        <f>AVERAGE(G22:I24)</f>
        <v>42.3</v>
      </c>
      <c r="M22" s="46">
        <f t="shared" si="0"/>
        <v>36.597435695993418</v>
      </c>
      <c r="N22" s="46">
        <f t="shared" si="5"/>
        <v>19</v>
      </c>
      <c r="O22" s="50">
        <f t="shared" si="1"/>
        <v>86.493853103903362</v>
      </c>
      <c r="P22" s="50">
        <f t="shared" si="2"/>
        <v>49.896417407909944</v>
      </c>
      <c r="Q22" s="50">
        <f t="shared" si="3"/>
        <v>54.779147209514619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1202</v>
      </c>
      <c r="E23" s="46">
        <f>(E16+E17)/2</f>
        <v>1211.5</v>
      </c>
      <c r="F23" s="46">
        <f>(F16+F17)/2</f>
        <v>651.5</v>
      </c>
      <c r="G23" s="5">
        <f>G16</f>
        <v>67.2</v>
      </c>
      <c r="H23" s="5">
        <f>H16</f>
        <v>75.5</v>
      </c>
      <c r="I23" s="5">
        <f>I16</f>
        <v>44.4</v>
      </c>
      <c r="J23" s="99"/>
      <c r="M23" s="46">
        <f t="shared" si="0"/>
        <v>34.532088864511188</v>
      </c>
      <c r="N23" s="46">
        <f t="shared" si="5"/>
        <v>20</v>
      </c>
      <c r="O23" s="50">
        <f t="shared" si="1"/>
        <v>84.333875888984778</v>
      </c>
      <c r="P23" s="50">
        <f t="shared" si="2"/>
        <v>49.80178702447359</v>
      </c>
      <c r="Q23" s="50">
        <f t="shared" si="3"/>
        <v>54.455082603855026</v>
      </c>
    </row>
    <row r="24" spans="1:21">
      <c r="A24" s="78"/>
      <c r="B24" s="46" t="str">
        <f>B19</f>
        <v>D65</v>
      </c>
      <c r="C24" s="79"/>
      <c r="D24" s="46">
        <f>(D19+D20)/2</f>
        <v>509.65</v>
      </c>
      <c r="E24" s="46">
        <f>(E19+E20)/2</f>
        <v>576.4</v>
      </c>
      <c r="F24" s="46">
        <f>(F19+F20)/2</f>
        <v>530.75</v>
      </c>
      <c r="G24" s="5">
        <f>G19</f>
        <v>28.6</v>
      </c>
      <c r="H24" s="5">
        <f>H19</f>
        <v>36.299999999999997</v>
      </c>
      <c r="I24" s="5">
        <f>I19</f>
        <v>31.9</v>
      </c>
      <c r="J24" s="99"/>
      <c r="M24" s="46">
        <f t="shared" si="0"/>
        <v>32.466742033028943</v>
      </c>
      <c r="N24" s="46">
        <f t="shared" si="5"/>
        <v>21</v>
      </c>
      <c r="O24" s="50">
        <f t="shared" si="1"/>
        <v>82.17389867406618</v>
      </c>
      <c r="P24" s="50">
        <f t="shared" si="2"/>
        <v>49.707156641037237</v>
      </c>
      <c r="Q24" s="50">
        <f t="shared" si="3"/>
        <v>54.131017998195432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510.65</v>
      </c>
      <c r="E25" s="46">
        <f t="shared" ref="E25:F25" si="15">(E13+E14)/2</f>
        <v>577.5</v>
      </c>
      <c r="F25" s="46">
        <f t="shared" si="15"/>
        <v>530.9</v>
      </c>
      <c r="G25" s="5">
        <f t="shared" ref="G25:I25" si="16">G14</f>
        <v>33.6</v>
      </c>
      <c r="H25" s="5">
        <f t="shared" si="16"/>
        <v>42.7</v>
      </c>
      <c r="I25" s="5">
        <f t="shared" si="16"/>
        <v>37.4</v>
      </c>
      <c r="J25" s="99">
        <f>AVERAGE(G25:I27)</f>
        <v>49.077777777777783</v>
      </c>
      <c r="M25" s="46">
        <f t="shared" si="0"/>
        <v>30.401395201546713</v>
      </c>
      <c r="N25" s="46">
        <f t="shared" si="5"/>
        <v>22</v>
      </c>
      <c r="O25" s="50">
        <f t="shared" si="1"/>
        <v>80.013921459147596</v>
      </c>
      <c r="P25" s="50">
        <f t="shared" si="2"/>
        <v>49.612526257600884</v>
      </c>
      <c r="Q25" s="50">
        <f t="shared" si="3"/>
        <v>53.806953392535846</v>
      </c>
    </row>
    <row r="26" spans="1:21">
      <c r="A26" s="78"/>
      <c r="B26" s="46" t="str">
        <f>B16</f>
        <v>CWF</v>
      </c>
      <c r="C26" s="79"/>
      <c r="D26" s="46">
        <f>(D16+D17)/2</f>
        <v>1202</v>
      </c>
      <c r="E26" s="46">
        <f>(E16+E17)/2</f>
        <v>1211.5</v>
      </c>
      <c r="F26" s="46">
        <f>(F16+F17)/2</f>
        <v>651.5</v>
      </c>
      <c r="G26" s="5">
        <f>G17</f>
        <v>76.7</v>
      </c>
      <c r="H26" s="5">
        <f>H17</f>
        <v>85.9</v>
      </c>
      <c r="I26" s="5">
        <f>I17</f>
        <v>51.9</v>
      </c>
      <c r="J26" s="99"/>
      <c r="M26" s="46">
        <f t="shared" si="0"/>
        <v>28.336048370064482</v>
      </c>
      <c r="N26" s="46">
        <f t="shared" si="5"/>
        <v>23</v>
      </c>
      <c r="O26" s="50">
        <f t="shared" si="1"/>
        <v>77.853944244229012</v>
      </c>
      <c r="P26" s="50">
        <f t="shared" si="2"/>
        <v>49.51789587416453</v>
      </c>
      <c r="Q26" s="50">
        <f t="shared" si="3"/>
        <v>53.482888786876252</v>
      </c>
    </row>
    <row r="27" spans="1:21">
      <c r="A27" s="78"/>
      <c r="B27" s="46" t="str">
        <f>B19</f>
        <v>D65</v>
      </c>
      <c r="C27" s="79"/>
      <c r="D27" s="46">
        <f>(D19+D20)/2</f>
        <v>509.65</v>
      </c>
      <c r="E27" s="46">
        <f>(E19+E20)/2</f>
        <v>576.4</v>
      </c>
      <c r="F27" s="46">
        <f>(F19+F20)/2</f>
        <v>530.75</v>
      </c>
      <c r="G27" s="5">
        <f>G20</f>
        <v>33.6</v>
      </c>
      <c r="H27" s="5">
        <f>H20</f>
        <v>42.5</v>
      </c>
      <c r="I27" s="5">
        <f>I20</f>
        <v>37.4</v>
      </c>
      <c r="J27" s="99"/>
      <c r="M27" s="46">
        <f t="shared" si="0"/>
        <v>26.270701538582237</v>
      </c>
      <c r="N27" s="46">
        <f t="shared" si="5"/>
        <v>24</v>
      </c>
      <c r="O27" s="50">
        <f t="shared" si="1"/>
        <v>75.693967029310414</v>
      </c>
      <c r="P27" s="50">
        <f t="shared" si="2"/>
        <v>49.423265490728177</v>
      </c>
      <c r="Q27" s="50">
        <f t="shared" si="3"/>
        <v>53.158824181216666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510.65</v>
      </c>
      <c r="E28" s="46">
        <f t="shared" ref="E28:F28" si="17">(E13+E14)/2</f>
        <v>577.5</v>
      </c>
      <c r="F28" s="46">
        <f t="shared" si="17"/>
        <v>530.9</v>
      </c>
      <c r="G28" s="5">
        <f t="shared" ref="G28:I28" si="18">G15</f>
        <v>24.1</v>
      </c>
      <c r="H28" s="5">
        <f t="shared" si="18"/>
        <v>31</v>
      </c>
      <c r="I28" s="5">
        <f t="shared" si="18"/>
        <v>26.8</v>
      </c>
      <c r="J28" s="99">
        <f>AVERAGE(G28:I30)</f>
        <v>35.544444444444451</v>
      </c>
      <c r="M28" s="46">
        <f t="shared" si="0"/>
        <v>24.205354707100007</v>
      </c>
      <c r="N28" s="46">
        <f t="shared" si="5"/>
        <v>25</v>
      </c>
      <c r="O28" s="50">
        <f t="shared" si="1"/>
        <v>73.53398981439183</v>
      </c>
      <c r="P28" s="50">
        <f t="shared" si="2"/>
        <v>49.328635107291824</v>
      </c>
      <c r="Q28" s="50">
        <f t="shared" si="3"/>
        <v>52.834759575557072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1202</v>
      </c>
      <c r="E29" s="46">
        <f t="shared" si="20"/>
        <v>1211.5</v>
      </c>
      <c r="F29" s="46">
        <f t="shared" si="20"/>
        <v>651.5</v>
      </c>
      <c r="G29" s="5">
        <f t="shared" ref="G29:I29" si="21">G18</f>
        <v>56.1</v>
      </c>
      <c r="H29" s="5">
        <f t="shared" si="21"/>
        <v>61.2</v>
      </c>
      <c r="I29" s="5">
        <f t="shared" si="21"/>
        <v>38.9</v>
      </c>
      <c r="J29" s="99"/>
      <c r="M29" s="46">
        <f t="shared" si="0"/>
        <v>22.140007875617776</v>
      </c>
      <c r="N29" s="46">
        <f t="shared" si="5"/>
        <v>26</v>
      </c>
      <c r="O29" s="50">
        <f t="shared" si="1"/>
        <v>71.374012599473247</v>
      </c>
      <c r="P29" s="50">
        <f t="shared" si="2"/>
        <v>49.23400472385547</v>
      </c>
      <c r="Q29" s="50">
        <f t="shared" si="3"/>
        <v>52.510694969897486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509.65</v>
      </c>
      <c r="E30" s="46">
        <f t="shared" si="23"/>
        <v>576.4</v>
      </c>
      <c r="F30" s="46">
        <f t="shared" si="23"/>
        <v>530.75</v>
      </c>
      <c r="G30" s="5">
        <f t="shared" ref="G30:I30" si="24">G21</f>
        <v>24</v>
      </c>
      <c r="H30" s="5">
        <f t="shared" si="24"/>
        <v>31</v>
      </c>
      <c r="I30" s="5">
        <f t="shared" si="24"/>
        <v>26.8</v>
      </c>
      <c r="J30" s="99"/>
      <c r="M30" s="46">
        <f t="shared" si="0"/>
        <v>20.074661044135532</v>
      </c>
      <c r="N30" s="46">
        <f t="shared" si="5"/>
        <v>27</v>
      </c>
      <c r="O30" s="50">
        <f t="shared" si="1"/>
        <v>69.214035384554649</v>
      </c>
      <c r="P30" s="50">
        <f t="shared" si="2"/>
        <v>49.139374340419117</v>
      </c>
      <c r="Q30" s="50">
        <f t="shared" si="3"/>
        <v>52.186630364237892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510.65</v>
      </c>
      <c r="E31" s="46">
        <f t="shared" si="25"/>
        <v>577.5</v>
      </c>
      <c r="F31" s="46">
        <f t="shared" si="25"/>
        <v>530.9</v>
      </c>
      <c r="G31" s="5">
        <f t="shared" ref="G31:I33" si="26">G22*$J$31</f>
        <v>28.6</v>
      </c>
      <c r="H31" s="5">
        <f t="shared" si="26"/>
        <v>36.299999999999997</v>
      </c>
      <c r="I31" s="5">
        <f t="shared" si="26"/>
        <v>31.9</v>
      </c>
      <c r="J31" s="96">
        <f>J$22/J22</f>
        <v>1</v>
      </c>
      <c r="M31" s="46">
        <f t="shared" si="0"/>
        <v>18.009314212653301</v>
      </c>
      <c r="N31" s="46">
        <f t="shared" si="5"/>
        <v>28</v>
      </c>
      <c r="O31" s="50">
        <f t="shared" si="1"/>
        <v>67.054058169636065</v>
      </c>
      <c r="P31" s="50">
        <f t="shared" si="2"/>
        <v>49.044743956982764</v>
      </c>
      <c r="Q31" s="50">
        <f t="shared" si="3"/>
        <v>51.862565758578299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1202</v>
      </c>
      <c r="E32" s="46">
        <f t="shared" si="27"/>
        <v>1211.5</v>
      </c>
      <c r="F32" s="46">
        <f t="shared" si="27"/>
        <v>651.5</v>
      </c>
      <c r="G32" s="5">
        <f t="shared" si="26"/>
        <v>67.2</v>
      </c>
      <c r="H32" s="5">
        <f t="shared" si="26"/>
        <v>75.5</v>
      </c>
      <c r="I32" s="5">
        <f t="shared" si="26"/>
        <v>44.4</v>
      </c>
      <c r="J32" s="96"/>
      <c r="M32" s="46">
        <f t="shared" si="0"/>
        <v>15.94396738117107</v>
      </c>
      <c r="N32" s="46">
        <f t="shared" si="5"/>
        <v>29</v>
      </c>
      <c r="O32" s="50">
        <f t="shared" si="1"/>
        <v>64.894080954717481</v>
      </c>
      <c r="P32" s="50">
        <f t="shared" si="2"/>
        <v>48.95011357354641</v>
      </c>
      <c r="Q32" s="50">
        <f t="shared" si="3"/>
        <v>51.538501152918712</v>
      </c>
    </row>
    <row r="33" spans="1:17">
      <c r="A33" s="78"/>
      <c r="B33" s="46" t="str">
        <f t="shared" si="27"/>
        <v>D65</v>
      </c>
      <c r="C33" s="79"/>
      <c r="D33" s="46">
        <f t="shared" si="27"/>
        <v>509.65</v>
      </c>
      <c r="E33" s="46">
        <f t="shared" si="27"/>
        <v>576.4</v>
      </c>
      <c r="F33" s="46">
        <f t="shared" si="27"/>
        <v>530.75</v>
      </c>
      <c r="G33" s="5">
        <f t="shared" si="26"/>
        <v>28.6</v>
      </c>
      <c r="H33" s="5">
        <f t="shared" si="26"/>
        <v>36.299999999999997</v>
      </c>
      <c r="I33" s="5">
        <f t="shared" si="26"/>
        <v>31.9</v>
      </c>
      <c r="J33" s="96"/>
      <c r="M33" s="46">
        <f t="shared" si="0"/>
        <v>13.87862054968884</v>
      </c>
      <c r="N33" s="46">
        <f t="shared" si="5"/>
        <v>30</v>
      </c>
      <c r="O33" s="50">
        <f t="shared" si="1"/>
        <v>62.734103739798897</v>
      </c>
      <c r="P33" s="50">
        <f t="shared" si="2"/>
        <v>48.855483190110057</v>
      </c>
      <c r="Q33" s="50">
        <f t="shared" si="3"/>
        <v>51.214436547259119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510.65</v>
      </c>
      <c r="E34" s="46">
        <f t="shared" si="27"/>
        <v>577.5</v>
      </c>
      <c r="F34" s="46">
        <f t="shared" si="27"/>
        <v>530.9</v>
      </c>
      <c r="G34" s="5">
        <f t="shared" ref="G34:I36" si="28">G25*$J$34</f>
        <v>28.959746434231374</v>
      </c>
      <c r="H34" s="5">
        <f t="shared" si="28"/>
        <v>36.80301109350237</v>
      </c>
      <c r="I34" s="5">
        <f t="shared" si="28"/>
        <v>32.234955852388488</v>
      </c>
      <c r="J34" s="96">
        <f>J$22/J25</f>
        <v>0.86189721530450514</v>
      </c>
      <c r="M34" s="46">
        <f t="shared" si="0"/>
        <v>11.813273718206595</v>
      </c>
      <c r="N34" s="46">
        <f t="shared" si="5"/>
        <v>31</v>
      </c>
      <c r="O34" s="50">
        <f t="shared" si="1"/>
        <v>60.574126524880299</v>
      </c>
      <c r="P34" s="50">
        <f t="shared" si="2"/>
        <v>48.760852806673704</v>
      </c>
      <c r="Q34" s="50">
        <f t="shared" si="3"/>
        <v>50.890371941599525</v>
      </c>
    </row>
    <row r="35" spans="1:17">
      <c r="A35" s="78"/>
      <c r="B35" s="46" t="str">
        <f t="shared" si="27"/>
        <v>CWF</v>
      </c>
      <c r="C35" s="79"/>
      <c r="D35" s="46">
        <f t="shared" si="27"/>
        <v>1202</v>
      </c>
      <c r="E35" s="46">
        <f t="shared" si="27"/>
        <v>1211.5</v>
      </c>
      <c r="F35" s="46">
        <f t="shared" si="27"/>
        <v>651.5</v>
      </c>
      <c r="G35" s="5">
        <f t="shared" si="28"/>
        <v>66.107516413855549</v>
      </c>
      <c r="H35" s="5">
        <f t="shared" si="28"/>
        <v>74.036970794656995</v>
      </c>
      <c r="I35" s="5">
        <f t="shared" si="28"/>
        <v>44.732465474303815</v>
      </c>
      <c r="J35" s="96"/>
      <c r="M35" s="46">
        <f t="shared" si="0"/>
        <v>9.7479268867243647</v>
      </c>
      <c r="N35" s="46">
        <f t="shared" si="5"/>
        <v>32</v>
      </c>
      <c r="O35" s="50">
        <f t="shared" si="1"/>
        <v>58.414149309961715</v>
      </c>
      <c r="P35" s="50">
        <f t="shared" si="2"/>
        <v>48.66622242323735</v>
      </c>
      <c r="Q35" s="50">
        <f t="shared" si="3"/>
        <v>50.566307335939939</v>
      </c>
    </row>
    <row r="36" spans="1:17">
      <c r="A36" s="78"/>
      <c r="B36" s="46" t="str">
        <f t="shared" si="27"/>
        <v>D65</v>
      </c>
      <c r="C36" s="79"/>
      <c r="D36" s="46">
        <f t="shared" si="27"/>
        <v>509.65</v>
      </c>
      <c r="E36" s="46">
        <f t="shared" si="27"/>
        <v>576.4</v>
      </c>
      <c r="F36" s="46">
        <f t="shared" si="27"/>
        <v>530.75</v>
      </c>
      <c r="G36" s="5">
        <f t="shared" si="28"/>
        <v>28.959746434231374</v>
      </c>
      <c r="H36" s="5">
        <f t="shared" si="28"/>
        <v>36.630631650441465</v>
      </c>
      <c r="I36" s="5">
        <f t="shared" si="28"/>
        <v>32.234955852388488</v>
      </c>
      <c r="J36" s="96"/>
      <c r="M36" s="46">
        <f t="shared" si="0"/>
        <v>7.6825800552421413</v>
      </c>
      <c r="N36" s="46">
        <f t="shared" si="5"/>
        <v>33</v>
      </c>
      <c r="O36" s="50">
        <f t="shared" si="1"/>
        <v>56.254172095043131</v>
      </c>
      <c r="P36" s="50">
        <f t="shared" si="2"/>
        <v>48.57159203980099</v>
      </c>
      <c r="Q36" s="50">
        <f t="shared" si="3"/>
        <v>50.242242730280353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510.65</v>
      </c>
      <c r="E37" s="46">
        <f t="shared" si="27"/>
        <v>577.5</v>
      </c>
      <c r="F37" s="46">
        <f t="shared" si="27"/>
        <v>530.9</v>
      </c>
      <c r="G37" s="5">
        <f t="shared" ref="G37:I39" si="29">G28*$J$37</f>
        <v>28.680431384807747</v>
      </c>
      <c r="H37" s="5">
        <f t="shared" si="29"/>
        <v>36.891841200375104</v>
      </c>
      <c r="I37" s="5">
        <f t="shared" si="29"/>
        <v>31.893591747421059</v>
      </c>
      <c r="J37" s="96">
        <f>J$22/J28</f>
        <v>1.1900593935604873</v>
      </c>
      <c r="K37" s="51" t="str">
        <f>CHAR(34) &amp; "EEpromVersion" &amp;CHAR(34)  &amp; ",3,"</f>
        <v>"EEpromVersion",3,</v>
      </c>
      <c r="M37" s="46">
        <f t="shared" si="0"/>
        <v>5.6172332237598965</v>
      </c>
      <c r="N37" s="46">
        <f t="shared" si="5"/>
        <v>34</v>
      </c>
      <c r="O37" s="50">
        <f t="shared" si="1"/>
        <v>54.094194880124533</v>
      </c>
      <c r="P37" s="50">
        <f t="shared" si="2"/>
        <v>48.476961656364637</v>
      </c>
      <c r="Q37" s="50">
        <f t="shared" si="3"/>
        <v>49.918178124620759</v>
      </c>
    </row>
    <row r="38" spans="1:17">
      <c r="A38" s="78"/>
      <c r="B38" s="46" t="str">
        <f t="shared" si="27"/>
        <v>CWF</v>
      </c>
      <c r="C38" s="79"/>
      <c r="D38" s="46">
        <f t="shared" si="27"/>
        <v>1202</v>
      </c>
      <c r="E38" s="46">
        <f t="shared" si="27"/>
        <v>1211.5</v>
      </c>
      <c r="F38" s="46">
        <f t="shared" si="27"/>
        <v>651.5</v>
      </c>
      <c r="G38" s="5">
        <f t="shared" si="29"/>
        <v>66.762331978743333</v>
      </c>
      <c r="H38" s="5">
        <f t="shared" si="29"/>
        <v>72.831634885901821</v>
      </c>
      <c r="I38" s="5">
        <f t="shared" si="29"/>
        <v>46.293310409502951</v>
      </c>
      <c r="J38" s="96"/>
      <c r="K38" s="52" t="str">
        <f>K4</f>
        <v>"Compensation",37,</v>
      </c>
      <c r="M38" s="46">
        <f t="shared" si="0"/>
        <v>3.551886392277666</v>
      </c>
      <c r="N38" s="46">
        <f t="shared" si="5"/>
        <v>35</v>
      </c>
      <c r="O38" s="50">
        <f t="shared" si="1"/>
        <v>51.934217665205949</v>
      </c>
      <c r="P38" s="50">
        <f t="shared" si="2"/>
        <v>48.382331272928283</v>
      </c>
      <c r="Q38" s="50">
        <f t="shared" si="3"/>
        <v>49.594113518961166</v>
      </c>
    </row>
    <row r="39" spans="1:17">
      <c r="A39" s="78"/>
      <c r="B39" s="46" t="str">
        <f t="shared" si="27"/>
        <v>D65</v>
      </c>
      <c r="C39" s="79"/>
      <c r="D39" s="46">
        <f t="shared" si="27"/>
        <v>509.65</v>
      </c>
      <c r="E39" s="46">
        <f t="shared" si="27"/>
        <v>576.4</v>
      </c>
      <c r="F39" s="46">
        <f t="shared" si="27"/>
        <v>530.75</v>
      </c>
      <c r="G39" s="5">
        <f t="shared" si="29"/>
        <v>28.561425445451697</v>
      </c>
      <c r="H39" s="5">
        <f t="shared" si="29"/>
        <v>36.891841200375104</v>
      </c>
      <c r="I39" s="5">
        <f t="shared" si="29"/>
        <v>31.893591747421059</v>
      </c>
      <c r="J39" s="96"/>
      <c r="K39" s="53" t="str">
        <f>linefmt("CardGain",J42,J45,J48)</f>
        <v>"CardGain",16.35469,6.381271,7.309588,</v>
      </c>
      <c r="M39" s="46">
        <f t="shared" si="0"/>
        <v>1.4865395607954355</v>
      </c>
      <c r="N39" s="46">
        <f t="shared" si="5"/>
        <v>36</v>
      </c>
      <c r="O39" s="50">
        <f t="shared" si="1"/>
        <v>49.774240450287365</v>
      </c>
      <c r="P39" s="50">
        <f t="shared" si="2"/>
        <v>48.28770088949193</v>
      </c>
      <c r="Q39" s="50">
        <f t="shared" si="3"/>
        <v>49.270048913301579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"Range",1,0.8618972,1.190059,</v>
      </c>
      <c r="M40" s="46">
        <f t="shared" si="0"/>
        <v>1.3317210722732185</v>
      </c>
      <c r="N40" s="46">
        <f t="shared" si="5"/>
        <v>37</v>
      </c>
      <c r="O40" s="50">
        <f t="shared" si="1"/>
        <v>47.614263235368767</v>
      </c>
      <c r="P40" s="50">
        <f t="shared" si="2"/>
        <v>48.193070506055577</v>
      </c>
      <c r="Q40" s="50">
        <f t="shared" si="3"/>
        <v>48.945984307641986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3.1676336815322088</v>
      </c>
      <c r="N41" s="46">
        <f t="shared" si="5"/>
        <v>38</v>
      </c>
      <c r="O41" s="50">
        <f t="shared" si="1"/>
        <v>45.454286020450184</v>
      </c>
      <c r="P41" s="50">
        <f t="shared" si="2"/>
        <v>48.098440122619223</v>
      </c>
      <c r="Q41" s="50">
        <f t="shared" si="3"/>
        <v>48.621919701982392</v>
      </c>
    </row>
    <row r="42" spans="1:17">
      <c r="A42" s="4"/>
      <c r="B42" s="46" t="s">
        <v>3</v>
      </c>
      <c r="C42" s="79">
        <f>C31</f>
        <v>0</v>
      </c>
      <c r="D42" s="46">
        <f>I42/$H$43</f>
        <v>0</v>
      </c>
      <c r="E42" s="46">
        <f>H42/$H$43</f>
        <v>1.2043603087272947</v>
      </c>
      <c r="F42" s="46">
        <f>G42/$H$43</f>
        <v>-0.39264535577543647</v>
      </c>
      <c r="G42" s="46">
        <f t="array" ref="G42:I42">LINEST($D31:$D33,$G31:$I33,FALSE)</f>
        <v>-6.4215920073299539</v>
      </c>
      <c r="H42" s="46">
        <v>19.696936226827155</v>
      </c>
      <c r="I42" s="46">
        <v>0</v>
      </c>
      <c r="J42" s="97">
        <f>H43</f>
        <v>16.354687284274465</v>
      </c>
      <c r="K42" s="53" t="str">
        <f t="shared" ref="K42:K50" si="30">linefmt("",D42,E42,F42)</f>
        <v>0,1.20436,-0.3926454,</v>
      </c>
      <c r="M42" s="46">
        <f t="shared" si="0"/>
        <v>5.0035462907912063</v>
      </c>
      <c r="N42" s="46">
        <f t="shared" si="5"/>
        <v>39</v>
      </c>
      <c r="O42" s="50">
        <f t="shared" si="1"/>
        <v>43.2943088055316</v>
      </c>
      <c r="P42" s="50">
        <f t="shared" si="2"/>
        <v>48.00380973918287</v>
      </c>
      <c r="Q42" s="50">
        <f t="shared" si="3"/>
        <v>48.297855096322806</v>
      </c>
    </row>
    <row r="43" spans="1:17">
      <c r="A43" s="4"/>
      <c r="B43" s="46" t="s">
        <v>4</v>
      </c>
      <c r="C43" s="79"/>
      <c r="D43" s="46">
        <f>I43/$H$43</f>
        <v>0</v>
      </c>
      <c r="E43" s="46">
        <f>H43/$H$43</f>
        <v>1</v>
      </c>
      <c r="F43" s="46">
        <f>G43/$H$43</f>
        <v>-3.2058046379698335E-2</v>
      </c>
      <c r="G43" s="46">
        <f t="array" ref="G43:I43">LINEST($E31:$E33,$G31:$I33,FALSE)</f>
        <v>-0.5242993234847334</v>
      </c>
      <c r="H43" s="46">
        <v>16.354687284274465</v>
      </c>
      <c r="I43" s="46">
        <v>0</v>
      </c>
      <c r="J43" s="97"/>
      <c r="K43" s="53" t="str">
        <f t="shared" si="30"/>
        <v>0,1,-3.205805E-02,</v>
      </c>
      <c r="M43" s="46">
        <f t="shared" si="0"/>
        <v>6.8394589000501966</v>
      </c>
      <c r="N43" s="46">
        <f t="shared" si="5"/>
        <v>40</v>
      </c>
      <c r="O43" s="50">
        <f t="shared" si="1"/>
        <v>41.134331590613016</v>
      </c>
      <c r="P43" s="50">
        <f t="shared" si="2"/>
        <v>47.909179355746517</v>
      </c>
      <c r="Q43" s="50">
        <f t="shared" si="3"/>
        <v>47.973790490663212</v>
      </c>
    </row>
    <row r="44" spans="1:17">
      <c r="A44" s="4"/>
      <c r="B44" s="46" t="s">
        <v>5</v>
      </c>
      <c r="C44" s="79"/>
      <c r="D44" s="46">
        <f>I44/$H$43</f>
        <v>0</v>
      </c>
      <c r="E44" s="46">
        <f>H44/$H$43</f>
        <v>-0.21379296054494643</v>
      </c>
      <c r="F44" s="46">
        <f>G44/$H$43</f>
        <v>1.2607442132818432</v>
      </c>
      <c r="G44" s="46">
        <f t="array" ref="G44:I44">LINEST($F$31:$F$33,$G31:$I33,FALSE)</f>
        <v>20.619077353683174</v>
      </c>
      <c r="H44" s="46">
        <v>-3.496517013291828</v>
      </c>
      <c r="I44" s="46">
        <v>0</v>
      </c>
      <c r="J44" s="97"/>
      <c r="K44" s="53" t="str">
        <f t="shared" si="30"/>
        <v>0,-0.213793,1.260744,</v>
      </c>
      <c r="M44" s="46">
        <f t="shared" si="0"/>
        <v>8.8401945966157456</v>
      </c>
      <c r="N44" s="46">
        <f t="shared" si="5"/>
        <v>41</v>
      </c>
      <c r="O44" s="50">
        <f t="shared" si="1"/>
        <v>38.974354375694418</v>
      </c>
      <c r="P44" s="50">
        <f t="shared" si="2"/>
        <v>47.814548972310163</v>
      </c>
      <c r="Q44" s="50">
        <f t="shared" si="3"/>
        <v>47.649725885003626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2.1773783678499155</v>
      </c>
      <c r="E45" s="46">
        <f>H45/$H$46</f>
        <v>0.90909090909100521</v>
      </c>
      <c r="F45" s="46">
        <f>G45/$H$46</f>
        <v>-0.51156792600158141</v>
      </c>
      <c r="G45" s="46">
        <f t="array" ref="G45:I45">LINEST($D34:$D36,$G34:$I36,FALSE)</f>
        <v>-3.2644537458144156</v>
      </c>
      <c r="H45" s="46">
        <v>5.8011557656935482</v>
      </c>
      <c r="I45" s="46">
        <v>13.89444218002237</v>
      </c>
      <c r="J45" s="97">
        <f>H46</f>
        <v>6.3812713422622283</v>
      </c>
      <c r="K45" s="53" t="str">
        <f t="shared" si="30"/>
        <v>2.177378,0.9090909,-0.511568,</v>
      </c>
      <c r="M45" s="46">
        <f t="shared" si="0"/>
        <v>10.905541428097976</v>
      </c>
      <c r="N45" s="46">
        <f t="shared" si="5"/>
        <v>42</v>
      </c>
      <c r="O45" s="50">
        <f t="shared" si="1"/>
        <v>36.814377160775834</v>
      </c>
      <c r="P45" s="50">
        <f t="shared" si="2"/>
        <v>47.71991858887381</v>
      </c>
      <c r="Q45" s="50">
        <f t="shared" si="3"/>
        <v>47.325661279344033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1.5934082543529051</v>
      </c>
      <c r="E46" s="46">
        <f>H46/$H$46</f>
        <v>1</v>
      </c>
      <c r="F46" s="46">
        <f>G46/$H$46</f>
        <v>0.2342642420795614</v>
      </c>
      <c r="G46" s="46">
        <f t="array" ref="G46:I46">LINEST($E34:$E36,$G34:$I36,FALSE)</f>
        <v>1.4949036944990863</v>
      </c>
      <c r="H46" s="46">
        <v>6.3812713422622283</v>
      </c>
      <c r="I46" s="46">
        <v>10.167970430026276</v>
      </c>
      <c r="J46" s="97"/>
      <c r="K46" s="53" t="str">
        <f t="shared" si="30"/>
        <v>1.593408,1,0.2342642,</v>
      </c>
      <c r="M46" s="46">
        <f t="shared" si="0"/>
        <v>12.970888259580207</v>
      </c>
      <c r="N46" s="46">
        <f t="shared" si="5"/>
        <v>43</v>
      </c>
      <c r="O46" s="50">
        <f t="shared" si="1"/>
        <v>34.65439994585725</v>
      </c>
      <c r="P46" s="50">
        <f t="shared" si="2"/>
        <v>47.625288205437457</v>
      </c>
      <c r="Q46" s="50">
        <f t="shared" si="3"/>
        <v>47.001596673684446</v>
      </c>
    </row>
    <row r="47" spans="1:17">
      <c r="A47" s="4"/>
      <c r="B47" s="46" t="str">
        <f t="shared" si="31"/>
        <v>Z</v>
      </c>
      <c r="C47" s="79"/>
      <c r="D47" s="46">
        <f>I47/$H$46</f>
        <v>-0.63610781966609065</v>
      </c>
      <c r="E47" s="46">
        <f>H47/$H$46</f>
        <v>0.13636363636378174</v>
      </c>
      <c r="F47" s="46">
        <f>G47/$H$46</f>
        <v>2.9967317699291591</v>
      </c>
      <c r="G47" s="46">
        <f t="array" ref="G47:I47">LINEST($F$31:$F$33,$G34:$I36,FALSE)</f>
        <v>19.122958563895708</v>
      </c>
      <c r="H47" s="46">
        <v>0.87017336485486796</v>
      </c>
      <c r="I47" s="46">
        <v>-4.0591766002241334</v>
      </c>
      <c r="J47" s="97"/>
      <c r="K47" s="53" t="str">
        <f t="shared" si="30"/>
        <v>-0.6361078,0.1363636,2.996732,</v>
      </c>
      <c r="M47" s="46">
        <f t="shared" si="0"/>
        <v>15.036235091062451</v>
      </c>
      <c r="N47" s="46">
        <f t="shared" si="5"/>
        <v>44</v>
      </c>
      <c r="O47" s="50">
        <f t="shared" si="1"/>
        <v>32.494422730938652</v>
      </c>
      <c r="P47" s="50">
        <f t="shared" si="2"/>
        <v>47.530657822001103</v>
      </c>
      <c r="Q47" s="50">
        <f t="shared" si="3"/>
        <v>46.677532068024853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1.1495780344985689</v>
      </c>
      <c r="E48" s="46">
        <f>H48/$H$49</f>
        <v>1.7708295831173853</v>
      </c>
      <c r="F48" s="46">
        <f>G48/$H$49</f>
        <v>-0.89169199165611013</v>
      </c>
      <c r="G48" s="46">
        <f t="array" ref="G48:I48">LINEST($D37:$D39,$G37:$I39,FALSE)</f>
        <v>-6.5179011928314869</v>
      </c>
      <c r="H48" s="46">
        <v>12.944034891089851</v>
      </c>
      <c r="I48" s="46">
        <v>8.4029419490410593</v>
      </c>
      <c r="J48" s="97">
        <f>H49</f>
        <v>7.3095881243993279</v>
      </c>
      <c r="K48" s="53" t="str">
        <f t="shared" si="30"/>
        <v>1.149578,1.77083,-0.891692,</v>
      </c>
      <c r="M48" s="46">
        <f t="shared" si="0"/>
        <v>17.101581922544682</v>
      </c>
      <c r="N48" s="46">
        <f t="shared" si="5"/>
        <v>45</v>
      </c>
      <c r="O48" s="50">
        <f t="shared" si="1"/>
        <v>30.334445516020068</v>
      </c>
      <c r="P48" s="50">
        <f t="shared" si="2"/>
        <v>47.43602743856475</v>
      </c>
      <c r="Q48" s="50">
        <f t="shared" si="3"/>
        <v>46.353467462365259</v>
      </c>
    </row>
    <row r="49" spans="1:24">
      <c r="A49" s="4"/>
      <c r="B49" s="46" t="str">
        <f t="shared" si="31"/>
        <v>Y</v>
      </c>
      <c r="C49" s="79"/>
      <c r="D49" s="46">
        <f>I49/$H$49</f>
        <v>1.2645358379485425</v>
      </c>
      <c r="E49" s="46">
        <f>H49/$H$49</f>
        <v>1</v>
      </c>
      <c r="F49" s="46">
        <f>G49/$H$49</f>
        <v>0.18331409693037093</v>
      </c>
      <c r="G49" s="46">
        <f t="array" ref="G49:I49">LINEST($E37:$E39,$G37:$I39,FALSE)</f>
        <v>1.3399505459572267</v>
      </c>
      <c r="H49" s="46">
        <v>7.3095881243993279</v>
      </c>
      <c r="I49" s="46">
        <v>9.2432361439460191</v>
      </c>
      <c r="J49" s="97"/>
      <c r="K49" s="53" t="str">
        <f t="shared" si="30"/>
        <v>1.264536,1,0.1833141,</v>
      </c>
      <c r="M49" s="46">
        <f t="shared" si="0"/>
        <v>19.166928754026912</v>
      </c>
      <c r="N49" s="46">
        <f t="shared" si="5"/>
        <v>46</v>
      </c>
      <c r="O49" s="50">
        <f t="shared" si="1"/>
        <v>28.174468301101484</v>
      </c>
      <c r="P49" s="50">
        <f t="shared" si="2"/>
        <v>47.341397055128397</v>
      </c>
      <c r="Q49" s="50">
        <f t="shared" si="3"/>
        <v>46.029402856705673</v>
      </c>
    </row>
    <row r="50" spans="1:24">
      <c r="A50" s="4"/>
      <c r="B50" s="46" t="str">
        <f t="shared" si="31"/>
        <v>Z</v>
      </c>
      <c r="C50" s="79"/>
      <c r="D50" s="46">
        <f>I50/$H$49</f>
        <v>0.17243670517514517</v>
      </c>
      <c r="E50" s="46">
        <f>H50/$H$49</f>
        <v>-1.0696838700119213</v>
      </c>
      <c r="F50" s="46">
        <f>G50/$H$49</f>
        <v>3.3595363144469759</v>
      </c>
      <c r="G50" s="46">
        <f t="array" ref="G50:I50">LINEST($F$31:$F$33,$G37:$I39,FALSE)</f>
        <v>24.5568267475699</v>
      </c>
      <c r="H50" s="46">
        <v>-7.8189485131006551</v>
      </c>
      <c r="I50" s="46">
        <v>1.2604412923587893</v>
      </c>
      <c r="J50" s="97"/>
      <c r="K50" s="54" t="str">
        <f t="shared" si="30"/>
        <v>0.1724367,-1.069684,3.359536,</v>
      </c>
      <c r="M50" s="46">
        <f t="shared" si="0"/>
        <v>21.232275585509157</v>
      </c>
      <c r="N50" s="46">
        <f t="shared" si="5"/>
        <v>47</v>
      </c>
      <c r="O50" s="50">
        <f t="shared" si="1"/>
        <v>26.014491086182886</v>
      </c>
      <c r="P50" s="50">
        <f t="shared" si="2"/>
        <v>47.246766671692043</v>
      </c>
      <c r="Q50" s="50">
        <f t="shared" si="3"/>
        <v>45.705338251046079</v>
      </c>
    </row>
    <row r="51" spans="1:24">
      <c r="B51" s="46" t="str">
        <f t="shared" si="31"/>
        <v>X</v>
      </c>
      <c r="C51" s="79" t="s">
        <v>28</v>
      </c>
      <c r="D51" s="46">
        <f>(D42+D45+D48)/3</f>
        <v>1.1089854674494948</v>
      </c>
      <c r="E51" s="46">
        <f t="shared" ref="E51:F51" si="32">(E42+E45+E48)/3</f>
        <v>1.2947602669785618</v>
      </c>
      <c r="F51" s="46">
        <f t="shared" si="32"/>
        <v>-0.59863509114437596</v>
      </c>
      <c r="J51" s="97">
        <f>(J42+J45+J48)/3</f>
        <v>10.015182250312007</v>
      </c>
      <c r="M51" s="46">
        <f t="shared" si="0"/>
        <v>23.297622416991388</v>
      </c>
      <c r="N51" s="46">
        <f t="shared" si="5"/>
        <v>48</v>
      </c>
      <c r="O51" s="50">
        <f t="shared" si="1"/>
        <v>23.854513871264302</v>
      </c>
      <c r="P51" s="50">
        <f t="shared" si="2"/>
        <v>47.15213628825569</v>
      </c>
      <c r="Q51" s="50">
        <f t="shared" si="3"/>
        <v>45.381273645386486</v>
      </c>
    </row>
    <row r="52" spans="1:24">
      <c r="B52" s="46" t="str">
        <f t="shared" si="31"/>
        <v>Y</v>
      </c>
      <c r="C52" s="79"/>
      <c r="D52" s="46">
        <f t="shared" ref="D52:F53" si="33">(D43+D46+D49)/3</f>
        <v>0.95264803076714921</v>
      </c>
      <c r="E52" s="46">
        <f t="shared" si="33"/>
        <v>1</v>
      </c>
      <c r="F52" s="46">
        <f t="shared" si="33"/>
        <v>0.12850676421007801</v>
      </c>
      <c r="J52" s="97"/>
      <c r="M52" s="46">
        <f t="shared" si="0"/>
        <v>25.362969248473618</v>
      </c>
      <c r="N52" s="46">
        <f t="shared" si="5"/>
        <v>49</v>
      </c>
      <c r="O52" s="50">
        <f t="shared" si="1"/>
        <v>21.694536656345718</v>
      </c>
      <c r="P52" s="50">
        <f t="shared" si="2"/>
        <v>47.057505904819337</v>
      </c>
      <c r="Q52" s="50">
        <f t="shared" si="3"/>
        <v>45.057209039726899</v>
      </c>
    </row>
    <row r="53" spans="1:24" ht="15.75" thickBot="1">
      <c r="B53" s="46" t="str">
        <f t="shared" si="31"/>
        <v>Z</v>
      </c>
      <c r="C53" s="79"/>
      <c r="D53" s="46">
        <f t="shared" si="33"/>
        <v>-0.15455703816364849</v>
      </c>
      <c r="E53" s="46">
        <f t="shared" si="33"/>
        <v>-0.38237106473102872</v>
      </c>
      <c r="F53" s="46">
        <f t="shared" si="33"/>
        <v>2.5390040992193259</v>
      </c>
      <c r="J53" s="100"/>
      <c r="M53" s="46">
        <f t="shared" si="0"/>
        <v>27.428316079955863</v>
      </c>
      <c r="N53" s="46">
        <f t="shared" si="5"/>
        <v>50</v>
      </c>
      <c r="O53" s="50">
        <f t="shared" si="1"/>
        <v>19.53455944142712</v>
      </c>
      <c r="P53" s="50">
        <f t="shared" si="2"/>
        <v>46.962875521382983</v>
      </c>
      <c r="Q53" s="50">
        <f t="shared" si="3"/>
        <v>44.733144434067313</v>
      </c>
    </row>
    <row r="54" spans="1:24">
      <c r="B54" s="79" t="s">
        <v>14</v>
      </c>
      <c r="C54" s="79"/>
      <c r="D54" s="19">
        <f>I54/$H$55</f>
        <v>7.1861777566764884</v>
      </c>
      <c r="E54" s="20">
        <f>H54/$H$55</f>
        <v>-0.16818805075909757</v>
      </c>
      <c r="F54" s="21">
        <f>G54/$H$55</f>
        <v>-0.16354698966461573</v>
      </c>
      <c r="G54" s="46">
        <f t="array" ref="G54:I54">LINEST(D$31:D$39,$G$31:$I$39,FALSE)</f>
        <v>-0.42786097706830561</v>
      </c>
      <c r="H54" s="46">
        <v>-0.44000261867596108</v>
      </c>
      <c r="I54" s="46">
        <v>18.800009970610613</v>
      </c>
      <c r="J54" s="98">
        <f>H55</f>
        <v>2.6161348365122223</v>
      </c>
      <c r="M54" s="46">
        <f t="shared" si="0"/>
        <v>29.493662911438093</v>
      </c>
      <c r="N54" s="46">
        <f t="shared" si="5"/>
        <v>51</v>
      </c>
      <c r="O54" s="50">
        <f t="shared" si="1"/>
        <v>17.374582226508537</v>
      </c>
      <c r="P54" s="50">
        <f t="shared" si="2"/>
        <v>46.86824513794663</v>
      </c>
      <c r="Q54" s="50">
        <f t="shared" si="3"/>
        <v>44.409079828407712</v>
      </c>
    </row>
    <row r="55" spans="1:24" ht="15" customHeight="1">
      <c r="B55" s="79"/>
      <c r="C55" s="79"/>
      <c r="D55" s="22">
        <f>I55/$H$55</f>
        <v>4.9480938284876324</v>
      </c>
      <c r="E55" s="18">
        <f>H55/$H$55</f>
        <v>1</v>
      </c>
      <c r="F55" s="23">
        <f>G55/$H$55</f>
        <v>1.3053960892115839</v>
      </c>
      <c r="G55" s="46">
        <f t="array" ref="G55:I55">LINEST(E$31:E$39,$G$31:$I$39,FALSE)</f>
        <v>3.4150921844332416</v>
      </c>
      <c r="H55" s="46">
        <v>2.6161348365122223</v>
      </c>
      <c r="I55" s="46">
        <v>12.944880639037628</v>
      </c>
      <c r="J55" s="98"/>
      <c r="M55" s="46">
        <f t="shared" si="0"/>
        <v>31.559009742920324</v>
      </c>
      <c r="N55" s="46">
        <f t="shared" si="5"/>
        <v>52</v>
      </c>
      <c r="O55" s="50">
        <f t="shared" si="1"/>
        <v>15.214605011589953</v>
      </c>
      <c r="P55" s="50">
        <f t="shared" si="2"/>
        <v>46.773614754510277</v>
      </c>
      <c r="Q55" s="50">
        <f t="shared" si="3"/>
        <v>44.085015222748126</v>
      </c>
    </row>
    <row r="56" spans="1:24" ht="15" customHeight="1" thickBot="1">
      <c r="B56" s="79"/>
      <c r="C56" s="79"/>
      <c r="D56" s="24">
        <f>I56/$H$55</f>
        <v>-5.4015507583068212</v>
      </c>
      <c r="E56" s="25">
        <f>H56/$H$55</f>
        <v>4.6454931450329422</v>
      </c>
      <c r="F56" s="26">
        <f>G56/$H$55</f>
        <v>5.869014559507173</v>
      </c>
      <c r="G56" s="46">
        <f t="array" ref="G56:I56">LINEST(F$31:F$39,$G$31:$I$39,FALSE)</f>
        <v>15.35413344512415</v>
      </c>
      <c r="H56" s="46">
        <v>12.153236449499406</v>
      </c>
      <c r="I56" s="46">
        <v>-14.131185109995487</v>
      </c>
      <c r="J56" s="98"/>
      <c r="M56" s="46">
        <f t="shared" si="0"/>
        <v>33.624356574402569</v>
      </c>
      <c r="N56" s="46">
        <f t="shared" si="5"/>
        <v>53</v>
      </c>
      <c r="O56" s="50">
        <f t="shared" si="1"/>
        <v>13.054627796671355</v>
      </c>
      <c r="P56" s="50">
        <f t="shared" si="2"/>
        <v>46.678984371073923</v>
      </c>
      <c r="Q56" s="50">
        <f t="shared" si="3"/>
        <v>43.76095061708854</v>
      </c>
    </row>
    <row r="57" spans="1:24">
      <c r="M57" s="46">
        <f t="shared" si="0"/>
        <v>35.689703405884799</v>
      </c>
      <c r="N57" s="46">
        <f t="shared" si="5"/>
        <v>54</v>
      </c>
      <c r="O57" s="50">
        <f t="shared" si="1"/>
        <v>10.894650581752771</v>
      </c>
      <c r="P57" s="50">
        <f t="shared" si="2"/>
        <v>46.58435398763757</v>
      </c>
      <c r="Q57" s="50">
        <f t="shared" si="3"/>
        <v>43.436886011428946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37.75505023736703</v>
      </c>
      <c r="N58" s="46">
        <f t="shared" si="5"/>
        <v>55</v>
      </c>
      <c r="O58" s="50">
        <f t="shared" si="1"/>
        <v>8.7346733668341869</v>
      </c>
      <c r="P58" s="50">
        <f t="shared" si="2"/>
        <v>46.489723604201217</v>
      </c>
      <c r="Q58" s="50">
        <f t="shared" si="3"/>
        <v>43.112821405769353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39.820397068849275</v>
      </c>
      <c r="N59" s="46">
        <f t="shared" si="5"/>
        <v>56</v>
      </c>
      <c r="O59" s="50">
        <f t="shared" si="1"/>
        <v>6.5746961519155889</v>
      </c>
      <c r="P59" s="50">
        <f t="shared" si="2"/>
        <v>46.395093220764863</v>
      </c>
      <c r="Q59" s="50">
        <f t="shared" si="3"/>
        <v>42.788756800109766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577.5</v>
      </c>
      <c r="E60" s="32">
        <f t="shared" ref="E60:E68" si="37">getCCTfromXY(D22/SUM(D22:F22),E22/SUM(D22:F22))</f>
        <v>6323</v>
      </c>
      <c r="F60" s="31">
        <f t="shared" ref="F60:F68" si="38">V60</f>
        <v>574.13072152529014</v>
      </c>
      <c r="G60" s="32">
        <f t="shared" ref="G60:G68" si="39">getCCTfromXY(U60/X60,V60/X60)</f>
        <v>6306</v>
      </c>
      <c r="H60" s="33">
        <f>F60/D60-1</f>
        <v>-5.8342484410560669E-3</v>
      </c>
      <c r="I60" s="34">
        <f t="shared" ref="I60:I68" si="40">G60/E60-1</f>
        <v>-2.6885971848805701E-3</v>
      </c>
      <c r="M60" s="46">
        <f t="shared" si="0"/>
        <v>41.885743900331505</v>
      </c>
      <c r="N60" s="46">
        <f t="shared" si="5"/>
        <v>57</v>
      </c>
      <c r="O60" s="50">
        <f t="shared" si="1"/>
        <v>4.414718936997005</v>
      </c>
      <c r="P60" s="50">
        <f t="shared" si="2"/>
        <v>46.30046283732851</v>
      </c>
      <c r="Q60" s="50">
        <f t="shared" si="3"/>
        <v>42.464692194450173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508.05942493304724</v>
      </c>
      <c r="V60" s="50">
        <f>$J$54*$J$31*($D$55*G22+$E$55*H22+$F$55*I22)</f>
        <v>574.13072152529014</v>
      </c>
      <c r="W60" s="50">
        <f>$J$54*$J$31*($D$56*G22+$E$56*H22+$F$56*I22)</f>
        <v>526.80744587041784</v>
      </c>
      <c r="X60" s="29">
        <f>SUM(U60:W60)</f>
        <v>1608.9975923287552</v>
      </c>
    </row>
    <row r="61" spans="1:24">
      <c r="A61" s="87"/>
      <c r="B61" s="48" t="str">
        <f t="shared" si="35"/>
        <v>CWF</v>
      </c>
      <c r="C61" s="93"/>
      <c r="D61" s="31">
        <f t="shared" si="36"/>
        <v>1211.5</v>
      </c>
      <c r="E61" s="32">
        <f t="shared" si="37"/>
        <v>3860</v>
      </c>
      <c r="F61" s="31">
        <f t="shared" si="38"/>
        <v>1219.0442520888373</v>
      </c>
      <c r="G61" s="32">
        <f t="shared" si="39"/>
        <v>3838</v>
      </c>
      <c r="H61" s="33">
        <f t="shared" ref="H61:H68" si="41">F61/D61-1</f>
        <v>6.2271994129898811E-3</v>
      </c>
      <c r="I61" s="34">
        <f t="shared" si="40"/>
        <v>-5.6994818652850165E-3</v>
      </c>
      <c r="M61" s="46">
        <f t="shared" si="0"/>
        <v>43.951090731813728</v>
      </c>
      <c r="N61" s="46">
        <f t="shared" si="5"/>
        <v>58</v>
      </c>
      <c r="O61" s="50">
        <f t="shared" si="1"/>
        <v>2.2547417220784212</v>
      </c>
      <c r="P61" s="50">
        <f t="shared" si="2"/>
        <v>46.20583245389215</v>
      </c>
      <c r="Q61" s="50">
        <f t="shared" si="3"/>
        <v>42.140627588790579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1211.1434449331655</v>
      </c>
      <c r="V61" s="50">
        <f>$J$54*$J$31*($D$55*G23+$E$55*H23+$F$55*I23)</f>
        <v>1219.0442520888373</v>
      </c>
      <c r="W61" s="50">
        <f>$J$54*$J$31*($D$56*G23+$E$56*H23+$F$56*I23)</f>
        <v>649.67723750902064</v>
      </c>
      <c r="X61" s="29">
        <f t="shared" ref="X61:X68" si="43">SUM(U61:W61)</f>
        <v>3079.8649345310232</v>
      </c>
    </row>
    <row r="62" spans="1:24">
      <c r="A62" s="87"/>
      <c r="B62" s="48" t="str">
        <f t="shared" si="35"/>
        <v>D65</v>
      </c>
      <c r="C62" s="93"/>
      <c r="D62" s="31">
        <f t="shared" si="36"/>
        <v>576.4</v>
      </c>
      <c r="E62" s="32">
        <f t="shared" si="37"/>
        <v>6332</v>
      </c>
      <c r="F62" s="31">
        <f t="shared" si="38"/>
        <v>574.13072152529014</v>
      </c>
      <c r="G62" s="32">
        <f t="shared" si="39"/>
        <v>6306</v>
      </c>
      <c r="H62" s="33">
        <f t="shared" si="41"/>
        <v>-3.9369855564015399E-3</v>
      </c>
      <c r="I62" s="34">
        <f t="shared" si="40"/>
        <v>-4.1061276058117491E-3</v>
      </c>
      <c r="M62" s="46">
        <f t="shared" si="0"/>
        <v>46.016437563295959</v>
      </c>
      <c r="N62" s="46">
        <f t="shared" si="5"/>
        <v>59</v>
      </c>
      <c r="O62" s="50">
        <f t="shared" si="1"/>
        <v>9.4764507159837308E-2</v>
      </c>
      <c r="P62" s="50">
        <f t="shared" si="2"/>
        <v>46.111202070455796</v>
      </c>
      <c r="Q62" s="50">
        <f t="shared" si="3"/>
        <v>41.816562983130993</v>
      </c>
      <c r="R62" s="78"/>
      <c r="S62" s="46" t="str">
        <f t="shared" si="42"/>
        <v>D65</v>
      </c>
      <c r="T62" s="79"/>
      <c r="U62" s="50">
        <f>$J$54*$J$31*($D$54*G24+$E$54*H24+$F$54*I24)</f>
        <v>508.05942493304724</v>
      </c>
      <c r="V62" s="50">
        <f>$J$54*$J$31*($D$55*G24+$E$55*H24+$F$55*I24)</f>
        <v>574.13072152529014</v>
      </c>
      <c r="W62" s="50">
        <f>$J$54*$J$31*($D$56*G24+$E$56*H24+$F$56*I24)</f>
        <v>526.80744587041784</v>
      </c>
      <c r="X62" s="29">
        <f t="shared" si="43"/>
        <v>1608.9975923287552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577.5</v>
      </c>
      <c r="E63" s="32">
        <f t="shared" si="37"/>
        <v>6323</v>
      </c>
      <c r="F63" s="31">
        <f t="shared" si="38"/>
        <v>581.24744613522046</v>
      </c>
      <c r="G63" s="32">
        <f t="shared" si="39"/>
        <v>6300</v>
      </c>
      <c r="H63" s="33">
        <f t="shared" si="41"/>
        <v>6.4890842168319196E-3</v>
      </c>
      <c r="I63" s="34">
        <f t="shared" si="40"/>
        <v>-3.6375138383678562E-3</v>
      </c>
      <c r="M63" s="46">
        <f t="shared" si="0"/>
        <v>48.08178439477819</v>
      </c>
      <c r="N63" s="46">
        <f t="shared" si="5"/>
        <v>60</v>
      </c>
      <c r="O63" s="50">
        <f t="shared" si="1"/>
        <v>-2.0652127077587465</v>
      </c>
      <c r="P63" s="50">
        <f t="shared" si="2"/>
        <v>46.016571687019443</v>
      </c>
      <c r="Q63" s="50">
        <f t="shared" si="3"/>
        <v>41.492498377471406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514.45802074684684</v>
      </c>
      <c r="V63" s="50">
        <f>$J$54*$J$34*($D$55*G25+$E$55*H25+$F$55*I25)</f>
        <v>581.24744613522046</v>
      </c>
      <c r="W63" s="50">
        <f>$J$54*$J$34*($D$56*G25+$E$56*H25+$F$56*I25)</f>
        <v>532.97997202748729</v>
      </c>
      <c r="X63" s="29">
        <f t="shared" si="43"/>
        <v>1628.6854389095547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1211.5</v>
      </c>
      <c r="E64" s="32">
        <f t="shared" si="37"/>
        <v>3860</v>
      </c>
      <c r="F64" s="31">
        <f t="shared" si="38"/>
        <v>1202.2101010380457</v>
      </c>
      <c r="G64" s="32">
        <f t="shared" si="39"/>
        <v>3883</v>
      </c>
      <c r="H64" s="33">
        <f t="shared" si="41"/>
        <v>-7.6680965430906411E-3</v>
      </c>
      <c r="I64" s="34">
        <f t="shared" si="40"/>
        <v>5.9585492227980374E-3</v>
      </c>
      <c r="M64" s="46">
        <f t="shared" si="0"/>
        <v>50.147131226260434</v>
      </c>
      <c r="N64" s="46">
        <f t="shared" si="5"/>
        <v>61</v>
      </c>
      <c r="O64" s="50">
        <f t="shared" si="1"/>
        <v>-4.2251899226773446</v>
      </c>
      <c r="P64" s="50">
        <f t="shared" si="2"/>
        <v>45.92194130358309</v>
      </c>
      <c r="Q64" s="50">
        <f t="shared" si="3"/>
        <v>41.168433771811813</v>
      </c>
      <c r="R64" s="78"/>
      <c r="S64" s="46" t="str">
        <f t="shared" si="42"/>
        <v>CWF</v>
      </c>
      <c r="T64" s="79"/>
      <c r="U64" s="50">
        <f>$J$54*$J$34*($D$54*G26+$E$54*H26+$F$54*I26)</f>
        <v>1191.1062302997943</v>
      </c>
      <c r="V64" s="50">
        <f>$J$54*$J$34*($D$55*G26+$E$55*H26+$F$55*I26)</f>
        <v>1202.2101010380457</v>
      </c>
      <c r="W64" s="50">
        <f>$J$54*$J$34*($D$56*G26+$E$56*H26+$F$56*I26)</f>
        <v>652.43950468776018</v>
      </c>
      <c r="X64" s="29">
        <f t="shared" si="43"/>
        <v>3045.7558360256003</v>
      </c>
    </row>
    <row r="65" spans="1:24">
      <c r="A65" s="87"/>
      <c r="B65" s="48" t="str">
        <f t="shared" si="35"/>
        <v>D65</v>
      </c>
      <c r="C65" s="93"/>
      <c r="D65" s="31">
        <f t="shared" si="36"/>
        <v>576.4</v>
      </c>
      <c r="E65" s="32">
        <f t="shared" si="37"/>
        <v>6332</v>
      </c>
      <c r="F65" s="31">
        <f t="shared" si="38"/>
        <v>580.79647826913038</v>
      </c>
      <c r="G65" s="32">
        <f t="shared" si="39"/>
        <v>6275</v>
      </c>
      <c r="H65" s="33">
        <f t="shared" si="41"/>
        <v>7.6274779131340065E-3</v>
      </c>
      <c r="I65" s="34">
        <f t="shared" si="40"/>
        <v>-9.001895135818061E-3</v>
      </c>
      <c r="M65" s="46">
        <f t="shared" si="0"/>
        <v>52.212478057742679</v>
      </c>
      <c r="N65" s="46">
        <f t="shared" si="5"/>
        <v>62</v>
      </c>
      <c r="O65" s="50">
        <f t="shared" si="1"/>
        <v>-6.3851671375959427</v>
      </c>
      <c r="P65" s="50">
        <f t="shared" si="2"/>
        <v>45.827310920146736</v>
      </c>
      <c r="Q65" s="50">
        <f t="shared" si="3"/>
        <v>40.844369166152219</v>
      </c>
      <c r="R65" s="78"/>
      <c r="S65" s="46" t="str">
        <f t="shared" si="42"/>
        <v>D65</v>
      </c>
      <c r="T65" s="79"/>
      <c r="U65" s="50">
        <f>$J$54*$J$34*($D$54*G27+$E$54*H27+$F$54*I27)</f>
        <v>514.53386815319948</v>
      </c>
      <c r="V65" s="50">
        <f>$J$54*$J$34*($D$55*G27+$E$55*H27+$F$55*I27)</f>
        <v>580.79647826913038</v>
      </c>
      <c r="W65" s="50">
        <f>$J$54*$J$34*($D$56*G27+$E$56*H27+$F$56*I27)</f>
        <v>530.88500389693513</v>
      </c>
      <c r="X65" s="29">
        <f t="shared" si="43"/>
        <v>1626.2153503192651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577.5</v>
      </c>
      <c r="E66" s="32">
        <f t="shared" si="37"/>
        <v>6323</v>
      </c>
      <c r="F66" s="31">
        <f t="shared" si="38"/>
        <v>576.6983478099454</v>
      </c>
      <c r="G66" s="32">
        <f t="shared" si="39"/>
        <v>6360</v>
      </c>
      <c r="H66" s="33">
        <f t="shared" si="41"/>
        <v>-1.3881423204408216E-3</v>
      </c>
      <c r="I66" s="34">
        <f t="shared" si="40"/>
        <v>5.8516526965048943E-3</v>
      </c>
      <c r="M66" s="46">
        <f t="shared" si="0"/>
        <v>54.277824889224895</v>
      </c>
      <c r="N66" s="46">
        <f t="shared" si="5"/>
        <v>63</v>
      </c>
      <c r="O66" s="50">
        <f t="shared" si="1"/>
        <v>-8.5451443525145123</v>
      </c>
      <c r="P66" s="50">
        <f t="shared" si="2"/>
        <v>45.732680536710383</v>
      </c>
      <c r="Q66" s="50">
        <f t="shared" si="3"/>
        <v>40.520304560492633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509.31386593258719</v>
      </c>
      <c r="V66" s="50">
        <f>$J$54*$J$37*($D$55*G28+$E$55*H28+$F$55*I28)</f>
        <v>576.6983478099454</v>
      </c>
      <c r="W66" s="50">
        <f>$J$54*$J$37*($D$56*G28+$E$56*H28+$F$56*I28)</f>
        <v>532.76524796651358</v>
      </c>
      <c r="X66" s="29">
        <f t="shared" si="43"/>
        <v>1618.7774617090463</v>
      </c>
    </row>
    <row r="67" spans="1:24">
      <c r="A67" s="87"/>
      <c r="B67" s="48" t="str">
        <f t="shared" si="35"/>
        <v>CWF</v>
      </c>
      <c r="C67" s="93"/>
      <c r="D67" s="31">
        <f t="shared" si="36"/>
        <v>1211.5</v>
      </c>
      <c r="E67" s="32">
        <f t="shared" si="37"/>
        <v>3860</v>
      </c>
      <c r="F67" s="31">
        <f t="shared" si="38"/>
        <v>1212.8637184448196</v>
      </c>
      <c r="G67" s="32">
        <f t="shared" si="39"/>
        <v>3861</v>
      </c>
      <c r="H67" s="33">
        <f t="shared" si="41"/>
        <v>1.1256446098386608E-3</v>
      </c>
      <c r="I67" s="34">
        <f t="shared" si="40"/>
        <v>2.5906735751290988E-4</v>
      </c>
      <c r="R67" s="78"/>
      <c r="S67" s="46" t="str">
        <f t="shared" si="42"/>
        <v>CWF</v>
      </c>
      <c r="T67" s="79"/>
      <c r="U67" s="50">
        <f>$J$54*$J$37*($D$54*G29+$E$54*H29+$F$54*I29)</f>
        <v>1203.2792957658057</v>
      </c>
      <c r="V67" s="50">
        <f>$J$54*$J$37*($D$55*G29+$E$55*H29+$F$55*I29)</f>
        <v>1212.8637184448196</v>
      </c>
      <c r="W67" s="50">
        <f>$J$54*$J$37*($D$56*G29+$E$56*H29+$F$56*I29)</f>
        <v>652.50287384944443</v>
      </c>
      <c r="X67" s="29">
        <f t="shared" si="43"/>
        <v>3068.6458880600699</v>
      </c>
    </row>
    <row r="68" spans="1:24">
      <c r="A68" s="87"/>
      <c r="B68" s="48" t="str">
        <f t="shared" si="35"/>
        <v>D65</v>
      </c>
      <c r="C68" s="93"/>
      <c r="D68" s="31">
        <f t="shared" si="36"/>
        <v>576.4</v>
      </c>
      <c r="E68" s="32">
        <f t="shared" si="37"/>
        <v>6332</v>
      </c>
      <c r="F68" s="31">
        <f t="shared" si="38"/>
        <v>575.15783012964471</v>
      </c>
      <c r="G68" s="32">
        <f t="shared" si="39"/>
        <v>6408</v>
      </c>
      <c r="H68" s="33">
        <f t="shared" si="41"/>
        <v>-2.1550483524553909E-3</v>
      </c>
      <c r="I68" s="34">
        <f t="shared" si="40"/>
        <v>1.2002526847757489E-2</v>
      </c>
      <c r="R68" s="78"/>
      <c r="S68" s="46" t="str">
        <f t="shared" si="42"/>
        <v>D65</v>
      </c>
      <c r="T68" s="79"/>
      <c r="U68" s="50">
        <f>$J$54*$J$37*($D$54*G30+$E$54*H30+$F$54*I30)</f>
        <v>507.07655308613153</v>
      </c>
      <c r="V68" s="50">
        <f>$J$54*$J$37*($D$55*G30+$E$55*H30+$F$55*I30)</f>
        <v>575.15783012964471</v>
      </c>
      <c r="W68" s="50">
        <f>$J$54*$J$37*($D$56*G30+$E$56*H30+$F$56*I30)</f>
        <v>534.44694292474287</v>
      </c>
      <c r="X68" s="29">
        <f t="shared" si="43"/>
        <v>1616.6813261405191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7.6680965430906411E-3</v>
      </c>
      <c r="G69" s="47"/>
      <c r="H69" s="36" t="str">
        <f>I59</f>
        <v>CCT</v>
      </c>
      <c r="I69" s="38">
        <f>MAX(MAX(I60:I68,-MIN(I60:I68)))</f>
        <v>1.2002526847757489E-2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577.5</v>
      </c>
      <c r="E72" s="31">
        <f t="shared" ref="E72:E80" si="47">E60</f>
        <v>6323</v>
      </c>
      <c r="F72" s="31">
        <f t="shared" ref="F72:F80" si="48">V72</f>
        <v>677.47799941477524</v>
      </c>
      <c r="G72" s="32">
        <f t="shared" ref="G72:G80" si="49">getCCTfromXY(U72/X72,V72/X72)</f>
        <v>6397</v>
      </c>
      <c r="H72" s="33">
        <f>F72/D72-1</f>
        <v>0.17312207690870163</v>
      </c>
      <c r="I72" s="34">
        <f t="shared" ref="I72:I80" si="50">G72/E72-1</f>
        <v>1.1703305393009567E-2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597.10839719091598</v>
      </c>
      <c r="V72" s="50">
        <f>$J$51*$J$31*($D$52*G22+$E$52*H22+$F$52*I22)</f>
        <v>677.47799941477524</v>
      </c>
      <c r="W72" s="50">
        <f>$J$51*$J$31*($D$53*G22+$E$53*H22+$F$53*I22)</f>
        <v>627.89013165620247</v>
      </c>
      <c r="X72" s="29">
        <f>SUM(U72:W72)</f>
        <v>1902.4765282618937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1211.5</v>
      </c>
      <c r="E73" s="31">
        <f t="shared" si="47"/>
        <v>3860</v>
      </c>
      <c r="F73" s="31">
        <f t="shared" si="48"/>
        <v>1454.441301759935</v>
      </c>
      <c r="G73" s="32">
        <f t="shared" si="49"/>
        <v>3703</v>
      </c>
      <c r="H73" s="33">
        <f t="shared" ref="H73:H80" si="52">F73/D73-1</f>
        <v>0.20052934524138255</v>
      </c>
      <c r="I73" s="34">
        <f t="shared" si="50"/>
        <v>-4.0673575129533623E-2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1459.2002912660223</v>
      </c>
      <c r="V73" s="50">
        <f t="shared" ref="V73:V74" si="55">$J$51*$J$31*($D$52*G23+$E$52*H23+$F$52*I23)</f>
        <v>1454.441301759935</v>
      </c>
      <c r="W73" s="50">
        <f t="shared" ref="W73:W74" si="56">$J$51*$J$31*($D$53*G23+$E$53*H23+$F$53*I23)</f>
        <v>735.88087566146896</v>
      </c>
      <c r="X73" s="29">
        <f t="shared" ref="X73:X80" si="57">SUM(U73:W73)</f>
        <v>3649.5224686874262</v>
      </c>
    </row>
    <row r="74" spans="1:24">
      <c r="A74" s="87"/>
      <c r="B74" s="48" t="str">
        <f t="shared" si="46"/>
        <v>X</v>
      </c>
      <c r="C74" s="93"/>
      <c r="D74" s="31">
        <f t="shared" si="51"/>
        <v>576.4</v>
      </c>
      <c r="E74" s="31">
        <f t="shared" si="47"/>
        <v>6332</v>
      </c>
      <c r="F74" s="31">
        <f t="shared" si="48"/>
        <v>677.47799941477524</v>
      </c>
      <c r="G74" s="32">
        <f t="shared" si="49"/>
        <v>6397</v>
      </c>
      <c r="H74" s="33">
        <f t="shared" si="52"/>
        <v>0.17536085949822211</v>
      </c>
      <c r="I74" s="34">
        <f t="shared" si="50"/>
        <v>1.0265319014529428E-2</v>
      </c>
      <c r="R74" s="78"/>
      <c r="S74" s="46" t="str">
        <f t="shared" si="53"/>
        <v>D65</v>
      </c>
      <c r="T74" s="79"/>
      <c r="U74" s="50">
        <f t="shared" si="54"/>
        <v>597.10839719091598</v>
      </c>
      <c r="V74" s="50">
        <f t="shared" si="55"/>
        <v>677.47799941477524</v>
      </c>
      <c r="W74" s="50">
        <f t="shared" si="56"/>
        <v>627.89013165620247</v>
      </c>
      <c r="X74" s="29">
        <f t="shared" si="57"/>
        <v>1902.4765282618937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577.5</v>
      </c>
      <c r="E75" s="31">
        <f t="shared" si="47"/>
        <v>6323</v>
      </c>
      <c r="F75" s="31">
        <f t="shared" si="48"/>
        <v>686.3791620805199</v>
      </c>
      <c r="G75" s="32">
        <f t="shared" si="49"/>
        <v>6368</v>
      </c>
      <c r="H75" s="33">
        <f t="shared" si="52"/>
        <v>0.18853534559397378</v>
      </c>
      <c r="I75" s="34">
        <f t="shared" si="50"/>
        <v>7.1168749011545351E-3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605.61845797241324</v>
      </c>
      <c r="V75" s="50">
        <f>$J$51*$J$34*($D$52*G25+$E$52*H25+$F$52*I25)</f>
        <v>686.3791620805199</v>
      </c>
      <c r="W75" s="50">
        <f>$J$51*$J$34*($D$53*G25+$E$53*H25+$F$53*I25)</f>
        <v>633.92443972084493</v>
      </c>
      <c r="X75" s="29">
        <f t="shared" si="57"/>
        <v>1925.9220597737781</v>
      </c>
    </row>
    <row r="76" spans="1:24">
      <c r="A76" s="87"/>
      <c r="B76" s="48" t="str">
        <f t="shared" si="46"/>
        <v>Z</v>
      </c>
      <c r="C76" s="93"/>
      <c r="D76" s="31">
        <f t="shared" si="51"/>
        <v>1211.5</v>
      </c>
      <c r="E76" s="31">
        <f t="shared" si="47"/>
        <v>3860</v>
      </c>
      <c r="F76" s="31">
        <f t="shared" si="48"/>
        <v>1429.7933625690948</v>
      </c>
      <c r="G76" s="32">
        <f t="shared" si="49"/>
        <v>3792</v>
      </c>
      <c r="H76" s="33">
        <f t="shared" si="52"/>
        <v>0.18018436860841502</v>
      </c>
      <c r="I76" s="34">
        <f t="shared" si="50"/>
        <v>-1.7616580310880869E-2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1426.1016562219311</v>
      </c>
      <c r="V76" s="50">
        <f t="shared" ref="V76:V77" si="59">$J$51*$J$34*($D$52*G26+$E$52*H26+$F$52*I26)</f>
        <v>1429.7933625690948</v>
      </c>
      <c r="W76" s="50">
        <f t="shared" ref="W76:W77" si="60">$J$51*$J$34*($D$53*G26+$E$53*H26+$F$53*I26)</f>
        <v>751.6287709102661</v>
      </c>
      <c r="X76" s="29">
        <f t="shared" si="57"/>
        <v>3607.5237897012921</v>
      </c>
    </row>
    <row r="77" spans="1:24">
      <c r="A77" s="87"/>
      <c r="B77" s="48" t="str">
        <f t="shared" si="46"/>
        <v>X</v>
      </c>
      <c r="C77" s="93"/>
      <c r="D77" s="31">
        <f t="shared" si="51"/>
        <v>576.4</v>
      </c>
      <c r="E77" s="31">
        <f t="shared" si="47"/>
        <v>6332</v>
      </c>
      <c r="F77" s="31">
        <f t="shared" si="48"/>
        <v>684.65275054205779</v>
      </c>
      <c r="G77" s="32">
        <f t="shared" si="49"/>
        <v>6398</v>
      </c>
      <c r="H77" s="33">
        <f t="shared" si="52"/>
        <v>0.18780838053792137</v>
      </c>
      <c r="I77" s="34">
        <f t="shared" si="50"/>
        <v>1.0423246999368363E-2</v>
      </c>
      <c r="R77" s="78"/>
      <c r="S77" s="46" t="str">
        <f t="shared" si="53"/>
        <v>D65</v>
      </c>
      <c r="T77" s="79"/>
      <c r="U77" s="50">
        <f t="shared" si="58"/>
        <v>603.38316890795909</v>
      </c>
      <c r="V77" s="50">
        <f t="shared" si="59"/>
        <v>684.65275054205779</v>
      </c>
      <c r="W77" s="50">
        <f t="shared" si="60"/>
        <v>634.58456953897075</v>
      </c>
      <c r="X77" s="29">
        <f t="shared" si="57"/>
        <v>1922.6204889889877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577.5</v>
      </c>
      <c r="E78" s="31">
        <f t="shared" si="47"/>
        <v>6323</v>
      </c>
      <c r="F78" s="31">
        <f t="shared" si="48"/>
        <v>684.16454066912706</v>
      </c>
      <c r="G78" s="32">
        <f t="shared" si="49"/>
        <v>6281</v>
      </c>
      <c r="H78" s="33">
        <f t="shared" si="52"/>
        <v>0.18470050332316368</v>
      </c>
      <c r="I78" s="34">
        <f t="shared" si="50"/>
        <v>-6.6424165744108921E-3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605.7147028155357</v>
      </c>
      <c r="V78" s="50">
        <f>$J$51*$J$37*($D$52*G28+$E$52*H28+$F$52*I28)</f>
        <v>684.16454066912706</v>
      </c>
      <c r="W78" s="50">
        <f>$J$51*$J$37*($D$53*G28+$E$53*H28+$F$53*I28)</f>
        <v>625.33621244884091</v>
      </c>
      <c r="X78" s="29">
        <f t="shared" si="57"/>
        <v>1915.2154559335036</v>
      </c>
    </row>
    <row r="79" spans="1:24">
      <c r="A79" s="87"/>
      <c r="B79" s="48" t="str">
        <f t="shared" si="46"/>
        <v>Z</v>
      </c>
      <c r="C79" s="93"/>
      <c r="D79" s="31">
        <f t="shared" si="51"/>
        <v>1211.5</v>
      </c>
      <c r="E79" s="31">
        <f t="shared" si="47"/>
        <v>3860</v>
      </c>
      <c r="F79" s="31">
        <f t="shared" si="48"/>
        <v>1425.978098737995</v>
      </c>
      <c r="G79" s="32">
        <f t="shared" si="49"/>
        <v>3945</v>
      </c>
      <c r="H79" s="33">
        <f t="shared" si="52"/>
        <v>0.1770351619793602</v>
      </c>
      <c r="I79" s="34">
        <f t="shared" si="50"/>
        <v>2.2020725388601115E-2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1408.3866351273932</v>
      </c>
      <c r="V79" s="50">
        <f t="shared" ref="V79:V80" si="62">$J$51*$J$37*($D$52*G29+$E$52*H29+$F$52*I29)</f>
        <v>1425.978098737995</v>
      </c>
      <c r="W79" s="50">
        <f t="shared" ref="W79:W80" si="63">$J$51*$J$37*($D$53*G29+$E$53*H29+$F$53*I29)</f>
        <v>794.92110787455749</v>
      </c>
      <c r="X79" s="29">
        <f t="shared" si="57"/>
        <v>3629.2858417399457</v>
      </c>
    </row>
    <row r="80" spans="1:24">
      <c r="A80" s="87"/>
      <c r="B80" s="48" t="str">
        <f t="shared" si="46"/>
        <v>X</v>
      </c>
      <c r="C80" s="93"/>
      <c r="D80" s="31">
        <f t="shared" si="51"/>
        <v>576.4</v>
      </c>
      <c r="E80" s="31">
        <f t="shared" si="47"/>
        <v>6332</v>
      </c>
      <c r="F80" s="31">
        <f t="shared" si="48"/>
        <v>683.02911170789014</v>
      </c>
      <c r="G80" s="32">
        <f t="shared" si="49"/>
        <v>6296</v>
      </c>
      <c r="H80" s="33">
        <f t="shared" si="52"/>
        <v>0.18499151927114887</v>
      </c>
      <c r="I80" s="34">
        <f t="shared" si="50"/>
        <v>-5.6854074542008748E-3</v>
      </c>
      <c r="R80" s="78"/>
      <c r="S80" s="46" t="str">
        <f t="shared" si="53"/>
        <v>D65</v>
      </c>
      <c r="T80" s="79"/>
      <c r="U80" s="50">
        <f t="shared" si="61"/>
        <v>604.39294055217499</v>
      </c>
      <c r="V80" s="50">
        <f t="shared" si="62"/>
        <v>683.02911170789014</v>
      </c>
      <c r="W80" s="50">
        <f t="shared" si="63"/>
        <v>625.52042375419865</v>
      </c>
      <c r="X80" s="29">
        <f t="shared" si="57"/>
        <v>1912.9424760142638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0.20052934524138255</v>
      </c>
      <c r="G81" s="47"/>
      <c r="H81" s="36" t="str">
        <f>I71</f>
        <v>CCT</v>
      </c>
      <c r="I81" s="38">
        <f>MAX(MAX(I72:I80,-MIN(I72:I80)))</f>
        <v>4.0673575129533623E-2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577.5</v>
      </c>
      <c r="E84" s="31">
        <f t="shared" ref="E84:E92" si="67">E72</f>
        <v>6323</v>
      </c>
      <c r="F84" s="31">
        <f t="shared" ref="F84:F92" si="68">V84</f>
        <v>576.95000000000005</v>
      </c>
      <c r="G84" s="32">
        <f t="shared" ref="G84:G92" si="69">getCCTfromXY(U84/X84,V84/X84)</f>
        <v>6327</v>
      </c>
      <c r="H84" s="33">
        <f>F84/D84-1</f>
        <v>-9.5238095238092679E-4</v>
      </c>
      <c r="I84" s="34">
        <f t="shared" ref="I84:I92" si="70">G84/E84-1</f>
        <v>6.3261110232493145E-4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510.1500000000002</v>
      </c>
      <c r="V84" s="50">
        <f>$J$42*$J$31*($D$43*G22+$E$43*H22+$F$43*I22)</f>
        <v>576.95000000000005</v>
      </c>
      <c r="W84" s="50">
        <f>$J$42*$J$31*($D$44*G22+$E$44*H22+$F$44*I22)</f>
        <v>530.82500000000005</v>
      </c>
      <c r="X84" s="29">
        <f>SUM(U84:W84)</f>
        <v>1617.9250000000004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1211.5</v>
      </c>
      <c r="E85" s="31">
        <f t="shared" si="67"/>
        <v>3860</v>
      </c>
      <c r="F85" s="31">
        <f t="shared" si="68"/>
        <v>1211.5</v>
      </c>
      <c r="G85" s="32">
        <f t="shared" si="69"/>
        <v>3860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1202.0000000000005</v>
      </c>
      <c r="V85" s="50">
        <f t="shared" ref="V85:V86" si="75">$J$42*$J$31*($D$43*G23+$E$43*H23+$F$43*I23)</f>
        <v>1211.5</v>
      </c>
      <c r="W85" s="50">
        <f t="shared" ref="W85:W86" si="76">$J$42*$J$31*($D$44*G23+$E$44*H23+$F$44*I23)</f>
        <v>651.5</v>
      </c>
      <c r="X85" s="29">
        <f t="shared" ref="X85:X92" si="77">SUM(U85:W85)</f>
        <v>3065.0000000000005</v>
      </c>
    </row>
    <row r="86" spans="1:24">
      <c r="A86" s="87"/>
      <c r="B86" s="48">
        <f t="shared" si="66"/>
        <v>0</v>
      </c>
      <c r="C86" s="93"/>
      <c r="D86" s="31">
        <f t="shared" si="71"/>
        <v>576.4</v>
      </c>
      <c r="E86" s="31">
        <f t="shared" si="67"/>
        <v>6332</v>
      </c>
      <c r="F86" s="31">
        <f t="shared" si="68"/>
        <v>576.95000000000005</v>
      </c>
      <c r="G86" s="32">
        <f t="shared" si="69"/>
        <v>6327</v>
      </c>
      <c r="H86" s="33">
        <f t="shared" si="72"/>
        <v>9.5419847328259699E-4</v>
      </c>
      <c r="I86" s="34">
        <f t="shared" si="70"/>
        <v>-7.8963992419456286E-4</v>
      </c>
      <c r="R86" s="78"/>
      <c r="S86" s="46" t="str">
        <f t="shared" si="73"/>
        <v>D65</v>
      </c>
      <c r="T86" s="79"/>
      <c r="U86" s="50">
        <f t="shared" si="74"/>
        <v>510.1500000000002</v>
      </c>
      <c r="V86" s="50">
        <f t="shared" si="75"/>
        <v>576.95000000000005</v>
      </c>
      <c r="W86" s="50">
        <f t="shared" si="76"/>
        <v>530.82500000000005</v>
      </c>
      <c r="X86" s="29">
        <f t="shared" si="77"/>
        <v>1617.9250000000004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577.5</v>
      </c>
      <c r="E87" s="31">
        <f t="shared" si="67"/>
        <v>6323</v>
      </c>
      <c r="F87" s="31">
        <f t="shared" si="68"/>
        <v>577.49999999999966</v>
      </c>
      <c r="G87" s="32">
        <f t="shared" si="69"/>
        <v>6323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510.64999999999992</v>
      </c>
      <c r="V87" s="50">
        <f>$J$45*$J$34*($D$46*G25+$E$46*H25+$F$46*I25)</f>
        <v>577.49999999999966</v>
      </c>
      <c r="W87" s="50">
        <f>$J$45*$J$34*($D$47*G25+$E$47*H25+$F$47*I25)</f>
        <v>530.9000000000002</v>
      </c>
      <c r="X87" s="29">
        <f t="shared" si="77"/>
        <v>1619.0499999999997</v>
      </c>
    </row>
    <row r="88" spans="1:24">
      <c r="A88" s="87"/>
      <c r="B88" s="48">
        <f t="shared" si="66"/>
        <v>0</v>
      </c>
      <c r="C88" s="93"/>
      <c r="D88" s="31">
        <f t="shared" si="71"/>
        <v>1211.5</v>
      </c>
      <c r="E88" s="31">
        <f t="shared" si="67"/>
        <v>3860</v>
      </c>
      <c r="F88" s="31">
        <f t="shared" si="68"/>
        <v>1211.5</v>
      </c>
      <c r="G88" s="32">
        <f t="shared" si="69"/>
        <v>3860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1201.9999999999998</v>
      </c>
      <c r="V88" s="50">
        <f t="shared" ref="V88:V89" si="79">$J$45*$J$34*($D$46*G26+$E$46*H26+$F$46*I26)</f>
        <v>1211.5</v>
      </c>
      <c r="W88" s="50">
        <f t="shared" ref="W88:W89" si="80">$J$45*$J$34*($D$47*G26+$E$47*H26+$F$47*I26)</f>
        <v>651.50000000000023</v>
      </c>
      <c r="X88" s="29">
        <f t="shared" si="77"/>
        <v>3065</v>
      </c>
    </row>
    <row r="89" spans="1:24">
      <c r="A89" s="87"/>
      <c r="B89" s="48" t="str">
        <f t="shared" si="66"/>
        <v>A</v>
      </c>
      <c r="C89" s="93"/>
      <c r="D89" s="31">
        <f t="shared" si="71"/>
        <v>576.4</v>
      </c>
      <c r="E89" s="31">
        <f t="shared" si="67"/>
        <v>6332</v>
      </c>
      <c r="F89" s="31">
        <f t="shared" si="68"/>
        <v>576.4</v>
      </c>
      <c r="G89" s="32">
        <f t="shared" si="69"/>
        <v>6332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509.65000000000003</v>
      </c>
      <c r="V89" s="50">
        <f t="shared" si="79"/>
        <v>576.4</v>
      </c>
      <c r="W89" s="50">
        <f t="shared" si="80"/>
        <v>530.75000000000023</v>
      </c>
      <c r="X89" s="29">
        <f t="shared" si="77"/>
        <v>1616.8000000000002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577.5</v>
      </c>
      <c r="E90" s="31">
        <f t="shared" si="67"/>
        <v>6323</v>
      </c>
      <c r="F90" s="31">
        <f t="shared" si="68"/>
        <v>577.50000000000011</v>
      </c>
      <c r="G90" s="32">
        <f t="shared" si="69"/>
        <v>6323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510.65000000000003</v>
      </c>
      <c r="V90" s="50">
        <f>$J$48*$J$37*($D$49*G28+$E$49*H28+$F$49*I28)</f>
        <v>577.50000000000011</v>
      </c>
      <c r="W90" s="50">
        <f>$J$48*$J$37*($D$50*G28+$E$50*H28+$F$50*I28)</f>
        <v>530.90000000000043</v>
      </c>
      <c r="X90" s="29">
        <f t="shared" si="77"/>
        <v>1619.0500000000006</v>
      </c>
    </row>
    <row r="91" spans="1:24">
      <c r="A91" s="87"/>
      <c r="B91" s="48" t="str">
        <f t="shared" si="66"/>
        <v>D65</v>
      </c>
      <c r="C91" s="93"/>
      <c r="D91" s="31">
        <f t="shared" si="71"/>
        <v>1211.5</v>
      </c>
      <c r="E91" s="31">
        <f t="shared" si="67"/>
        <v>3860</v>
      </c>
      <c r="F91" s="31">
        <f t="shared" si="68"/>
        <v>1211.5</v>
      </c>
      <c r="G91" s="32">
        <f t="shared" si="69"/>
        <v>3860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1202.0000000000005</v>
      </c>
      <c r="V91" s="50">
        <f t="shared" ref="V91:V92" si="82">$J$48*$J$37*($D$49*G29+$E$49*H29+$F$49*I29)</f>
        <v>1211.5</v>
      </c>
      <c r="W91" s="50">
        <f t="shared" ref="W91:W92" si="83">$J$48*$J$37*($D$50*G29+$E$50*H29+$F$50*I29)</f>
        <v>651.50000000000034</v>
      </c>
      <c r="X91" s="29">
        <f t="shared" si="77"/>
        <v>3065.0000000000009</v>
      </c>
    </row>
    <row r="92" spans="1:24">
      <c r="A92" s="87"/>
      <c r="B92" s="48" t="str">
        <f t="shared" si="66"/>
        <v>A</v>
      </c>
      <c r="C92" s="93"/>
      <c r="D92" s="31">
        <f t="shared" si="71"/>
        <v>576.4</v>
      </c>
      <c r="E92" s="31">
        <f t="shared" si="67"/>
        <v>6332</v>
      </c>
      <c r="F92" s="31">
        <f t="shared" si="68"/>
        <v>576.40000000000009</v>
      </c>
      <c r="G92" s="32">
        <f t="shared" si="69"/>
        <v>6332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509.65000000000009</v>
      </c>
      <c r="V92" s="50">
        <f t="shared" si="82"/>
        <v>576.40000000000009</v>
      </c>
      <c r="W92" s="50">
        <f t="shared" si="83"/>
        <v>530.75000000000011</v>
      </c>
      <c r="X92" s="29">
        <f t="shared" si="77"/>
        <v>1616.8000000000002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9.5419847328259699E-4</v>
      </c>
      <c r="G93" s="47"/>
      <c r="H93" s="36" t="str">
        <f>I83</f>
        <v>CCT</v>
      </c>
      <c r="I93" s="38">
        <f>MAX(MAX(I84:I92,-MIN(I84:I92)))</f>
        <v>7.8963992419456286E-4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1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2.29166263371242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77.689038808089236</v>
      </c>
      <c r="N3" s="46">
        <v>0</v>
      </c>
      <c r="O3" s="50">
        <f>G$5-N3*G$7</f>
        <v>130.58704379562042</v>
      </c>
      <c r="P3" s="50">
        <f>H$5-N3*H$7</f>
        <v>52.898004987531174</v>
      </c>
      <c r="Q3" s="50">
        <f>I$5-N3*I$7</f>
        <v>63.633620689655167</v>
      </c>
    </row>
    <row r="4" spans="1:17">
      <c r="C4" s="46" t="s">
        <v>20</v>
      </c>
      <c r="D4" s="7">
        <v>548</v>
      </c>
      <c r="E4" s="7">
        <v>1203</v>
      </c>
      <c r="F4" s="7">
        <v>580</v>
      </c>
      <c r="G4" s="50">
        <f>AVERAGE(D4:F4)</f>
        <v>777</v>
      </c>
      <c r="H4" s="50">
        <f>G4</f>
        <v>777</v>
      </c>
      <c r="I4" s="50">
        <f>H4</f>
        <v>777</v>
      </c>
      <c r="K4" s="13" t="str">
        <f>linefmt("Compensation",B12)</f>
        <v>"Compensation",36,</v>
      </c>
      <c r="M4" s="46">
        <f t="shared" si="0"/>
        <v>75.551655723194116</v>
      </c>
      <c r="N4" s="46">
        <f>N3+1</f>
        <v>1</v>
      </c>
      <c r="O4" s="50">
        <f t="shared" ref="O4:O66" si="1">G$5-N4*G$7</f>
        <v>128.34151247665929</v>
      </c>
      <c r="P4" s="50">
        <f t="shared" ref="P4:P66" si="2">H$5-N4*H$7</f>
        <v>52.789856753465173</v>
      </c>
      <c r="Q4" s="50">
        <f t="shared" ref="Q4:Q66" si="3">I$5-N4*I$7</f>
        <v>63.290918203688847</v>
      </c>
    </row>
    <row r="5" spans="1:17">
      <c r="C5" s="46">
        <v>0</v>
      </c>
      <c r="D5" s="9">
        <v>92.1</v>
      </c>
      <c r="E5" s="9">
        <v>81.900000000000006</v>
      </c>
      <c r="F5" s="9">
        <v>47.5</v>
      </c>
      <c r="G5" s="50">
        <f>G$4/D$4*D5</f>
        <v>130.58704379562042</v>
      </c>
      <c r="H5" s="50">
        <f t="shared" ref="H5:I6" si="4">H$4/E$4*E5</f>
        <v>52.898004987531174</v>
      </c>
      <c r="I5" s="50">
        <f t="shared" si="4"/>
        <v>63.633620689655167</v>
      </c>
      <c r="K5" s="14" t="str">
        <f>linefmt("CardGain",J54)</f>
        <v>"CardGain",18.17971,</v>
      </c>
      <c r="M5" s="46">
        <f t="shared" si="0"/>
        <v>73.414272638298982</v>
      </c>
      <c r="N5" s="46">
        <f t="shared" ref="N5:N66" si="5">N4+1</f>
        <v>2</v>
      </c>
      <c r="O5" s="50">
        <f t="shared" si="1"/>
        <v>126.09598115769816</v>
      </c>
      <c r="P5" s="50">
        <f t="shared" si="2"/>
        <v>52.68170851939918</v>
      </c>
      <c r="Q5" s="50">
        <f t="shared" si="3"/>
        <v>62.948215717722526</v>
      </c>
    </row>
    <row r="6" spans="1:17">
      <c r="B6" s="50">
        <f>D5/4</f>
        <v>23.024999999999999</v>
      </c>
      <c r="C6" s="7">
        <v>43</v>
      </c>
      <c r="D6" s="9">
        <v>24</v>
      </c>
      <c r="E6" s="9">
        <v>74.7</v>
      </c>
      <c r="F6" s="9">
        <v>36.5</v>
      </c>
      <c r="G6" s="50">
        <f>G$4/D$4*D6</f>
        <v>34.029197080291965</v>
      </c>
      <c r="H6" s="50">
        <f t="shared" si="4"/>
        <v>48.247630922693268</v>
      </c>
      <c r="I6" s="50">
        <f t="shared" si="4"/>
        <v>48.897413793103446</v>
      </c>
      <c r="K6" s="14" t="str">
        <f>linefmt("Range",1,J34,J37)</f>
        <v>"Range",1,0.8898206,1.049931,</v>
      </c>
      <c r="M6" s="46">
        <f t="shared" si="0"/>
        <v>71.276889553403862</v>
      </c>
      <c r="N6" s="46">
        <f t="shared" si="5"/>
        <v>3</v>
      </c>
      <c r="O6" s="50">
        <f t="shared" si="1"/>
        <v>123.85044983873703</v>
      </c>
      <c r="P6" s="50">
        <f t="shared" si="2"/>
        <v>52.57356028533318</v>
      </c>
      <c r="Q6" s="50">
        <f t="shared" si="3"/>
        <v>62.605513231756213</v>
      </c>
    </row>
    <row r="7" spans="1:17">
      <c r="C7" s="46">
        <f>C5</f>
        <v>0</v>
      </c>
      <c r="D7" s="46">
        <f t="shared" ref="D7:F8" si="6">D$4/D5</f>
        <v>5.9500542888165038</v>
      </c>
      <c r="E7" s="46">
        <f t="shared" si="6"/>
        <v>14.688644688644688</v>
      </c>
      <c r="F7" s="46">
        <f t="shared" si="6"/>
        <v>12.210526315789474</v>
      </c>
      <c r="G7" s="49">
        <f>(G5-G6)/($C6-$C5)</f>
        <v>2.245531318961127</v>
      </c>
      <c r="H7" s="49">
        <f t="shared" ref="H7:I7" si="7">(H5-H6)/($C6-$C5)</f>
        <v>0.10814823406599779</v>
      </c>
      <c r="I7" s="49">
        <f t="shared" si="7"/>
        <v>0.34270248596631908</v>
      </c>
      <c r="K7" s="14" t="str">
        <f>linefmt("CCM" )</f>
        <v>"CCM",</v>
      </c>
      <c r="M7" s="46">
        <f t="shared" si="0"/>
        <v>69.139506468508728</v>
      </c>
      <c r="N7" s="46">
        <f t="shared" si="5"/>
        <v>4</v>
      </c>
      <c r="O7" s="50">
        <f t="shared" si="1"/>
        <v>121.60491851977591</v>
      </c>
      <c r="P7" s="50">
        <f t="shared" si="2"/>
        <v>52.46541205126718</v>
      </c>
      <c r="Q7" s="50">
        <f t="shared" si="3"/>
        <v>62.262810745789892</v>
      </c>
    </row>
    <row r="8" spans="1:17">
      <c r="C8" s="46">
        <f>C6</f>
        <v>43</v>
      </c>
      <c r="D8" s="46">
        <f t="shared" si="6"/>
        <v>22.833333333333332</v>
      </c>
      <c r="E8" s="46">
        <f t="shared" si="6"/>
        <v>16.104417670682729</v>
      </c>
      <c r="F8" s="46">
        <f t="shared" si="6"/>
        <v>15.890410958904109</v>
      </c>
      <c r="K8" s="15" t="str">
        <f>linefmt("",D54,E54,F54)</f>
        <v>0.1665368,1.037583,-0.4703639,</v>
      </c>
      <c r="M8" s="46">
        <f t="shared" si="0"/>
        <v>67.002123383613593</v>
      </c>
      <c r="N8" s="46">
        <f t="shared" si="5"/>
        <v>5</v>
      </c>
      <c r="O8" s="50">
        <f t="shared" si="1"/>
        <v>119.35938720081478</v>
      </c>
      <c r="P8" s="50">
        <f t="shared" si="2"/>
        <v>52.357263817201186</v>
      </c>
      <c r="Q8" s="50">
        <f t="shared" si="3"/>
        <v>61.920108259823571</v>
      </c>
    </row>
    <row r="9" spans="1:17">
      <c r="C9" s="46" t="s">
        <v>23</v>
      </c>
      <c r="D9" s="46">
        <f>(D8-D7)/($C8-$C7)</f>
        <v>0.39263439638411229</v>
      </c>
      <c r="E9" s="46">
        <f>(E8-E7)/($C8-$C7)</f>
        <v>3.2924953070652109E-2</v>
      </c>
      <c r="F9" s="46">
        <f>(F8-F7)/($C8-$C7)</f>
        <v>8.5578712630572901E-2</v>
      </c>
      <c r="K9" s="15" t="str">
        <f>linefmt("",D55,E55,F55)</f>
        <v>3.534028E-02,1,-0.2080994,</v>
      </c>
      <c r="M9" s="46">
        <f t="shared" si="0"/>
        <v>64.864740298718459</v>
      </c>
      <c r="N9" s="46">
        <f t="shared" si="5"/>
        <v>6</v>
      </c>
      <c r="O9" s="50">
        <f t="shared" si="1"/>
        <v>117.11385588185365</v>
      </c>
      <c r="P9" s="50">
        <f t="shared" si="2"/>
        <v>52.249115583135186</v>
      </c>
      <c r="Q9" s="50">
        <f t="shared" si="3"/>
        <v>61.577405773857251</v>
      </c>
    </row>
    <row r="10" spans="1:17">
      <c r="K10" s="16" t="str">
        <f>linefmt("",D56,E56,F56)</f>
        <v>-0.418143,0.3498265,0.8288938,</v>
      </c>
      <c r="M10" s="46">
        <f t="shared" si="0"/>
        <v>62.727357213823339</v>
      </c>
      <c r="N10" s="46">
        <f t="shared" si="5"/>
        <v>7</v>
      </c>
      <c r="O10" s="50">
        <f t="shared" si="1"/>
        <v>114.86832456289252</v>
      </c>
      <c r="P10" s="50">
        <f t="shared" si="2"/>
        <v>52.140967349069186</v>
      </c>
      <c r="Q10" s="50">
        <f t="shared" si="3"/>
        <v>61.234703287890937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60.589974128928205</v>
      </c>
      <c r="N11" s="46">
        <f t="shared" si="5"/>
        <v>8</v>
      </c>
      <c r="O11" s="50">
        <f t="shared" si="1"/>
        <v>112.6227932439314</v>
      </c>
      <c r="P11" s="50">
        <f t="shared" si="2"/>
        <v>52.032819115003193</v>
      </c>
      <c r="Q11" s="50">
        <f t="shared" si="3"/>
        <v>60.892000801924617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58.452591044033078</v>
      </c>
      <c r="N12" s="46">
        <f t="shared" si="5"/>
        <v>9</v>
      </c>
      <c r="O12" s="50">
        <f t="shared" si="1"/>
        <v>110.37726192497027</v>
      </c>
      <c r="P12" s="50">
        <f t="shared" si="2"/>
        <v>51.924670880937192</v>
      </c>
      <c r="Q12" s="50">
        <f t="shared" si="3"/>
        <v>60.549298315958296</v>
      </c>
    </row>
    <row r="13" spans="1:17">
      <c r="A13" s="78" t="s">
        <v>12</v>
      </c>
      <c r="B13" s="79" t="s">
        <v>0</v>
      </c>
      <c r="C13" s="46">
        <v>0</v>
      </c>
      <c r="D13" s="7">
        <v>548.5</v>
      </c>
      <c r="E13" s="7">
        <v>507.5</v>
      </c>
      <c r="F13" s="7">
        <v>154.1</v>
      </c>
      <c r="G13" s="8">
        <v>93.9</v>
      </c>
      <c r="H13" s="8">
        <v>34</v>
      </c>
      <c r="I13" s="8">
        <v>45.2</v>
      </c>
      <c r="M13" s="46">
        <f t="shared" si="0"/>
        <v>56.31520795913795</v>
      </c>
      <c r="N13" s="46">
        <f t="shared" si="5"/>
        <v>10</v>
      </c>
      <c r="O13" s="50">
        <f t="shared" si="1"/>
        <v>108.13173060600914</v>
      </c>
      <c r="P13" s="50">
        <f t="shared" si="2"/>
        <v>51.816522646871192</v>
      </c>
      <c r="Q13" s="50">
        <f t="shared" si="3"/>
        <v>60.206595829991976</v>
      </c>
    </row>
    <row r="14" spans="1:17">
      <c r="A14" s="78"/>
      <c r="B14" s="79"/>
      <c r="C14" s="46">
        <f>C13+1</f>
        <v>1</v>
      </c>
      <c r="D14" s="7">
        <v>555</v>
      </c>
      <c r="E14" s="7">
        <v>513.5</v>
      </c>
      <c r="F14" s="7">
        <v>153.80000000000001</v>
      </c>
      <c r="G14" s="8">
        <v>103.1</v>
      </c>
      <c r="H14" s="8">
        <v>39.1</v>
      </c>
      <c r="I14" s="8">
        <v>51.5</v>
      </c>
      <c r="M14" s="46">
        <f t="shared" si="0"/>
        <v>54.177824874242816</v>
      </c>
      <c r="N14" s="46">
        <f t="shared" si="5"/>
        <v>11</v>
      </c>
      <c r="O14" s="50">
        <f t="shared" si="1"/>
        <v>105.88619928704802</v>
      </c>
      <c r="P14" s="50">
        <f t="shared" si="2"/>
        <v>51.708374412805199</v>
      </c>
      <c r="Q14" s="50">
        <f t="shared" si="3"/>
        <v>59.863893344025655</v>
      </c>
    </row>
    <row r="15" spans="1:17">
      <c r="A15" s="78"/>
      <c r="B15" s="79"/>
      <c r="C15" s="46">
        <f>C14+1</f>
        <v>2</v>
      </c>
      <c r="D15" s="6">
        <f>2*(D13-D14)/(D13+D14)</f>
        <v>-1.1780697779791573E-2</v>
      </c>
      <c r="E15" s="6">
        <f t="shared" ref="E15:F15" si="8">2*(E13-E14)/(E13+E14)</f>
        <v>-1.1753183153770812E-2</v>
      </c>
      <c r="F15" s="6">
        <f t="shared" si="8"/>
        <v>1.9486846378693275E-3</v>
      </c>
      <c r="G15" s="8">
        <v>104.1</v>
      </c>
      <c r="H15" s="8">
        <v>32.1</v>
      </c>
      <c r="I15" s="8">
        <v>44.1</v>
      </c>
      <c r="M15" s="46">
        <f t="shared" si="0"/>
        <v>52.040441789347689</v>
      </c>
      <c r="N15" s="46">
        <f t="shared" si="5"/>
        <v>12</v>
      </c>
      <c r="O15" s="50">
        <f t="shared" si="1"/>
        <v>103.64066796808689</v>
      </c>
      <c r="P15" s="50">
        <f t="shared" si="2"/>
        <v>51.600226178739199</v>
      </c>
      <c r="Q15" s="50">
        <f t="shared" si="3"/>
        <v>59.521190858059342</v>
      </c>
    </row>
    <row r="16" spans="1:17">
      <c r="A16" s="78"/>
      <c r="B16" s="79" t="s">
        <v>1</v>
      </c>
      <c r="C16" s="46">
        <f>C13</f>
        <v>0</v>
      </c>
      <c r="D16" s="7">
        <v>1203</v>
      </c>
      <c r="E16" s="7">
        <v>1212</v>
      </c>
      <c r="F16" s="7">
        <v>652</v>
      </c>
      <c r="G16" s="8">
        <v>64.400000000000006</v>
      </c>
      <c r="H16" s="8">
        <v>75.8</v>
      </c>
      <c r="I16" s="8">
        <v>43.4</v>
      </c>
      <c r="M16" s="46">
        <f t="shared" si="0"/>
        <v>49.903058704452555</v>
      </c>
      <c r="N16" s="46">
        <f t="shared" si="5"/>
        <v>13</v>
      </c>
      <c r="O16" s="50">
        <f t="shared" si="1"/>
        <v>101.39513664912576</v>
      </c>
      <c r="P16" s="50">
        <f t="shared" si="2"/>
        <v>51.492077944673206</v>
      </c>
      <c r="Q16" s="50">
        <f t="shared" si="3"/>
        <v>59.178488372093021</v>
      </c>
    </row>
    <row r="17" spans="1:21">
      <c r="A17" s="78"/>
      <c r="B17" s="79"/>
      <c r="C17" s="46">
        <f t="shared" ref="C17:C21" si="9">C14</f>
        <v>1</v>
      </c>
      <c r="D17" s="7">
        <v>1204</v>
      </c>
      <c r="E17" s="7">
        <v>1213</v>
      </c>
      <c r="F17" s="7">
        <v>651</v>
      </c>
      <c r="G17" s="8">
        <v>71.599999999999994</v>
      </c>
      <c r="H17" s="8">
        <v>84.1</v>
      </c>
      <c r="I17" s="8">
        <v>49.6</v>
      </c>
      <c r="M17" s="46">
        <f t="shared" si="0"/>
        <v>47.765675619557427</v>
      </c>
      <c r="N17" s="46">
        <f t="shared" si="5"/>
        <v>14</v>
      </c>
      <c r="O17" s="50">
        <f t="shared" si="1"/>
        <v>99.149605330164633</v>
      </c>
      <c r="P17" s="50">
        <f t="shared" si="2"/>
        <v>51.383929710607205</v>
      </c>
      <c r="Q17" s="50">
        <f t="shared" si="3"/>
        <v>58.8357858861267</v>
      </c>
    </row>
    <row r="18" spans="1:21">
      <c r="A18" s="78"/>
      <c r="B18" s="79"/>
      <c r="C18" s="46">
        <f t="shared" si="9"/>
        <v>2</v>
      </c>
      <c r="D18" s="6">
        <f>2*(D16-D17)/(D16+D17)</f>
        <v>-8.3090984628167843E-4</v>
      </c>
      <c r="E18" s="6">
        <f t="shared" ref="E18:F18" si="10">2*(E16-E17)/(E16+E17)</f>
        <v>-8.2474226804123715E-4</v>
      </c>
      <c r="F18" s="6">
        <f t="shared" si="10"/>
        <v>1.5349194167306216E-3</v>
      </c>
      <c r="G18" s="8">
        <v>54.9</v>
      </c>
      <c r="H18" s="8">
        <v>65.599999999999994</v>
      </c>
      <c r="I18" s="8">
        <v>42.1</v>
      </c>
      <c r="M18" s="46">
        <f t="shared" si="0"/>
        <v>45.6282925346623</v>
      </c>
      <c r="N18" s="46">
        <f t="shared" si="5"/>
        <v>15</v>
      </c>
      <c r="O18" s="50">
        <f t="shared" si="1"/>
        <v>96.904074011203505</v>
      </c>
      <c r="P18" s="50">
        <f t="shared" si="2"/>
        <v>51.275781476541205</v>
      </c>
      <c r="Q18" s="50">
        <f t="shared" si="3"/>
        <v>58.49308340016038</v>
      </c>
    </row>
    <row r="19" spans="1:21">
      <c r="A19" s="78"/>
      <c r="B19" s="79" t="s">
        <v>2</v>
      </c>
      <c r="C19" s="46">
        <f t="shared" si="9"/>
        <v>0</v>
      </c>
      <c r="D19" s="7">
        <v>513.1</v>
      </c>
      <c r="E19" s="7">
        <v>579.70000000000005</v>
      </c>
      <c r="F19" s="7">
        <v>530.1</v>
      </c>
      <c r="G19" s="8">
        <v>28.7</v>
      </c>
      <c r="H19" s="8">
        <v>38.200000000000003</v>
      </c>
      <c r="I19" s="8">
        <v>32.700000000000003</v>
      </c>
      <c r="M19" s="46">
        <f t="shared" si="0"/>
        <v>43.490909449767166</v>
      </c>
      <c r="N19" s="46">
        <f t="shared" si="5"/>
        <v>16</v>
      </c>
      <c r="O19" s="50">
        <f t="shared" si="1"/>
        <v>94.658542692242378</v>
      </c>
      <c r="P19" s="50">
        <f t="shared" si="2"/>
        <v>51.167633242475212</v>
      </c>
      <c r="Q19" s="50">
        <f t="shared" si="3"/>
        <v>58.150380914194059</v>
      </c>
    </row>
    <row r="20" spans="1:21">
      <c r="A20" s="78"/>
      <c r="B20" s="79"/>
      <c r="C20" s="46">
        <f t="shared" si="9"/>
        <v>1</v>
      </c>
      <c r="D20" s="7">
        <v>514.1</v>
      </c>
      <c r="E20" s="7">
        <v>580.6</v>
      </c>
      <c r="F20" s="7">
        <v>530.20000000000005</v>
      </c>
      <c r="G20" s="8">
        <v>32.799999999999997</v>
      </c>
      <c r="H20" s="8">
        <v>43.6</v>
      </c>
      <c r="I20" s="8">
        <v>37.4</v>
      </c>
      <c r="M20" s="46">
        <f t="shared" si="0"/>
        <v>41.353526364872039</v>
      </c>
      <c r="N20" s="46">
        <f t="shared" si="5"/>
        <v>17</v>
      </c>
      <c r="O20" s="50">
        <f t="shared" si="1"/>
        <v>92.41301137328125</v>
      </c>
      <c r="P20" s="50">
        <f t="shared" si="2"/>
        <v>51.059485008409212</v>
      </c>
      <c r="Q20" s="50">
        <f t="shared" si="3"/>
        <v>57.807678428227746</v>
      </c>
    </row>
    <row r="21" spans="1:21">
      <c r="A21" s="78"/>
      <c r="B21" s="79"/>
      <c r="C21" s="46">
        <f t="shared" si="9"/>
        <v>2</v>
      </c>
      <c r="D21" s="6">
        <f>2*(D19-D20)/(D19+D20)</f>
        <v>-1.9470404984423676E-3</v>
      </c>
      <c r="E21" s="6">
        <f t="shared" ref="E21:F21" si="11">2*(E19-E20)/(E19+E20)</f>
        <v>-1.5513229337239974E-3</v>
      </c>
      <c r="F21" s="6">
        <f t="shared" si="11"/>
        <v>-1.8862586060553187E-4</v>
      </c>
      <c r="G21" s="8">
        <v>26</v>
      </c>
      <c r="H21" s="8">
        <v>36</v>
      </c>
      <c r="I21" s="8">
        <v>29.7</v>
      </c>
      <c r="M21" s="46">
        <f t="shared" si="0"/>
        <v>39.216143279976912</v>
      </c>
      <c r="N21" s="46">
        <f t="shared" si="5"/>
        <v>18</v>
      </c>
      <c r="O21" s="50">
        <f t="shared" si="1"/>
        <v>90.167480054320123</v>
      </c>
      <c r="P21" s="50">
        <f t="shared" si="2"/>
        <v>50.951336774343211</v>
      </c>
      <c r="Q21" s="50">
        <f t="shared" si="3"/>
        <v>57.464975942261425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551.75</v>
      </c>
      <c r="E22" s="46">
        <f t="shared" ref="E22:F22" si="12">(E13+E14)/2</f>
        <v>510.5</v>
      </c>
      <c r="F22" s="46">
        <f t="shared" si="12"/>
        <v>153.94999999999999</v>
      </c>
      <c r="G22" s="5">
        <f>G13</f>
        <v>93.9</v>
      </c>
      <c r="H22" s="5">
        <f t="shared" ref="H22:I22" si="13">H13</f>
        <v>34</v>
      </c>
      <c r="I22" s="5">
        <f t="shared" si="13"/>
        <v>45.2</v>
      </c>
      <c r="J22" s="99">
        <f>AVERAGE(G22:I24)</f>
        <v>50.699999999999996</v>
      </c>
      <c r="M22" s="46">
        <f t="shared" si="0"/>
        <v>37.078760195081777</v>
      </c>
      <c r="N22" s="46">
        <f t="shared" si="5"/>
        <v>19</v>
      </c>
      <c r="O22" s="50">
        <f t="shared" si="1"/>
        <v>87.921948735358995</v>
      </c>
      <c r="P22" s="50">
        <f t="shared" si="2"/>
        <v>50.843188540277218</v>
      </c>
      <c r="Q22" s="50">
        <f t="shared" si="3"/>
        <v>57.122273456295105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1203.5</v>
      </c>
      <c r="E23" s="46">
        <f>(E16+E17)/2</f>
        <v>1212.5</v>
      </c>
      <c r="F23" s="46">
        <f>(F16+F17)/2</f>
        <v>651.5</v>
      </c>
      <c r="G23" s="5">
        <f>G16</f>
        <v>64.400000000000006</v>
      </c>
      <c r="H23" s="5">
        <f>H16</f>
        <v>75.8</v>
      </c>
      <c r="I23" s="5">
        <f>I16</f>
        <v>43.4</v>
      </c>
      <c r="J23" s="99"/>
      <c r="M23" s="46">
        <f t="shared" si="0"/>
        <v>34.94137711018665</v>
      </c>
      <c r="N23" s="46">
        <f t="shared" si="5"/>
        <v>20</v>
      </c>
      <c r="O23" s="50">
        <f t="shared" si="1"/>
        <v>85.676417416397868</v>
      </c>
      <c r="P23" s="50">
        <f t="shared" si="2"/>
        <v>50.735040306211218</v>
      </c>
      <c r="Q23" s="50">
        <f t="shared" si="3"/>
        <v>56.779570970328784</v>
      </c>
    </row>
    <row r="24" spans="1:21">
      <c r="A24" s="78"/>
      <c r="B24" s="46" t="str">
        <f>B19</f>
        <v>D65</v>
      </c>
      <c r="C24" s="79"/>
      <c r="D24" s="46">
        <f>(D19+D20)/2</f>
        <v>513.6</v>
      </c>
      <c r="E24" s="46">
        <f>(E19+E20)/2</f>
        <v>580.15000000000009</v>
      </c>
      <c r="F24" s="46">
        <f>(F19+F20)/2</f>
        <v>530.15000000000009</v>
      </c>
      <c r="G24" s="5">
        <f>G19</f>
        <v>28.7</v>
      </c>
      <c r="H24" s="5">
        <f>H19</f>
        <v>38.200000000000003</v>
      </c>
      <c r="I24" s="5">
        <f>I19</f>
        <v>32.700000000000003</v>
      </c>
      <c r="J24" s="99"/>
      <c r="M24" s="46">
        <f t="shared" si="0"/>
        <v>32.803994025291523</v>
      </c>
      <c r="N24" s="46">
        <f t="shared" si="5"/>
        <v>21</v>
      </c>
      <c r="O24" s="50">
        <f t="shared" si="1"/>
        <v>83.430886097436741</v>
      </c>
      <c r="P24" s="50">
        <f t="shared" si="2"/>
        <v>50.626892072145218</v>
      </c>
      <c r="Q24" s="50">
        <f t="shared" si="3"/>
        <v>56.436868484362464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551.75</v>
      </c>
      <c r="E25" s="46">
        <f t="shared" ref="E25:F25" si="15">(E13+E14)/2</f>
        <v>510.5</v>
      </c>
      <c r="F25" s="46">
        <f t="shared" si="15"/>
        <v>153.94999999999999</v>
      </c>
      <c r="G25" s="5">
        <f t="shared" ref="G25:I25" si="16">G14</f>
        <v>103.1</v>
      </c>
      <c r="H25" s="5">
        <f t="shared" si="16"/>
        <v>39.1</v>
      </c>
      <c r="I25" s="5">
        <f t="shared" si="16"/>
        <v>51.5</v>
      </c>
      <c r="J25" s="99">
        <f>AVERAGE(G25:I27)</f>
        <v>56.977777777777789</v>
      </c>
      <c r="M25" s="46">
        <f t="shared" si="0"/>
        <v>30.666610940396389</v>
      </c>
      <c r="N25" s="46">
        <f t="shared" si="5"/>
        <v>22</v>
      </c>
      <c r="O25" s="50">
        <f t="shared" si="1"/>
        <v>81.185354778475613</v>
      </c>
      <c r="P25" s="50">
        <f t="shared" si="2"/>
        <v>50.518743838079224</v>
      </c>
      <c r="Q25" s="50">
        <f t="shared" si="3"/>
        <v>56.09416599839615</v>
      </c>
    </row>
    <row r="26" spans="1:21">
      <c r="A26" s="78"/>
      <c r="B26" s="46" t="str">
        <f>B16</f>
        <v>CWF</v>
      </c>
      <c r="C26" s="79"/>
      <c r="D26" s="46">
        <f>(D16+D17)/2</f>
        <v>1203.5</v>
      </c>
      <c r="E26" s="46">
        <f>(E16+E17)/2</f>
        <v>1212.5</v>
      </c>
      <c r="F26" s="46">
        <f>(F16+F17)/2</f>
        <v>651.5</v>
      </c>
      <c r="G26" s="5">
        <f>G17</f>
        <v>71.599999999999994</v>
      </c>
      <c r="H26" s="5">
        <f>H17</f>
        <v>84.1</v>
      </c>
      <c r="I26" s="5">
        <f>I17</f>
        <v>49.6</v>
      </c>
      <c r="J26" s="99"/>
      <c r="M26" s="46">
        <f t="shared" si="0"/>
        <v>28.529227855501262</v>
      </c>
      <c r="N26" s="46">
        <f t="shared" si="5"/>
        <v>23</v>
      </c>
      <c r="O26" s="50">
        <f t="shared" si="1"/>
        <v>78.939823459514486</v>
      </c>
      <c r="P26" s="50">
        <f t="shared" si="2"/>
        <v>50.410595604013224</v>
      </c>
      <c r="Q26" s="50">
        <f t="shared" si="3"/>
        <v>55.751463512429829</v>
      </c>
    </row>
    <row r="27" spans="1:21">
      <c r="A27" s="78"/>
      <c r="B27" s="46" t="str">
        <f>B19</f>
        <v>D65</v>
      </c>
      <c r="C27" s="79"/>
      <c r="D27" s="46">
        <f>(D19+D20)/2</f>
        <v>513.6</v>
      </c>
      <c r="E27" s="46">
        <f>(E19+E20)/2</f>
        <v>580.15000000000009</v>
      </c>
      <c r="F27" s="46">
        <f>(F19+F20)/2</f>
        <v>530.15000000000009</v>
      </c>
      <c r="G27" s="5">
        <f>G20</f>
        <v>32.799999999999997</v>
      </c>
      <c r="H27" s="5">
        <f>H20</f>
        <v>43.6</v>
      </c>
      <c r="I27" s="5">
        <f>I20</f>
        <v>37.4</v>
      </c>
      <c r="J27" s="99"/>
      <c r="M27" s="46">
        <f t="shared" si="0"/>
        <v>26.391844770606149</v>
      </c>
      <c r="N27" s="46">
        <f t="shared" si="5"/>
        <v>24</v>
      </c>
      <c r="O27" s="50">
        <f t="shared" si="1"/>
        <v>76.694292140553372</v>
      </c>
      <c r="P27" s="50">
        <f t="shared" si="2"/>
        <v>50.302447369947224</v>
      </c>
      <c r="Q27" s="50">
        <f t="shared" si="3"/>
        <v>55.408761026463509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551.75</v>
      </c>
      <c r="E28" s="46">
        <f t="shared" ref="E28:F28" si="17">(E13+E14)/2</f>
        <v>510.5</v>
      </c>
      <c r="F28" s="46">
        <f t="shared" si="17"/>
        <v>153.94999999999999</v>
      </c>
      <c r="G28" s="5">
        <f t="shared" ref="G28:I28" si="18">G15</f>
        <v>104.1</v>
      </c>
      <c r="H28" s="5">
        <f t="shared" si="18"/>
        <v>32.1</v>
      </c>
      <c r="I28" s="5">
        <f t="shared" si="18"/>
        <v>44.1</v>
      </c>
      <c r="J28" s="99">
        <f>AVERAGE(G28:I30)</f>
        <v>48.288888888888884</v>
      </c>
      <c r="M28" s="46">
        <f t="shared" si="0"/>
        <v>24.254461685711014</v>
      </c>
      <c r="N28" s="46">
        <f t="shared" si="5"/>
        <v>25</v>
      </c>
      <c r="O28" s="50">
        <f t="shared" si="1"/>
        <v>74.448760821592245</v>
      </c>
      <c r="P28" s="50">
        <f t="shared" si="2"/>
        <v>50.194299135881231</v>
      </c>
      <c r="Q28" s="50">
        <f t="shared" si="3"/>
        <v>55.066058540497188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1203.5</v>
      </c>
      <c r="E29" s="46">
        <f t="shared" si="20"/>
        <v>1212.5</v>
      </c>
      <c r="F29" s="46">
        <f t="shared" si="20"/>
        <v>651.5</v>
      </c>
      <c r="G29" s="5">
        <f t="shared" ref="G29:I29" si="21">G18</f>
        <v>54.9</v>
      </c>
      <c r="H29" s="5">
        <f t="shared" si="21"/>
        <v>65.599999999999994</v>
      </c>
      <c r="I29" s="5">
        <f t="shared" si="21"/>
        <v>42.1</v>
      </c>
      <c r="J29" s="99"/>
      <c r="M29" s="46">
        <f t="shared" si="0"/>
        <v>22.117078600815887</v>
      </c>
      <c r="N29" s="46">
        <f t="shared" si="5"/>
        <v>26</v>
      </c>
      <c r="O29" s="50">
        <f t="shared" si="1"/>
        <v>72.203229502631117</v>
      </c>
      <c r="P29" s="50">
        <f t="shared" si="2"/>
        <v>50.08615090181523</v>
      </c>
      <c r="Q29" s="50">
        <f t="shared" si="3"/>
        <v>54.723356054530868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513.6</v>
      </c>
      <c r="E30" s="46">
        <f t="shared" si="23"/>
        <v>580.15000000000009</v>
      </c>
      <c r="F30" s="46">
        <f t="shared" si="23"/>
        <v>530.15000000000009</v>
      </c>
      <c r="G30" s="5">
        <f t="shared" ref="G30:I30" si="24">G21</f>
        <v>26</v>
      </c>
      <c r="H30" s="5">
        <f t="shared" si="24"/>
        <v>36</v>
      </c>
      <c r="I30" s="5">
        <f t="shared" si="24"/>
        <v>29.7</v>
      </c>
      <c r="J30" s="99"/>
      <c r="M30" s="46">
        <f t="shared" si="0"/>
        <v>19.97969551592076</v>
      </c>
      <c r="N30" s="46">
        <f t="shared" si="5"/>
        <v>27</v>
      </c>
      <c r="O30" s="50">
        <f t="shared" si="1"/>
        <v>69.95769818366999</v>
      </c>
      <c r="P30" s="50">
        <f t="shared" si="2"/>
        <v>49.97800266774923</v>
      </c>
      <c r="Q30" s="50">
        <f t="shared" si="3"/>
        <v>54.380653568564554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551.75</v>
      </c>
      <c r="E31" s="46">
        <f t="shared" si="25"/>
        <v>510.5</v>
      </c>
      <c r="F31" s="46">
        <f t="shared" si="25"/>
        <v>153.94999999999999</v>
      </c>
      <c r="G31" s="5">
        <f t="shared" ref="G31:I33" si="26">G22*$J$31</f>
        <v>93.9</v>
      </c>
      <c r="H31" s="5">
        <f t="shared" si="26"/>
        <v>34</v>
      </c>
      <c r="I31" s="5">
        <f t="shared" si="26"/>
        <v>45.2</v>
      </c>
      <c r="J31" s="96">
        <f>J$22/J22</f>
        <v>1</v>
      </c>
      <c r="M31" s="46">
        <f t="shared" si="0"/>
        <v>17.842312431025626</v>
      </c>
      <c r="N31" s="46">
        <f t="shared" si="5"/>
        <v>28</v>
      </c>
      <c r="O31" s="50">
        <f t="shared" si="1"/>
        <v>67.712166864708863</v>
      </c>
      <c r="P31" s="50">
        <f t="shared" si="2"/>
        <v>49.869854433683237</v>
      </c>
      <c r="Q31" s="50">
        <f t="shared" si="3"/>
        <v>54.037951082598234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1203.5</v>
      </c>
      <c r="E32" s="46">
        <f t="shared" si="27"/>
        <v>1212.5</v>
      </c>
      <c r="F32" s="46">
        <f t="shared" si="27"/>
        <v>651.5</v>
      </c>
      <c r="G32" s="5">
        <f t="shared" si="26"/>
        <v>64.400000000000006</v>
      </c>
      <c r="H32" s="5">
        <f t="shared" si="26"/>
        <v>75.8</v>
      </c>
      <c r="I32" s="5">
        <f t="shared" si="26"/>
        <v>43.4</v>
      </c>
      <c r="J32" s="96"/>
      <c r="M32" s="46">
        <f t="shared" si="0"/>
        <v>15.704929346130498</v>
      </c>
      <c r="N32" s="46">
        <f t="shared" si="5"/>
        <v>29</v>
      </c>
      <c r="O32" s="50">
        <f t="shared" si="1"/>
        <v>65.466635545747735</v>
      </c>
      <c r="P32" s="50">
        <f t="shared" si="2"/>
        <v>49.761706199617237</v>
      </c>
      <c r="Q32" s="50">
        <f t="shared" si="3"/>
        <v>53.695248596631913</v>
      </c>
    </row>
    <row r="33" spans="1:17">
      <c r="A33" s="78"/>
      <c r="B33" s="46" t="str">
        <f t="shared" si="27"/>
        <v>D65</v>
      </c>
      <c r="C33" s="79"/>
      <c r="D33" s="46">
        <f t="shared" si="27"/>
        <v>513.6</v>
      </c>
      <c r="E33" s="46">
        <f t="shared" si="27"/>
        <v>580.15000000000009</v>
      </c>
      <c r="F33" s="46">
        <f t="shared" si="27"/>
        <v>530.15000000000009</v>
      </c>
      <c r="G33" s="5">
        <f t="shared" si="26"/>
        <v>28.7</v>
      </c>
      <c r="H33" s="5">
        <f t="shared" si="26"/>
        <v>38.200000000000003</v>
      </c>
      <c r="I33" s="5">
        <f t="shared" si="26"/>
        <v>32.700000000000003</v>
      </c>
      <c r="J33" s="96"/>
      <c r="M33" s="46">
        <f t="shared" si="0"/>
        <v>13.567546261235364</v>
      </c>
      <c r="N33" s="46">
        <f t="shared" si="5"/>
        <v>30</v>
      </c>
      <c r="O33" s="50">
        <f t="shared" si="1"/>
        <v>63.221104226786608</v>
      </c>
      <c r="P33" s="50">
        <f t="shared" si="2"/>
        <v>49.653557965551244</v>
      </c>
      <c r="Q33" s="50">
        <f t="shared" si="3"/>
        <v>53.352546110665592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551.75</v>
      </c>
      <c r="E34" s="46">
        <f t="shared" si="27"/>
        <v>510.5</v>
      </c>
      <c r="F34" s="46">
        <f t="shared" si="27"/>
        <v>153.94999999999999</v>
      </c>
      <c r="G34" s="5">
        <f t="shared" ref="G34:I36" si="28">G25*$J$34</f>
        <v>91.740503120124771</v>
      </c>
      <c r="H34" s="5">
        <f t="shared" si="28"/>
        <v>34.79198517940717</v>
      </c>
      <c r="I34" s="5">
        <f t="shared" si="28"/>
        <v>45.825760530421206</v>
      </c>
      <c r="J34" s="96">
        <f>J$22/J25</f>
        <v>0.88982059282371273</v>
      </c>
      <c r="M34" s="46">
        <f t="shared" si="0"/>
        <v>11.430163176340237</v>
      </c>
      <c r="N34" s="46">
        <f t="shared" si="5"/>
        <v>31</v>
      </c>
      <c r="O34" s="50">
        <f t="shared" si="1"/>
        <v>60.97557290782548</v>
      </c>
      <c r="P34" s="50">
        <f t="shared" si="2"/>
        <v>49.545409731485243</v>
      </c>
      <c r="Q34" s="50">
        <f t="shared" si="3"/>
        <v>53.009843624699272</v>
      </c>
    </row>
    <row r="35" spans="1:17">
      <c r="A35" s="78"/>
      <c r="B35" s="46" t="str">
        <f t="shared" si="27"/>
        <v>CWF</v>
      </c>
      <c r="C35" s="79"/>
      <c r="D35" s="46">
        <f t="shared" si="27"/>
        <v>1203.5</v>
      </c>
      <c r="E35" s="46">
        <f t="shared" si="27"/>
        <v>1212.5</v>
      </c>
      <c r="F35" s="46">
        <f t="shared" si="27"/>
        <v>651.5</v>
      </c>
      <c r="G35" s="5">
        <f t="shared" si="28"/>
        <v>63.711154446177829</v>
      </c>
      <c r="H35" s="5">
        <f t="shared" si="28"/>
        <v>74.833911856474231</v>
      </c>
      <c r="I35" s="5">
        <f t="shared" si="28"/>
        <v>44.135101404056151</v>
      </c>
      <c r="J35" s="96"/>
      <c r="M35" s="46">
        <f t="shared" si="0"/>
        <v>9.2927800914451097</v>
      </c>
      <c r="N35" s="46">
        <f t="shared" si="5"/>
        <v>32</v>
      </c>
      <c r="O35" s="50">
        <f t="shared" si="1"/>
        <v>58.730041588864353</v>
      </c>
      <c r="P35" s="50">
        <f t="shared" si="2"/>
        <v>49.437261497419243</v>
      </c>
      <c r="Q35" s="50">
        <f t="shared" si="3"/>
        <v>52.667141138732958</v>
      </c>
    </row>
    <row r="36" spans="1:17">
      <c r="A36" s="78"/>
      <c r="B36" s="46" t="str">
        <f t="shared" si="27"/>
        <v>D65</v>
      </c>
      <c r="C36" s="79"/>
      <c r="D36" s="46">
        <f t="shared" si="27"/>
        <v>513.6</v>
      </c>
      <c r="E36" s="46">
        <f t="shared" si="27"/>
        <v>580.15000000000009</v>
      </c>
      <c r="F36" s="46">
        <f t="shared" si="27"/>
        <v>530.15000000000009</v>
      </c>
      <c r="G36" s="5">
        <f t="shared" si="28"/>
        <v>29.186115444617776</v>
      </c>
      <c r="H36" s="5">
        <f t="shared" si="28"/>
        <v>38.796177847113874</v>
      </c>
      <c r="I36" s="5">
        <f t="shared" si="28"/>
        <v>33.279290171606853</v>
      </c>
      <c r="J36" s="96"/>
      <c r="M36" s="46">
        <f t="shared" si="0"/>
        <v>7.1553970065499755</v>
      </c>
      <c r="N36" s="46">
        <f t="shared" si="5"/>
        <v>33</v>
      </c>
      <c r="O36" s="50">
        <f t="shared" si="1"/>
        <v>56.484510269903225</v>
      </c>
      <c r="P36" s="50">
        <f t="shared" si="2"/>
        <v>49.32911326335325</v>
      </c>
      <c r="Q36" s="50">
        <f t="shared" si="3"/>
        <v>52.324438652766638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551.75</v>
      </c>
      <c r="E37" s="46">
        <f t="shared" si="27"/>
        <v>510.5</v>
      </c>
      <c r="F37" s="46">
        <f t="shared" si="27"/>
        <v>153.94999999999999</v>
      </c>
      <c r="G37" s="5">
        <f t="shared" ref="G37:I39" si="29">G28*$J$37</f>
        <v>109.2978140819144</v>
      </c>
      <c r="H37" s="5">
        <f t="shared" si="29"/>
        <v>33.702784169351126</v>
      </c>
      <c r="I37" s="5">
        <f t="shared" si="29"/>
        <v>46.301955821445006</v>
      </c>
      <c r="J37" s="96">
        <f>J$22/J28</f>
        <v>1.0499309710078233</v>
      </c>
      <c r="K37" s="51" t="str">
        <f>CHAR(34) &amp; "EEpromVersion" &amp;CHAR(34)  &amp; ",3,"</f>
        <v>"EEpromVersion",3,</v>
      </c>
      <c r="M37" s="46">
        <f t="shared" si="0"/>
        <v>5.0180139216548483</v>
      </c>
      <c r="N37" s="46">
        <f t="shared" si="5"/>
        <v>34</v>
      </c>
      <c r="O37" s="50">
        <f t="shared" si="1"/>
        <v>54.238978950942098</v>
      </c>
      <c r="P37" s="50">
        <f t="shared" si="2"/>
        <v>49.22096502928725</v>
      </c>
      <c r="Q37" s="50">
        <f t="shared" si="3"/>
        <v>51.981736166800317</v>
      </c>
    </row>
    <row r="38" spans="1:17">
      <c r="A38" s="78"/>
      <c r="B38" s="46" t="str">
        <f t="shared" si="27"/>
        <v>CWF</v>
      </c>
      <c r="C38" s="79"/>
      <c r="D38" s="46">
        <f t="shared" si="27"/>
        <v>1203.5</v>
      </c>
      <c r="E38" s="46">
        <f t="shared" si="27"/>
        <v>1212.5</v>
      </c>
      <c r="F38" s="46">
        <f t="shared" si="27"/>
        <v>651.5</v>
      </c>
      <c r="G38" s="5">
        <f t="shared" si="29"/>
        <v>57.641210308329498</v>
      </c>
      <c r="H38" s="5">
        <f t="shared" si="29"/>
        <v>68.875471698113202</v>
      </c>
      <c r="I38" s="5">
        <f t="shared" si="29"/>
        <v>44.202093879429363</v>
      </c>
      <c r="J38" s="96"/>
      <c r="K38" s="52" t="str">
        <f>K4</f>
        <v>"Compensation",36,</v>
      </c>
      <c r="M38" s="46">
        <f t="shared" si="0"/>
        <v>2.8806308367597211</v>
      </c>
      <c r="N38" s="46">
        <f t="shared" si="5"/>
        <v>35</v>
      </c>
      <c r="O38" s="50">
        <f t="shared" si="1"/>
        <v>51.99344763198097</v>
      </c>
      <c r="P38" s="50">
        <f t="shared" si="2"/>
        <v>49.112816795221249</v>
      </c>
      <c r="Q38" s="50">
        <f t="shared" si="3"/>
        <v>51.639033680834004</v>
      </c>
    </row>
    <row r="39" spans="1:17">
      <c r="A39" s="78"/>
      <c r="B39" s="46" t="str">
        <f t="shared" si="27"/>
        <v>D65</v>
      </c>
      <c r="C39" s="79"/>
      <c r="D39" s="46">
        <f t="shared" si="27"/>
        <v>513.6</v>
      </c>
      <c r="E39" s="46">
        <f t="shared" si="27"/>
        <v>580.15000000000009</v>
      </c>
      <c r="F39" s="46">
        <f t="shared" si="27"/>
        <v>530.15000000000009</v>
      </c>
      <c r="G39" s="5">
        <f t="shared" si="29"/>
        <v>27.298205246203405</v>
      </c>
      <c r="H39" s="5">
        <f t="shared" si="29"/>
        <v>37.797514956281638</v>
      </c>
      <c r="I39" s="5">
        <f t="shared" si="29"/>
        <v>31.182949838932352</v>
      </c>
      <c r="J39" s="96"/>
      <c r="K39" s="53" t="str">
        <f>linefmt("CardGain",J42,J45,J48)</f>
        <v>"CardGain",17.0619,17.98255,22.66973,</v>
      </c>
      <c r="M39" s="46">
        <f t="shared" si="0"/>
        <v>2.29166263371242</v>
      </c>
      <c r="N39" s="46">
        <f t="shared" si="5"/>
        <v>36</v>
      </c>
      <c r="O39" s="50">
        <f t="shared" si="1"/>
        <v>49.747916313019843</v>
      </c>
      <c r="P39" s="50">
        <f t="shared" si="2"/>
        <v>49.004668561155256</v>
      </c>
      <c r="Q39" s="50">
        <f t="shared" si="3"/>
        <v>51.296331194867676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"Range",1,0.8898206,1.049931,</v>
      </c>
      <c r="M40" s="46">
        <f t="shared" si="0"/>
        <v>3.4512437148426471</v>
      </c>
      <c r="N40" s="46">
        <f t="shared" si="5"/>
        <v>37</v>
      </c>
      <c r="O40" s="50">
        <f t="shared" si="1"/>
        <v>47.502384994058716</v>
      </c>
      <c r="P40" s="50">
        <f t="shared" si="2"/>
        <v>48.896520327089256</v>
      </c>
      <c r="Q40" s="50">
        <f t="shared" si="3"/>
        <v>50.953628708901363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5.354072547837454</v>
      </c>
      <c r="N41" s="46">
        <f t="shared" si="5"/>
        <v>38</v>
      </c>
      <c r="O41" s="50">
        <f t="shared" si="1"/>
        <v>45.256853675097588</v>
      </c>
      <c r="P41" s="50">
        <f t="shared" si="2"/>
        <v>48.788372093023256</v>
      </c>
      <c r="Q41" s="50">
        <f t="shared" si="3"/>
        <v>50.610926222935042</v>
      </c>
    </row>
    <row r="42" spans="1:17">
      <c r="A42" s="4"/>
      <c r="B42" s="46" t="s">
        <v>3</v>
      </c>
      <c r="C42" s="79">
        <f>C31</f>
        <v>0</v>
      </c>
      <c r="D42" s="46">
        <f>I42/$H$43</f>
        <v>0.18448401814120052</v>
      </c>
      <c r="E42" s="46">
        <f>H42/$H$43</f>
        <v>1.0251517323109192</v>
      </c>
      <c r="F42" s="46">
        <f>G42/$H$43</f>
        <v>-0.43893952671490649</v>
      </c>
      <c r="G42" s="46">
        <f t="array" ref="G42:I42">LINEST($D31:$D33,$G31:$I33,FALSE)</f>
        <v>-7.4891404367534342</v>
      </c>
      <c r="H42" s="46">
        <v>17.491031964510491</v>
      </c>
      <c r="I42" s="46">
        <v>3.1476470814472641</v>
      </c>
      <c r="J42" s="97">
        <f>H43</f>
        <v>17.061895730383082</v>
      </c>
      <c r="K42" s="53" t="str">
        <f t="shared" ref="K42:K50" si="30">linefmt("",D42,E42,F42)</f>
        <v>0.184484,1.025152,-0.4389395,</v>
      </c>
      <c r="M42" s="46">
        <f t="shared" si="0"/>
        <v>7.2569013808322609</v>
      </c>
      <c r="N42" s="46">
        <f t="shared" si="5"/>
        <v>39</v>
      </c>
      <c r="O42" s="50">
        <f t="shared" si="1"/>
        <v>43.011322356136461</v>
      </c>
      <c r="P42" s="50">
        <f t="shared" si="2"/>
        <v>48.680223858957262</v>
      </c>
      <c r="Q42" s="50">
        <f t="shared" si="3"/>
        <v>50.268223736968721</v>
      </c>
    </row>
    <row r="43" spans="1:17">
      <c r="A43" s="4"/>
      <c r="B43" s="46" t="s">
        <v>4</v>
      </c>
      <c r="C43" s="79"/>
      <c r="D43" s="46">
        <f>I43/$H$43</f>
        <v>3.1759513668206923E-2</v>
      </c>
      <c r="E43" s="46">
        <f>H43/$H$43</f>
        <v>1</v>
      </c>
      <c r="F43" s="46">
        <f>G43/$H$43</f>
        <v>-0.15623329155733534</v>
      </c>
      <c r="G43" s="46">
        <f t="array" ref="G43:I43">LINEST($E31:$E33,$G31:$I33,FALSE)</f>
        <v>-2.6656361301657951</v>
      </c>
      <c r="H43" s="46">
        <v>17.061895730383082</v>
      </c>
      <c r="I43" s="46">
        <v>0.54187751065462286</v>
      </c>
      <c r="J43" s="97"/>
      <c r="K43" s="53" t="str">
        <f t="shared" si="30"/>
        <v>3.175952E-02,1,-0.1562333,</v>
      </c>
      <c r="M43" s="46">
        <f t="shared" si="0"/>
        <v>9.1597302138270749</v>
      </c>
      <c r="N43" s="46">
        <f t="shared" si="5"/>
        <v>40</v>
      </c>
      <c r="O43" s="50">
        <f t="shared" si="1"/>
        <v>40.765791037175333</v>
      </c>
      <c r="P43" s="50">
        <f t="shared" si="2"/>
        <v>48.572075624891262</v>
      </c>
      <c r="Q43" s="50">
        <f t="shared" si="3"/>
        <v>49.925521251002408</v>
      </c>
    </row>
    <row r="44" spans="1:17">
      <c r="A44" s="4"/>
      <c r="B44" s="46" t="s">
        <v>5</v>
      </c>
      <c r="C44" s="79"/>
      <c r="D44" s="46">
        <f>I44/$H$43</f>
        <v>-0.48981480213248935</v>
      </c>
      <c r="E44" s="46">
        <f>H44/$H$43</f>
        <v>0.39168723017449331</v>
      </c>
      <c r="F44" s="46">
        <f>G44/$H$43</f>
        <v>0.92255031566937895</v>
      </c>
      <c r="G44" s="46">
        <f t="array" ref="G44:I44">LINEST($F$31:$F$33,$G31:$I33,FALSE)</f>
        <v>15.740457291982942</v>
      </c>
      <c r="H44" s="46">
        <v>6.6829266801597624</v>
      </c>
      <c r="I44" s="46">
        <v>-8.3571690811827537</v>
      </c>
      <c r="J44" s="97"/>
      <c r="K44" s="53" t="str">
        <f t="shared" si="30"/>
        <v>-0.4898148,0.3916872,0.9225503,</v>
      </c>
      <c r="M44" s="46">
        <f t="shared" si="0"/>
        <v>11.062559046821882</v>
      </c>
      <c r="N44" s="46">
        <f t="shared" si="5"/>
        <v>41</v>
      </c>
      <c r="O44" s="50">
        <f t="shared" si="1"/>
        <v>38.520259718214206</v>
      </c>
      <c r="P44" s="50">
        <f t="shared" si="2"/>
        <v>48.463927390825262</v>
      </c>
      <c r="Q44" s="50">
        <f t="shared" si="3"/>
        <v>49.582818765036087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0.20285582487327511</v>
      </c>
      <c r="E45" s="46">
        <f>H45/$H$46</f>
        <v>1.0253900058407426</v>
      </c>
      <c r="F45" s="46">
        <f>G45/$H$46</f>
        <v>-0.51505816847019603</v>
      </c>
      <c r="G45" s="46">
        <f t="array" ref="G45:I45">LINEST($D34:$D36,$G34:$I36,FALSE)</f>
        <v>-9.262061001814704</v>
      </c>
      <c r="H45" s="46">
        <v>18.439130502398108</v>
      </c>
      <c r="I45" s="46">
        <v>3.6478656966653578</v>
      </c>
      <c r="J45" s="97">
        <f>H46</f>
        <v>17.982553367369139</v>
      </c>
      <c r="K45" s="53" t="str">
        <f t="shared" si="30"/>
        <v>0.2028558,1.02539,-0.5150582,</v>
      </c>
      <c r="M45" s="46">
        <f t="shared" si="0"/>
        <v>12.965387879816689</v>
      </c>
      <c r="N45" s="46">
        <f t="shared" si="5"/>
        <v>42</v>
      </c>
      <c r="O45" s="50">
        <f t="shared" si="1"/>
        <v>36.274728399253078</v>
      </c>
      <c r="P45" s="50">
        <f t="shared" si="2"/>
        <v>48.355779156759269</v>
      </c>
      <c r="Q45" s="50">
        <f t="shared" si="3"/>
        <v>49.240116279069767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5.0328345208429284E-2</v>
      </c>
      <c r="E46" s="46">
        <f>H46/$H$46</f>
        <v>1</v>
      </c>
      <c r="F46" s="46">
        <f>G46/$H$46</f>
        <v>-0.24048713573907207</v>
      </c>
      <c r="G46" s="46">
        <f t="array" ref="G46:I46">LINEST($E34:$E36,$G34:$I36,FALSE)</f>
        <v>-4.3245727525936095</v>
      </c>
      <c r="H46" s="46">
        <v>17.982553367369139</v>
      </c>
      <c r="I46" s="46">
        <v>0.90503215360195644</v>
      </c>
      <c r="J46" s="97"/>
      <c r="K46" s="53" t="str">
        <f t="shared" si="30"/>
        <v>5.032834E-02,1,-0.2404871,</v>
      </c>
      <c r="M46" s="46">
        <f t="shared" si="0"/>
        <v>14.868216712811495</v>
      </c>
      <c r="N46" s="46">
        <f t="shared" si="5"/>
        <v>43</v>
      </c>
      <c r="O46" s="50">
        <f t="shared" si="1"/>
        <v>34.029197080291951</v>
      </c>
      <c r="P46" s="50">
        <f t="shared" si="2"/>
        <v>48.247630922693268</v>
      </c>
      <c r="Q46" s="50">
        <f t="shared" si="3"/>
        <v>48.897413793103446</v>
      </c>
    </row>
    <row r="47" spans="1:17">
      <c r="A47" s="4"/>
      <c r="B47" s="46" t="str">
        <f t="shared" si="31"/>
        <v>Z</v>
      </c>
      <c r="C47" s="79"/>
      <c r="D47" s="46">
        <f>I47/$H$46</f>
        <v>-0.48018269961065502</v>
      </c>
      <c r="E47" s="46">
        <f>H47/$H$46</f>
        <v>0.39080816861902978</v>
      </c>
      <c r="F47" s="46">
        <f>G47/$H$46</f>
        <v>0.85140509733213809</v>
      </c>
      <c r="G47" s="46">
        <f t="array" ref="G47:I47">LINEST($F$31:$F$33,$G34:$I36,FALSE)</f>
        <v>15.310437600025288</v>
      </c>
      <c r="H47" s="46">
        <v>7.0277287485955</v>
      </c>
      <c r="I47" s="46">
        <v>-8.6349110218359879</v>
      </c>
      <c r="J47" s="97"/>
      <c r="K47" s="53" t="str">
        <f t="shared" si="30"/>
        <v>-0.4801827,0.3908082,0.8514051,</v>
      </c>
      <c r="M47" s="46">
        <f t="shared" si="0"/>
        <v>16.771045545806302</v>
      </c>
      <c r="N47" s="46">
        <f t="shared" si="5"/>
        <v>44</v>
      </c>
      <c r="O47" s="50">
        <f t="shared" si="1"/>
        <v>31.783665761330823</v>
      </c>
      <c r="P47" s="50">
        <f t="shared" si="2"/>
        <v>48.139482688627268</v>
      </c>
      <c r="Q47" s="50">
        <f t="shared" si="3"/>
        <v>48.554711307137126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0.22209078287945869</v>
      </c>
      <c r="E48" s="46">
        <f>H48/$H$49</f>
        <v>1.0960192855142723</v>
      </c>
      <c r="F48" s="46">
        <f>G48/$H$49</f>
        <v>-0.79638783919073775</v>
      </c>
      <c r="G48" s="46">
        <f t="array" ref="G48:I48">LINEST($D37:$D39,$G37:$I39,FALSE)</f>
        <v>-18.053896174700718</v>
      </c>
      <c r="H48" s="46">
        <v>24.84645974284544</v>
      </c>
      <c r="I48" s="46">
        <v>5.0347377724127105</v>
      </c>
      <c r="J48" s="97">
        <f>H49</f>
        <v>22.66972859988228</v>
      </c>
      <c r="K48" s="53" t="str">
        <f t="shared" si="30"/>
        <v>0.2220908,1.096019,-0.7963879,</v>
      </c>
      <c r="M48" s="46">
        <f t="shared" si="0"/>
        <v>18.673874378801116</v>
      </c>
      <c r="N48" s="46">
        <f t="shared" si="5"/>
        <v>45</v>
      </c>
      <c r="O48" s="50">
        <f t="shared" si="1"/>
        <v>29.538134442369696</v>
      </c>
      <c r="P48" s="50">
        <f t="shared" si="2"/>
        <v>48.031334454561275</v>
      </c>
      <c r="Q48" s="50">
        <f t="shared" si="3"/>
        <v>48.212008821170812</v>
      </c>
    </row>
    <row r="49" spans="1:24">
      <c r="A49" s="4"/>
      <c r="B49" s="46" t="str">
        <f t="shared" si="31"/>
        <v>Y</v>
      </c>
      <c r="C49" s="79"/>
      <c r="D49" s="46">
        <f>I49/$H$49</f>
        <v>0.10093156851407732</v>
      </c>
      <c r="E49" s="46">
        <f>H49/$H$49</f>
        <v>1</v>
      </c>
      <c r="F49" s="46">
        <f>G49/$H$49</f>
        <v>-0.47979327762814922</v>
      </c>
      <c r="G49" s="46">
        <f t="array" ref="G49:I49">LINEST($E37:$E39,$G37:$I39,FALSE)</f>
        <v>-10.876783387878113</v>
      </c>
      <c r="H49" s="46">
        <v>22.66972859988228</v>
      </c>
      <c r="I49" s="46">
        <v>2.2880912653745566</v>
      </c>
      <c r="J49" s="97"/>
      <c r="K49" s="53" t="str">
        <f t="shared" si="30"/>
        <v>0.1009316,1,-0.4797933,</v>
      </c>
      <c r="M49" s="46">
        <f t="shared" si="0"/>
        <v>20.630583097086706</v>
      </c>
      <c r="N49" s="46">
        <f t="shared" si="5"/>
        <v>46</v>
      </c>
      <c r="O49" s="50">
        <f t="shared" si="1"/>
        <v>27.292603123408568</v>
      </c>
      <c r="P49" s="50">
        <f t="shared" si="2"/>
        <v>47.923186220495275</v>
      </c>
      <c r="Q49" s="50">
        <f t="shared" si="3"/>
        <v>47.869306335204492</v>
      </c>
    </row>
    <row r="50" spans="1:24">
      <c r="A50" s="4"/>
      <c r="B50" s="46" t="str">
        <f t="shared" si="31"/>
        <v>Z</v>
      </c>
      <c r="C50" s="79"/>
      <c r="D50" s="46">
        <f>I50/$H$49</f>
        <v>-0.3563381951825127</v>
      </c>
      <c r="E50" s="46">
        <f>H50/$H$49</f>
        <v>0.15298793189758705</v>
      </c>
      <c r="F50" s="46">
        <f>G50/$H$49</f>
        <v>0.87646105308909716</v>
      </c>
      <c r="G50" s="46">
        <f t="array" ref="G50:I50">LINEST($F$31:$F$33,$G37:$I39,FALSE)</f>
        <v>19.869134201896848</v>
      </c>
      <c r="H50" s="46">
        <v>3.4681948951755714</v>
      </c>
      <c r="I50" s="46">
        <v>-8.078090174559442</v>
      </c>
      <c r="J50" s="97"/>
      <c r="K50" s="54" t="str">
        <f t="shared" si="30"/>
        <v>-0.3563382,0.1529879,0.876461,</v>
      </c>
      <c r="M50" s="46">
        <f t="shared" si="0"/>
        <v>22.767966181981834</v>
      </c>
      <c r="N50" s="46">
        <f t="shared" si="5"/>
        <v>47</v>
      </c>
      <c r="O50" s="50">
        <f t="shared" si="1"/>
        <v>25.047071804447441</v>
      </c>
      <c r="P50" s="50">
        <f t="shared" si="2"/>
        <v>47.815037986429274</v>
      </c>
      <c r="Q50" s="50">
        <f t="shared" si="3"/>
        <v>47.526603849238171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0.20314354196464479</v>
      </c>
      <c r="E51" s="46">
        <f t="shared" ref="E51:F51" si="32">(E42+E45+E48)/3</f>
        <v>1.0488536745553112</v>
      </c>
      <c r="F51" s="46">
        <f t="shared" si="32"/>
        <v>-0.58346184479194674</v>
      </c>
      <c r="J51" s="97">
        <f>(J42+J45+J48)/3</f>
        <v>19.238059232544831</v>
      </c>
      <c r="M51" s="46">
        <f t="shared" si="0"/>
        <v>24.905349266876954</v>
      </c>
      <c r="N51" s="46">
        <f t="shared" si="5"/>
        <v>48</v>
      </c>
      <c r="O51" s="50">
        <f t="shared" si="1"/>
        <v>22.801540485486328</v>
      </c>
      <c r="P51" s="50">
        <f t="shared" si="2"/>
        <v>47.706889752363281</v>
      </c>
      <c r="Q51" s="50">
        <f t="shared" si="3"/>
        <v>47.18390136327185</v>
      </c>
    </row>
    <row r="52" spans="1:24">
      <c r="B52" s="46" t="str">
        <f t="shared" si="31"/>
        <v>Y</v>
      </c>
      <c r="C52" s="79"/>
      <c r="D52" s="46">
        <f t="shared" ref="D52:F53" si="33">(D43+D46+D49)/3</f>
        <v>6.1006475796904512E-2</v>
      </c>
      <c r="E52" s="46">
        <f t="shared" si="33"/>
        <v>1</v>
      </c>
      <c r="F52" s="46">
        <f t="shared" si="33"/>
        <v>-0.2921712349748522</v>
      </c>
      <c r="J52" s="97"/>
      <c r="M52" s="46">
        <f t="shared" si="0"/>
        <v>27.042732351772081</v>
      </c>
      <c r="N52" s="46">
        <f t="shared" si="5"/>
        <v>49</v>
      </c>
      <c r="O52" s="50">
        <f t="shared" si="1"/>
        <v>20.5560091665252</v>
      </c>
      <c r="P52" s="50">
        <f t="shared" si="2"/>
        <v>47.598741518297281</v>
      </c>
      <c r="Q52" s="50">
        <f t="shared" si="3"/>
        <v>46.84119887730553</v>
      </c>
    </row>
    <row r="53" spans="1:24" ht="15.75" thickBot="1">
      <c r="B53" s="46" t="str">
        <f t="shared" si="31"/>
        <v>Z</v>
      </c>
      <c r="C53" s="79"/>
      <c r="D53" s="46">
        <f t="shared" si="33"/>
        <v>-0.44211189897521902</v>
      </c>
      <c r="E53" s="46">
        <f t="shared" si="33"/>
        <v>0.31182777689703672</v>
      </c>
      <c r="F53" s="46">
        <f t="shared" si="33"/>
        <v>0.88347215536353796</v>
      </c>
      <c r="J53" s="100"/>
      <c r="M53" s="46">
        <f t="shared" si="0"/>
        <v>29.180115436667208</v>
      </c>
      <c r="N53" s="46">
        <f t="shared" si="5"/>
        <v>50</v>
      </c>
      <c r="O53" s="50">
        <f t="shared" si="1"/>
        <v>18.310477847564073</v>
      </c>
      <c r="P53" s="50">
        <f t="shared" si="2"/>
        <v>47.490593284231281</v>
      </c>
      <c r="Q53" s="50">
        <f t="shared" si="3"/>
        <v>46.498496391339216</v>
      </c>
    </row>
    <row r="54" spans="1:24">
      <c r="B54" s="79" t="s">
        <v>14</v>
      </c>
      <c r="C54" s="79"/>
      <c r="D54" s="19">
        <f>I54/$H$55</f>
        <v>0.1665367872711134</v>
      </c>
      <c r="E54" s="20">
        <f>H54/$H$55</f>
        <v>1.0375830544162434</v>
      </c>
      <c r="F54" s="21">
        <f>G54/$H$55</f>
        <v>-0.47036392798211091</v>
      </c>
      <c r="G54" s="46">
        <f t="array" ref="G54:I54">LINEST(D$31:D$39,$G$31:$I$39,FALSE)</f>
        <v>-8.5510814157662036</v>
      </c>
      <c r="H54" s="46">
        <v>18.862962583028079</v>
      </c>
      <c r="I54" s="46">
        <v>3.0275910671653126</v>
      </c>
      <c r="J54" s="98">
        <f>H55</f>
        <v>18.179713424137027</v>
      </c>
      <c r="M54" s="46">
        <f t="shared" si="0"/>
        <v>31.317498521562342</v>
      </c>
      <c r="N54" s="46">
        <f t="shared" si="5"/>
        <v>51</v>
      </c>
      <c r="O54" s="50">
        <f t="shared" si="1"/>
        <v>16.064946528602945</v>
      </c>
      <c r="P54" s="50">
        <f t="shared" si="2"/>
        <v>47.382445050165288</v>
      </c>
      <c r="Q54" s="50">
        <f t="shared" si="3"/>
        <v>46.155793905372896</v>
      </c>
    </row>
    <row r="55" spans="1:24" ht="15" customHeight="1">
      <c r="B55" s="79"/>
      <c r="C55" s="79"/>
      <c r="D55" s="22">
        <f>I55/$H$55</f>
        <v>3.5340275982742995E-2</v>
      </c>
      <c r="E55" s="18">
        <f>H55/$H$55</f>
        <v>1</v>
      </c>
      <c r="F55" s="23">
        <f>G55/$H$55</f>
        <v>-0.20809939664048613</v>
      </c>
      <c r="G55" s="46">
        <f t="array" ref="G55:I55">LINEST(E$31:E$39,$G$31:$I$39,FALSE)</f>
        <v>-3.7831873946598615</v>
      </c>
      <c r="H55" s="46">
        <v>18.179713424137027</v>
      </c>
      <c r="I55" s="46">
        <v>0.6424760896961802</v>
      </c>
      <c r="J55" s="98"/>
      <c r="M55" s="46">
        <f t="shared" si="0"/>
        <v>33.454881606457469</v>
      </c>
      <c r="N55" s="46">
        <f t="shared" si="5"/>
        <v>52</v>
      </c>
      <c r="O55" s="50">
        <f t="shared" si="1"/>
        <v>13.819415209641818</v>
      </c>
      <c r="P55" s="50">
        <f t="shared" si="2"/>
        <v>47.274296816099287</v>
      </c>
      <c r="Q55" s="50">
        <f t="shared" si="3"/>
        <v>45.813091419406575</v>
      </c>
    </row>
    <row r="56" spans="1:24" ht="15" customHeight="1" thickBot="1">
      <c r="B56" s="79"/>
      <c r="C56" s="79"/>
      <c r="D56" s="24">
        <f>I56/$H$55</f>
        <v>-0.4181430065631932</v>
      </c>
      <c r="E56" s="25">
        <f>H56/$H$55</f>
        <v>0.34982654830159221</v>
      </c>
      <c r="F56" s="26">
        <f>G56/$H$55</f>
        <v>0.82889382306579706</v>
      </c>
      <c r="G56" s="46">
        <f t="array" ref="G56:I56">LINEST(F$31:F$39,$G$31:$I$39,FALSE)</f>
        <v>15.069052162373533</v>
      </c>
      <c r="H56" s="46">
        <v>6.3597463962779761</v>
      </c>
      <c r="I56" s="46">
        <v>-7.6017200296259002</v>
      </c>
      <c r="J56" s="98"/>
      <c r="M56" s="46">
        <f t="shared" si="0"/>
        <v>35.592264691352597</v>
      </c>
      <c r="N56" s="46">
        <f t="shared" si="5"/>
        <v>53</v>
      </c>
      <c r="O56" s="50">
        <f t="shared" si="1"/>
        <v>11.57388389068069</v>
      </c>
      <c r="P56" s="50">
        <f t="shared" si="2"/>
        <v>47.166148582033287</v>
      </c>
      <c r="Q56" s="50">
        <f t="shared" si="3"/>
        <v>45.470388933440255</v>
      </c>
    </row>
    <row r="57" spans="1:24">
      <c r="M57" s="46">
        <f t="shared" si="0"/>
        <v>37.729647776247731</v>
      </c>
      <c r="N57" s="46">
        <f t="shared" si="5"/>
        <v>54</v>
      </c>
      <c r="O57" s="50">
        <f t="shared" si="1"/>
        <v>9.328352571719563</v>
      </c>
      <c r="P57" s="50">
        <f t="shared" si="2"/>
        <v>47.058000347967294</v>
      </c>
      <c r="Q57" s="50">
        <f t="shared" si="3"/>
        <v>45.127686447473934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39.867030861142858</v>
      </c>
      <c r="N58" s="46">
        <f t="shared" si="5"/>
        <v>55</v>
      </c>
      <c r="O58" s="50">
        <f t="shared" si="1"/>
        <v>7.0828212527584355</v>
      </c>
      <c r="P58" s="50">
        <f t="shared" si="2"/>
        <v>46.949852113901294</v>
      </c>
      <c r="Q58" s="50">
        <f t="shared" si="3"/>
        <v>44.784983961507621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42.004413946037992</v>
      </c>
      <c r="N59" s="46">
        <f t="shared" si="5"/>
        <v>56</v>
      </c>
      <c r="O59" s="50">
        <f t="shared" si="1"/>
        <v>4.8372899337973081</v>
      </c>
      <c r="P59" s="50">
        <f t="shared" si="2"/>
        <v>46.8417038798353</v>
      </c>
      <c r="Q59" s="50">
        <f t="shared" si="3"/>
        <v>44.4422814755413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510.5</v>
      </c>
      <c r="E60" s="32">
        <f t="shared" ref="E60:E68" si="37">getCCTfromXY(D22/SUM(D22:F22),E22/SUM(D22:F22))</f>
        <v>2866</v>
      </c>
      <c r="F60" s="31">
        <f t="shared" ref="F60:F68" si="38">V60</f>
        <v>507.43869100450451</v>
      </c>
      <c r="G60" s="32">
        <f t="shared" ref="G60:G68" si="39">getCCTfromXY(U60/X60,V60/X60)</f>
        <v>3054</v>
      </c>
      <c r="H60" s="33">
        <f>F60/D60-1</f>
        <v>-5.9966875523908003E-3</v>
      </c>
      <c r="I60" s="34">
        <f t="shared" ref="I60:I68" si="40">G60/E60-1</f>
        <v>6.5596650383810129E-2</v>
      </c>
      <c r="M60" s="46">
        <f t="shared" si="0"/>
        <v>44.14179703093312</v>
      </c>
      <c r="N60" s="46">
        <f t="shared" si="5"/>
        <v>57</v>
      </c>
      <c r="O60" s="50">
        <f t="shared" si="1"/>
        <v>2.5917586148361806</v>
      </c>
      <c r="P60" s="50">
        <f t="shared" si="2"/>
        <v>46.7335556457693</v>
      </c>
      <c r="Q60" s="50">
        <f t="shared" si="3"/>
        <v>44.099578989574979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539.12264903714527</v>
      </c>
      <c r="V60" s="50">
        <f>$J$54*$J$31*($D$55*G22+$E$55*H22+$F$55*I22)</f>
        <v>507.43869100450451</v>
      </c>
      <c r="W60" s="50">
        <f>$J$54*$J$31*($D$56*G22+$E$56*H22+$F$56*I22)</f>
        <v>183.55102443086278</v>
      </c>
      <c r="X60" s="29">
        <f>SUM(U60:W60)</f>
        <v>1230.1123644725126</v>
      </c>
    </row>
    <row r="61" spans="1:24">
      <c r="A61" s="87"/>
      <c r="B61" s="48" t="str">
        <f t="shared" si="35"/>
        <v>CWF</v>
      </c>
      <c r="C61" s="93"/>
      <c r="D61" s="31">
        <f t="shared" si="36"/>
        <v>1212.5</v>
      </c>
      <c r="E61" s="32">
        <f t="shared" si="37"/>
        <v>3856</v>
      </c>
      <c r="F61" s="31">
        <f t="shared" si="38"/>
        <v>1255.2074047977826</v>
      </c>
      <c r="G61" s="32">
        <f t="shared" si="39"/>
        <v>3756</v>
      </c>
      <c r="H61" s="33">
        <f t="shared" ref="H61:H68" si="41">F61/D61-1</f>
        <v>3.5222601895078531E-2</v>
      </c>
      <c r="I61" s="34">
        <f t="shared" si="40"/>
        <v>-2.5933609958506243E-2</v>
      </c>
      <c r="M61" s="46">
        <f t="shared" si="0"/>
        <v>46.279180115828247</v>
      </c>
      <c r="N61" s="46">
        <f t="shared" si="5"/>
        <v>58</v>
      </c>
      <c r="O61" s="50">
        <f t="shared" si="1"/>
        <v>0.34622729587505319</v>
      </c>
      <c r="P61" s="50">
        <f t="shared" si="2"/>
        <v>46.6254074117033</v>
      </c>
      <c r="Q61" s="50">
        <f t="shared" si="3"/>
        <v>43.756876503608659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1253.6724950747214</v>
      </c>
      <c r="V61" s="50">
        <f>$J$54*$J$31*($D$55*G23+$E$55*H23+$F$55*I23)</f>
        <v>1255.2074047977826</v>
      </c>
      <c r="W61" s="50">
        <f>$J$54*$J$31*($D$56*G23+$E$56*H23+$F$56*I23)</f>
        <v>646.51487077697391</v>
      </c>
      <c r="X61" s="29">
        <f t="shared" ref="X61:X68" si="43">SUM(U61:W61)</f>
        <v>3155.3947706494782</v>
      </c>
    </row>
    <row r="62" spans="1:24">
      <c r="A62" s="87"/>
      <c r="B62" s="48" t="str">
        <f t="shared" si="35"/>
        <v>D65</v>
      </c>
      <c r="C62" s="93"/>
      <c r="D62" s="31">
        <f t="shared" si="36"/>
        <v>580.15000000000009</v>
      </c>
      <c r="E62" s="32">
        <f t="shared" si="37"/>
        <v>6281</v>
      </c>
      <c r="F62" s="31">
        <f t="shared" si="38"/>
        <v>589.19388877093741</v>
      </c>
      <c r="G62" s="32">
        <f t="shared" si="39"/>
        <v>5977</v>
      </c>
      <c r="H62" s="33">
        <f t="shared" si="41"/>
        <v>1.5588880067116007E-2</v>
      </c>
      <c r="I62" s="34">
        <f t="shared" si="40"/>
        <v>-4.8399936315873249E-2</v>
      </c>
      <c r="M62" s="46">
        <f t="shared" si="0"/>
        <v>48.416563200723381</v>
      </c>
      <c r="N62" s="46">
        <f t="shared" si="5"/>
        <v>59</v>
      </c>
      <c r="O62" s="50">
        <f t="shared" si="1"/>
        <v>-1.8993040230860743</v>
      </c>
      <c r="P62" s="50">
        <f t="shared" si="2"/>
        <v>46.517259177637307</v>
      </c>
      <c r="Q62" s="50">
        <f t="shared" si="3"/>
        <v>43.414174017642338</v>
      </c>
      <c r="R62" s="78"/>
      <c r="S62" s="46" t="str">
        <f t="shared" si="42"/>
        <v>D65</v>
      </c>
      <c r="T62" s="79"/>
      <c r="U62" s="50">
        <f>$J$54*$J$31*($D$54*G24+$E$54*H24+$F$54*I24)</f>
        <v>527.83667200376226</v>
      </c>
      <c r="V62" s="50">
        <f>$J$54*$J$31*($D$55*G24+$E$55*H24+$F$55*I24)</f>
        <v>589.19388877093741</v>
      </c>
      <c r="W62" s="50">
        <f>$J$54*$J$31*($D$56*G24+$E$56*H24+$F$56*I24)</f>
        <v>517.53095319716999</v>
      </c>
      <c r="X62" s="29">
        <f t="shared" si="43"/>
        <v>1634.5615139718695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510.5</v>
      </c>
      <c r="E63" s="32">
        <f t="shared" si="37"/>
        <v>2866</v>
      </c>
      <c r="F63" s="31">
        <f t="shared" si="38"/>
        <v>518.0819601404321</v>
      </c>
      <c r="G63" s="32">
        <f t="shared" si="39"/>
        <v>3236</v>
      </c>
      <c r="H63" s="33">
        <f t="shared" si="41"/>
        <v>1.485202769918148E-2</v>
      </c>
      <c r="I63" s="34">
        <f t="shared" si="40"/>
        <v>0.12909979064898813</v>
      </c>
      <c r="M63" s="46">
        <f t="shared" si="0"/>
        <v>50.553946285618508</v>
      </c>
      <c r="N63" s="46">
        <f t="shared" si="5"/>
        <v>60</v>
      </c>
      <c r="O63" s="50">
        <f t="shared" si="1"/>
        <v>-4.1448353420472017</v>
      </c>
      <c r="P63" s="50">
        <f t="shared" si="2"/>
        <v>46.409110943571307</v>
      </c>
      <c r="Q63" s="50">
        <f t="shared" si="3"/>
        <v>43.071471531676025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542.17283313712915</v>
      </c>
      <c r="V63" s="50">
        <f>$J$54*$J$34*($D$55*G25+$E$55*H25+$F$55*I25)</f>
        <v>518.0819601404321</v>
      </c>
      <c r="W63" s="50">
        <f>$J$54*$J$34*($D$56*G25+$E$56*H25+$F$56*I25)</f>
        <v>214.43335808123689</v>
      </c>
      <c r="X63" s="29">
        <f t="shared" si="43"/>
        <v>1274.6881513587982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1212.5</v>
      </c>
      <c r="E64" s="32">
        <f t="shared" si="37"/>
        <v>3856</v>
      </c>
      <c r="F64" s="31">
        <f t="shared" si="38"/>
        <v>1234.4206060425815</v>
      </c>
      <c r="G64" s="32">
        <f t="shared" si="39"/>
        <v>3832</v>
      </c>
      <c r="H64" s="33">
        <f t="shared" si="41"/>
        <v>1.8078850344397157E-2</v>
      </c>
      <c r="I64" s="34">
        <f t="shared" si="40"/>
        <v>-6.2240663900414717E-3</v>
      </c>
      <c r="M64" s="46">
        <f t="shared" si="0"/>
        <v>52.691329370513635</v>
      </c>
      <c r="N64" s="46">
        <f t="shared" si="5"/>
        <v>61</v>
      </c>
      <c r="O64" s="50">
        <f t="shared" si="1"/>
        <v>-6.3903666610083292</v>
      </c>
      <c r="P64" s="50">
        <f t="shared" si="2"/>
        <v>46.300962709505306</v>
      </c>
      <c r="Q64" s="50">
        <f t="shared" si="3"/>
        <v>42.728769045709704</v>
      </c>
      <c r="R64" s="78"/>
      <c r="S64" s="46" t="str">
        <f t="shared" si="42"/>
        <v>CWF</v>
      </c>
      <c r="T64" s="79"/>
      <c r="U64" s="50">
        <f>$J$54*$J$34*($D$54*G26+$E$54*H26+$F$54*I26)</f>
        <v>1227.0777559711512</v>
      </c>
      <c r="V64" s="50">
        <f>$J$54*$J$34*($D$55*G26+$E$55*H26+$F$55*I26)</f>
        <v>1234.4206060425815</v>
      </c>
      <c r="W64" s="50">
        <f>$J$54*$J$34*($D$56*G26+$E$56*H26+$F$56*I26)</f>
        <v>656.68448763386414</v>
      </c>
      <c r="X64" s="29">
        <f t="shared" si="43"/>
        <v>3118.1828496475969</v>
      </c>
    </row>
    <row r="65" spans="1:24">
      <c r="A65" s="87"/>
      <c r="B65" s="48" t="str">
        <f t="shared" si="35"/>
        <v>D65</v>
      </c>
      <c r="C65" s="93"/>
      <c r="D65" s="31">
        <f t="shared" si="36"/>
        <v>580.15000000000009</v>
      </c>
      <c r="E65" s="32">
        <f t="shared" si="37"/>
        <v>6281</v>
      </c>
      <c r="F65" s="31">
        <f t="shared" si="38"/>
        <v>598.15298545621215</v>
      </c>
      <c r="G65" s="32">
        <f t="shared" si="39"/>
        <v>5990</v>
      </c>
      <c r="H65" s="33">
        <f t="shared" si="41"/>
        <v>3.1031604681913461E-2</v>
      </c>
      <c r="I65" s="34">
        <f t="shared" si="40"/>
        <v>-4.6330202197102377E-2</v>
      </c>
      <c r="M65" s="46">
        <f t="shared" si="0"/>
        <v>54.82871245540877</v>
      </c>
      <c r="N65" s="46">
        <f t="shared" si="5"/>
        <v>62</v>
      </c>
      <c r="O65" s="50">
        <f t="shared" si="1"/>
        <v>-8.6358979799694566</v>
      </c>
      <c r="P65" s="50">
        <f t="shared" si="2"/>
        <v>46.192814475439313</v>
      </c>
      <c r="Q65" s="50">
        <f t="shared" si="3"/>
        <v>42.386066559743384</v>
      </c>
      <c r="R65" s="78"/>
      <c r="S65" s="46" t="str">
        <f t="shared" si="42"/>
        <v>D65</v>
      </c>
      <c r="T65" s="79"/>
      <c r="U65" s="50">
        <f>$J$54*$J$34*($D$54*G27+$E$54*H27+$F$54*I27)</f>
        <v>535.60055378367406</v>
      </c>
      <c r="V65" s="50">
        <f>$J$54*$J$34*($D$55*G27+$E$55*H27+$F$55*I27)</f>
        <v>598.15298545621215</v>
      </c>
      <c r="W65" s="50">
        <f>$J$54*$J$34*($D$56*G27+$E$56*H27+$F$56*I27)</f>
        <v>526.35653341292573</v>
      </c>
      <c r="X65" s="29">
        <f t="shared" si="43"/>
        <v>1660.1100726528121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510.5</v>
      </c>
      <c r="E66" s="32">
        <f t="shared" si="37"/>
        <v>2866</v>
      </c>
      <c r="F66" s="31">
        <f t="shared" si="38"/>
        <v>507.7592143862455</v>
      </c>
      <c r="G66" s="32">
        <f t="shared" si="39"/>
        <v>2498</v>
      </c>
      <c r="H66" s="33">
        <f t="shared" si="41"/>
        <v>-5.36882588394616E-3</v>
      </c>
      <c r="I66" s="34">
        <f t="shared" si="40"/>
        <v>-0.12840195394277742</v>
      </c>
      <c r="M66" s="46">
        <f t="shared" si="0"/>
        <v>56.966095540303897</v>
      </c>
      <c r="N66" s="46">
        <f t="shared" si="5"/>
        <v>63</v>
      </c>
      <c r="O66" s="50">
        <f t="shared" si="1"/>
        <v>-10.881429298930584</v>
      </c>
      <c r="P66" s="50">
        <f t="shared" si="2"/>
        <v>46.084666241373313</v>
      </c>
      <c r="Q66" s="50">
        <f t="shared" si="3"/>
        <v>42.04336407377707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570.71164836705429</v>
      </c>
      <c r="V66" s="50">
        <f>$J$54*$J$37*($D$55*G28+$E$55*H28+$F$55*I28)</f>
        <v>507.7592143862455</v>
      </c>
      <c r="W66" s="50">
        <f>$J$54*$J$37*($D$56*G28+$E$56*H28+$F$56*I28)</f>
        <v>81.216365158018448</v>
      </c>
      <c r="X66" s="29">
        <f t="shared" si="43"/>
        <v>1159.6872279113181</v>
      </c>
    </row>
    <row r="67" spans="1:24">
      <c r="A67" s="87"/>
      <c r="B67" s="48" t="str">
        <f t="shared" si="35"/>
        <v>CWF</v>
      </c>
      <c r="C67" s="93"/>
      <c r="D67" s="31">
        <f t="shared" si="36"/>
        <v>1212.5</v>
      </c>
      <c r="E67" s="32">
        <f t="shared" si="37"/>
        <v>3856</v>
      </c>
      <c r="F67" s="31">
        <f t="shared" si="38"/>
        <v>1121.9446324459802</v>
      </c>
      <c r="G67" s="32">
        <f t="shared" si="39"/>
        <v>4128</v>
      </c>
      <c r="H67" s="33">
        <f t="shared" si="41"/>
        <v>-7.4684839219810062E-2</v>
      </c>
      <c r="I67" s="34">
        <f t="shared" si="40"/>
        <v>7.0539419087136901E-2</v>
      </c>
      <c r="R67" s="78"/>
      <c r="S67" s="46" t="str">
        <f t="shared" si="42"/>
        <v>CWF</v>
      </c>
      <c r="T67" s="79"/>
      <c r="U67" s="50">
        <f>$J$54*$J$37*($D$54*G29+$E$54*H29+$F$54*I29)</f>
        <v>1095.733755449673</v>
      </c>
      <c r="V67" s="50">
        <f>$J$54*$J$37*($D$55*G29+$E$55*H29+$F$55*I29)</f>
        <v>1121.9446324459802</v>
      </c>
      <c r="W67" s="50">
        <f>$J$54*$J$37*($D$56*G29+$E$56*H29+$F$56*I29)</f>
        <v>665.94184834656664</v>
      </c>
      <c r="X67" s="29">
        <f t="shared" si="43"/>
        <v>2883.6202362422196</v>
      </c>
    </row>
    <row r="68" spans="1:24">
      <c r="A68" s="87"/>
      <c r="B68" s="48" t="str">
        <f t="shared" si="35"/>
        <v>D65</v>
      </c>
      <c r="C68" s="93"/>
      <c r="D68" s="31">
        <f t="shared" si="36"/>
        <v>580.15000000000009</v>
      </c>
      <c r="E68" s="32">
        <f t="shared" si="37"/>
        <v>6281</v>
      </c>
      <c r="F68" s="31">
        <f t="shared" si="38"/>
        <v>586.71549145307824</v>
      </c>
      <c r="G68" s="32">
        <f t="shared" si="39"/>
        <v>5809</v>
      </c>
      <c r="H68" s="33">
        <f t="shared" si="41"/>
        <v>1.1316886069254739E-2</v>
      </c>
      <c r="I68" s="34">
        <f t="shared" si="40"/>
        <v>-7.5147269543066386E-2</v>
      </c>
      <c r="R68" s="78"/>
      <c r="S68" s="46" t="str">
        <f t="shared" si="42"/>
        <v>D65</v>
      </c>
      <c r="T68" s="79"/>
      <c r="U68" s="50">
        <f>$J$54*$J$37*($D$54*G30+$E$54*H30+$F$54*I30)</f>
        <v>528.97296984837135</v>
      </c>
      <c r="V68" s="50">
        <f>$J$54*$J$37*($D$55*G30+$E$55*H30+$F$55*I30)</f>
        <v>586.71549145307824</v>
      </c>
      <c r="W68" s="50">
        <f>$J$54*$J$37*($D$56*G30+$E$56*H30+$F$56*I30)</f>
        <v>502.76679363812076</v>
      </c>
      <c r="X68" s="29">
        <f t="shared" si="43"/>
        <v>1618.4552549395703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7.4684839219810062E-2</v>
      </c>
      <c r="G69" s="47"/>
      <c r="H69" s="36" t="str">
        <f>I59</f>
        <v>CCT</v>
      </c>
      <c r="I69" s="38">
        <f>MAX(MAX(I60:I68,-MIN(I60:I68)))</f>
        <v>0.12909979064898813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510.5</v>
      </c>
      <c r="E72" s="31">
        <f t="shared" ref="E72:E80" si="47">E60</f>
        <v>2866</v>
      </c>
      <c r="F72" s="31">
        <f t="shared" ref="F72:F80" si="48">V72</f>
        <v>510.23889150526003</v>
      </c>
      <c r="G72" s="32">
        <f t="shared" ref="G72:G80" si="49">getCCTfromXY(U72/X72,V72/X72)</f>
        <v>2982</v>
      </c>
      <c r="H72" s="33">
        <f>F72/D72-1</f>
        <v>-5.1147599361400786E-4</v>
      </c>
      <c r="I72" s="34">
        <f t="shared" ref="I72:I80" si="50">G72/E72-1</f>
        <v>4.0474528960223299E-2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545.66308202783057</v>
      </c>
      <c r="V72" s="50">
        <f>$J$51*$J$31*($D$52*G22+$E$52*H22+$F$52*I22)</f>
        <v>510.23889150526003</v>
      </c>
      <c r="W72" s="50">
        <f>$J$51*$J$31*($D$53*G22+$E$53*H22+$F$53*I22)</f>
        <v>173.54227155218382</v>
      </c>
      <c r="X72" s="29">
        <f>SUM(U72:W72)</f>
        <v>1229.4442450852744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1212.5</v>
      </c>
      <c r="E73" s="31">
        <f t="shared" si="47"/>
        <v>3856</v>
      </c>
      <c r="F73" s="31">
        <f t="shared" si="48"/>
        <v>1289.8846582187045</v>
      </c>
      <c r="G73" s="32">
        <f t="shared" si="49"/>
        <v>3689</v>
      </c>
      <c r="H73" s="33">
        <f t="shared" ref="H73:H80" si="52">F73/D73-1</f>
        <v>6.3822398530890334E-2</v>
      </c>
      <c r="I73" s="34">
        <f t="shared" si="50"/>
        <v>-4.3309128630705351E-2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1294.0155144436228</v>
      </c>
      <c r="V73" s="50">
        <f t="shared" ref="V73:V74" si="55">$J$51*$J$31*($D$52*G23+$E$52*H23+$F$52*I23)</f>
        <v>1289.8846582187045</v>
      </c>
      <c r="W73" s="50">
        <f t="shared" ref="W73:W74" si="56">$J$51*$J$31*($D$53*G23+$E$53*H23+$F$53*I23)</f>
        <v>644.61408964789575</v>
      </c>
      <c r="X73" s="29">
        <f t="shared" ref="X73:X80" si="57">SUM(U73:W73)</f>
        <v>3228.5142623102229</v>
      </c>
    </row>
    <row r="74" spans="1:24">
      <c r="A74" s="87"/>
      <c r="B74" s="48" t="str">
        <f t="shared" si="46"/>
        <v>X</v>
      </c>
      <c r="C74" s="93"/>
      <c r="D74" s="31">
        <f t="shared" si="51"/>
        <v>580.15000000000009</v>
      </c>
      <c r="E74" s="31">
        <f t="shared" si="47"/>
        <v>6281</v>
      </c>
      <c r="F74" s="31">
        <f t="shared" si="48"/>
        <v>584.7771024273801</v>
      </c>
      <c r="G74" s="32">
        <f t="shared" si="49"/>
        <v>6376</v>
      </c>
      <c r="H74" s="33">
        <f t="shared" si="52"/>
        <v>7.9757001247608983E-3</v>
      </c>
      <c r="I74" s="34">
        <f t="shared" si="50"/>
        <v>1.5124980098710328E-2</v>
      </c>
      <c r="R74" s="78"/>
      <c r="S74" s="46" t="str">
        <f t="shared" si="53"/>
        <v>D65</v>
      </c>
      <c r="T74" s="79"/>
      <c r="U74" s="50">
        <f t="shared" si="54"/>
        <v>515.91141490102393</v>
      </c>
      <c r="V74" s="50">
        <f t="shared" si="55"/>
        <v>584.7771024273801</v>
      </c>
      <c r="W74" s="50">
        <f t="shared" si="56"/>
        <v>540.83473155334661</v>
      </c>
      <c r="X74" s="29">
        <f t="shared" si="57"/>
        <v>1641.5232488817505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510.5</v>
      </c>
      <c r="E75" s="31">
        <f t="shared" si="47"/>
        <v>2866</v>
      </c>
      <c r="F75" s="31">
        <f t="shared" si="48"/>
        <v>519.42338450399984</v>
      </c>
      <c r="G75" s="32">
        <f t="shared" si="49"/>
        <v>3179</v>
      </c>
      <c r="H75" s="33">
        <f t="shared" si="52"/>
        <v>1.7479695404505113E-2</v>
      </c>
      <c r="I75" s="34">
        <f t="shared" si="50"/>
        <v>0.10921144452198184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546.18022659078281</v>
      </c>
      <c r="V75" s="50">
        <f>$J$51*$J$34*($D$52*G25+$E$52*H25+$F$52*I25)</f>
        <v>519.42338450399984</v>
      </c>
      <c r="W75" s="50">
        <f>$J$51*$J$34*($D$53*G25+$E$53*H25+$F$53*I25)</f>
        <v>207.29629773624364</v>
      </c>
      <c r="X75" s="29">
        <f t="shared" si="57"/>
        <v>1272.8999088310261</v>
      </c>
    </row>
    <row r="76" spans="1:24">
      <c r="A76" s="87"/>
      <c r="B76" s="48" t="str">
        <f t="shared" si="46"/>
        <v>Z</v>
      </c>
      <c r="C76" s="93"/>
      <c r="D76" s="31">
        <f t="shared" si="51"/>
        <v>1212.5</v>
      </c>
      <c r="E76" s="31">
        <f t="shared" si="47"/>
        <v>3856</v>
      </c>
      <c r="F76" s="31">
        <f t="shared" si="48"/>
        <v>1266.3586728233615</v>
      </c>
      <c r="G76" s="32">
        <f t="shared" si="49"/>
        <v>3773</v>
      </c>
      <c r="H76" s="33">
        <f t="shared" si="52"/>
        <v>4.4419523978030062E-2</v>
      </c>
      <c r="I76" s="34">
        <f t="shared" si="50"/>
        <v>-2.1524896265560201E-2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1263.578533718673</v>
      </c>
      <c r="V76" s="50">
        <f t="shared" ref="V76:V77" si="59">$J$51*$J$34*($D$52*G26+$E$52*H26+$F$52*I26)</f>
        <v>1266.3586728233615</v>
      </c>
      <c r="W76" s="50">
        <f t="shared" ref="W76:W77" si="60">$J$51*$J$34*($D$53*G26+$E$53*H26+$F$53*I26)</f>
        <v>657.17145039090042</v>
      </c>
      <c r="X76" s="29">
        <f t="shared" si="57"/>
        <v>3187.1086569329354</v>
      </c>
    </row>
    <row r="77" spans="1:24">
      <c r="A77" s="87"/>
      <c r="B77" s="48" t="str">
        <f t="shared" si="46"/>
        <v>X</v>
      </c>
      <c r="C77" s="93"/>
      <c r="D77" s="31">
        <f t="shared" si="51"/>
        <v>580.15000000000009</v>
      </c>
      <c r="E77" s="31">
        <f t="shared" si="47"/>
        <v>6281</v>
      </c>
      <c r="F77" s="31">
        <f t="shared" si="48"/>
        <v>593.56085614973767</v>
      </c>
      <c r="G77" s="32">
        <f t="shared" si="49"/>
        <v>6393</v>
      </c>
      <c r="H77" s="33">
        <f t="shared" si="52"/>
        <v>2.3116187451068804E-2</v>
      </c>
      <c r="I77" s="34">
        <f t="shared" si="50"/>
        <v>1.7831555484795425E-2</v>
      </c>
      <c r="R77" s="78"/>
      <c r="S77" s="46" t="str">
        <f t="shared" si="53"/>
        <v>D65</v>
      </c>
      <c r="T77" s="79"/>
      <c r="U77" s="50">
        <f t="shared" si="58"/>
        <v>523.33847595170607</v>
      </c>
      <c r="V77" s="50">
        <f t="shared" si="59"/>
        <v>593.56085614973767</v>
      </c>
      <c r="W77" s="50">
        <f t="shared" si="60"/>
        <v>550.12236880162811</v>
      </c>
      <c r="X77" s="29">
        <f t="shared" si="57"/>
        <v>1667.0217009030716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510.5</v>
      </c>
      <c r="E78" s="31">
        <f t="shared" si="47"/>
        <v>2866</v>
      </c>
      <c r="F78" s="31">
        <f t="shared" si="48"/>
        <v>516.39874008533229</v>
      </c>
      <c r="G78" s="32">
        <f t="shared" si="49"/>
        <v>2400</v>
      </c>
      <c r="H78" s="33">
        <f t="shared" si="52"/>
        <v>1.1554828766566771E-2</v>
      </c>
      <c r="I78" s="34">
        <f t="shared" si="50"/>
        <v>-0.16259595254710402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587.47279830196123</v>
      </c>
      <c r="V78" s="50">
        <f>$J$51*$J$37*($D$52*G28+$E$52*H28+$F$52*I28)</f>
        <v>516.39874008533229</v>
      </c>
      <c r="W78" s="50">
        <f>$J$51*$J$37*($D$53*G28+$E$53*H28+$F$53*I28)</f>
        <v>59.524264226410679</v>
      </c>
      <c r="X78" s="29">
        <f t="shared" si="57"/>
        <v>1163.3958026137043</v>
      </c>
    </row>
    <row r="79" spans="1:24">
      <c r="A79" s="87"/>
      <c r="B79" s="48" t="str">
        <f t="shared" si="46"/>
        <v>Z</v>
      </c>
      <c r="C79" s="93"/>
      <c r="D79" s="31">
        <f t="shared" si="51"/>
        <v>1212.5</v>
      </c>
      <c r="E79" s="31">
        <f t="shared" si="47"/>
        <v>3856</v>
      </c>
      <c r="F79" s="31">
        <f t="shared" si="48"/>
        <v>1144.2293294726335</v>
      </c>
      <c r="G79" s="32">
        <f t="shared" si="49"/>
        <v>4106</v>
      </c>
      <c r="H79" s="33">
        <f t="shared" si="52"/>
        <v>-5.6305707651436276E-2</v>
      </c>
      <c r="I79" s="34">
        <f t="shared" si="50"/>
        <v>6.4834024896265552E-2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1118.8758282884746</v>
      </c>
      <c r="V79" s="50">
        <f t="shared" ref="V79:V80" si="62">$J$51*$J$37*($D$52*G29+$E$52*H29+$F$52*I29)</f>
        <v>1144.2293294726335</v>
      </c>
      <c r="W79" s="50">
        <f t="shared" ref="W79:W80" si="63">$J$51*$J$37*($D$53*G29+$E$53*H29+$F$53*I29)</f>
        <v>674.19277284634086</v>
      </c>
      <c r="X79" s="29">
        <f t="shared" si="57"/>
        <v>2937.2979306074485</v>
      </c>
    </row>
    <row r="80" spans="1:24">
      <c r="A80" s="87"/>
      <c r="B80" s="48" t="str">
        <f t="shared" si="46"/>
        <v>X</v>
      </c>
      <c r="C80" s="93"/>
      <c r="D80" s="31">
        <f t="shared" si="51"/>
        <v>580.15000000000009</v>
      </c>
      <c r="E80" s="31">
        <f t="shared" si="47"/>
        <v>6281</v>
      </c>
      <c r="F80" s="31">
        <f t="shared" si="48"/>
        <v>583.91590719757994</v>
      </c>
      <c r="G80" s="32">
        <f t="shared" si="49"/>
        <v>6151</v>
      </c>
      <c r="H80" s="33">
        <f t="shared" si="52"/>
        <v>6.4912646687578235E-3</v>
      </c>
      <c r="I80" s="34">
        <f t="shared" si="50"/>
        <v>-2.069734118770894E-2</v>
      </c>
      <c r="R80" s="78"/>
      <c r="S80" s="46" t="str">
        <f t="shared" si="53"/>
        <v>D65</v>
      </c>
      <c r="T80" s="79"/>
      <c r="U80" s="50">
        <f t="shared" si="61"/>
        <v>519.34016450934985</v>
      </c>
      <c r="V80" s="50">
        <f t="shared" si="62"/>
        <v>583.91590719757994</v>
      </c>
      <c r="W80" s="50">
        <f t="shared" si="63"/>
        <v>524.55880533027096</v>
      </c>
      <c r="X80" s="29">
        <f t="shared" si="57"/>
        <v>1627.8148770372009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6.3822398530890334E-2</v>
      </c>
      <c r="G81" s="47"/>
      <c r="H81" s="36" t="str">
        <f>I71</f>
        <v>CCT</v>
      </c>
      <c r="I81" s="38">
        <f>MAX(MAX(I72:I80,-MIN(I72:I80)))</f>
        <v>0.16259595254710402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510.5</v>
      </c>
      <c r="E84" s="31">
        <f t="shared" ref="E84:E92" si="67">E72</f>
        <v>2866</v>
      </c>
      <c r="F84" s="31">
        <f t="shared" ref="F84:F92" si="68">V84</f>
        <v>510.49999999999989</v>
      </c>
      <c r="G84" s="32">
        <f t="shared" ref="G84:G92" si="69">getCCTfromXY(U84/X84,V84/X84)</f>
        <v>2866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551.74999999999966</v>
      </c>
      <c r="V84" s="50">
        <f>$J$42*$J$31*($D$43*G22+$E$43*H22+$F$43*I22)</f>
        <v>510.49999999999989</v>
      </c>
      <c r="W84" s="50">
        <f>$J$42*$J$31*($D$44*G22+$E$44*H22+$F$44*I22)</f>
        <v>153.95000000000039</v>
      </c>
      <c r="X84" s="29">
        <f>SUM(U84:W84)</f>
        <v>1216.1999999999998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1212.5</v>
      </c>
      <c r="E85" s="31">
        <f t="shared" si="67"/>
        <v>3856</v>
      </c>
      <c r="F85" s="31">
        <f t="shared" si="68"/>
        <v>1212.4999999999998</v>
      </c>
      <c r="G85" s="32">
        <f t="shared" si="69"/>
        <v>3856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1203.4999999999998</v>
      </c>
      <c r="V85" s="50">
        <f t="shared" ref="V85:V86" si="75">$J$42*$J$31*($D$43*G23+$E$43*H23+$F$43*I23)</f>
        <v>1212.4999999999998</v>
      </c>
      <c r="W85" s="50">
        <f t="shared" ref="W85:W86" si="76">$J$42*$J$31*($D$44*G23+$E$44*H23+$F$44*I23)</f>
        <v>651.50000000000011</v>
      </c>
      <c r="X85" s="29">
        <f t="shared" ref="X85:X92" si="77">SUM(U85:W85)</f>
        <v>3067.4999999999995</v>
      </c>
    </row>
    <row r="86" spans="1:24">
      <c r="A86" s="87"/>
      <c r="B86" s="48">
        <f t="shared" si="66"/>
        <v>0</v>
      </c>
      <c r="C86" s="93"/>
      <c r="D86" s="31">
        <f t="shared" si="71"/>
        <v>580.15000000000009</v>
      </c>
      <c r="E86" s="31">
        <f t="shared" si="67"/>
        <v>6281</v>
      </c>
      <c r="F86" s="31">
        <f t="shared" si="68"/>
        <v>580.14999999999986</v>
      </c>
      <c r="G86" s="32">
        <f t="shared" si="69"/>
        <v>6281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513.6</v>
      </c>
      <c r="V86" s="50">
        <f t="shared" si="75"/>
        <v>580.14999999999986</v>
      </c>
      <c r="W86" s="50">
        <f t="shared" si="76"/>
        <v>530.15000000000009</v>
      </c>
      <c r="X86" s="29">
        <f t="shared" si="77"/>
        <v>1623.9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510.5</v>
      </c>
      <c r="E87" s="31">
        <f t="shared" si="67"/>
        <v>2866</v>
      </c>
      <c r="F87" s="31">
        <f t="shared" si="68"/>
        <v>510.49999999999994</v>
      </c>
      <c r="G87" s="32">
        <f t="shared" si="69"/>
        <v>2866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551.75000000000034</v>
      </c>
      <c r="V87" s="50">
        <f>$J$45*$J$34*($D$46*G25+$E$46*H25+$F$46*I25)</f>
        <v>510.49999999999994</v>
      </c>
      <c r="W87" s="50">
        <f>$J$45*$J$34*($D$47*G25+$E$47*H25+$F$47*I25)</f>
        <v>153.9499999999997</v>
      </c>
      <c r="X87" s="29">
        <f t="shared" si="77"/>
        <v>1216.1999999999998</v>
      </c>
    </row>
    <row r="88" spans="1:24">
      <c r="A88" s="87"/>
      <c r="B88" s="48">
        <f t="shared" si="66"/>
        <v>0</v>
      </c>
      <c r="C88" s="93"/>
      <c r="D88" s="31">
        <f t="shared" si="71"/>
        <v>1212.5</v>
      </c>
      <c r="E88" s="31">
        <f t="shared" si="67"/>
        <v>3856</v>
      </c>
      <c r="F88" s="31">
        <f t="shared" si="68"/>
        <v>1212.5000000000002</v>
      </c>
      <c r="G88" s="32">
        <f t="shared" si="69"/>
        <v>3856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1203.5000000000005</v>
      </c>
      <c r="V88" s="50">
        <f t="shared" ref="V88:V89" si="79">$J$45*$J$34*($D$46*G26+$E$46*H26+$F$46*I26)</f>
        <v>1212.5000000000002</v>
      </c>
      <c r="W88" s="50">
        <f t="shared" ref="W88:W89" si="80">$J$45*$J$34*($D$47*G26+$E$47*H26+$F$47*I26)</f>
        <v>651.50000000000023</v>
      </c>
      <c r="X88" s="29">
        <f t="shared" si="77"/>
        <v>3067.5000000000009</v>
      </c>
    </row>
    <row r="89" spans="1:24">
      <c r="A89" s="87"/>
      <c r="B89" s="48" t="str">
        <f t="shared" si="66"/>
        <v>A</v>
      </c>
      <c r="C89" s="93"/>
      <c r="D89" s="31">
        <f t="shared" si="71"/>
        <v>580.15000000000009</v>
      </c>
      <c r="E89" s="31">
        <f t="shared" si="67"/>
        <v>6281</v>
      </c>
      <c r="F89" s="31">
        <f t="shared" si="68"/>
        <v>580.15</v>
      </c>
      <c r="G89" s="32">
        <f t="shared" si="69"/>
        <v>6281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513.60000000000014</v>
      </c>
      <c r="V89" s="50">
        <f t="shared" si="79"/>
        <v>580.15</v>
      </c>
      <c r="W89" s="50">
        <f t="shared" si="80"/>
        <v>530.15000000000009</v>
      </c>
      <c r="X89" s="29">
        <f t="shared" si="77"/>
        <v>1623.9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510.5</v>
      </c>
      <c r="E90" s="31">
        <f t="shared" si="67"/>
        <v>2866</v>
      </c>
      <c r="F90" s="31">
        <f t="shared" si="68"/>
        <v>510.50000000000023</v>
      </c>
      <c r="G90" s="32">
        <f t="shared" si="69"/>
        <v>2866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551.75</v>
      </c>
      <c r="V90" s="50">
        <f>$J$48*$J$37*($D$49*G28+$E$49*H28+$F$49*I28)</f>
        <v>510.50000000000023</v>
      </c>
      <c r="W90" s="50">
        <f>$J$48*$J$37*($D$50*G28+$E$50*H28+$F$50*I28)</f>
        <v>153.95000000000013</v>
      </c>
      <c r="X90" s="29">
        <f t="shared" si="77"/>
        <v>1216.2000000000003</v>
      </c>
    </row>
    <row r="91" spans="1:24">
      <c r="A91" s="87"/>
      <c r="B91" s="48" t="str">
        <f t="shared" si="66"/>
        <v>D65</v>
      </c>
      <c r="C91" s="93"/>
      <c r="D91" s="31">
        <f t="shared" si="71"/>
        <v>1212.5</v>
      </c>
      <c r="E91" s="31">
        <f t="shared" si="67"/>
        <v>3856</v>
      </c>
      <c r="F91" s="31">
        <f t="shared" si="68"/>
        <v>1212.4999999999998</v>
      </c>
      <c r="G91" s="32">
        <f t="shared" si="69"/>
        <v>3856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1203.4999999999998</v>
      </c>
      <c r="V91" s="50">
        <f t="shared" ref="V91:V92" si="82">$J$48*$J$37*($D$49*G29+$E$49*H29+$F$49*I29)</f>
        <v>1212.4999999999998</v>
      </c>
      <c r="W91" s="50">
        <f t="shared" ref="W91:W92" si="83">$J$48*$J$37*($D$50*G29+$E$50*H29+$F$50*I29)</f>
        <v>651.5</v>
      </c>
      <c r="X91" s="29">
        <f t="shared" si="77"/>
        <v>3067.4999999999995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580.15000000000009</v>
      </c>
      <c r="E92" s="31">
        <f t="shared" si="67"/>
        <v>6281</v>
      </c>
      <c r="F92" s="31">
        <f t="shared" si="68"/>
        <v>580.1500000000002</v>
      </c>
      <c r="G92" s="32">
        <f t="shared" si="69"/>
        <v>6281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513.60000000000014</v>
      </c>
      <c r="V92" s="50">
        <f t="shared" si="82"/>
        <v>580.1500000000002</v>
      </c>
      <c r="W92" s="50">
        <f t="shared" si="83"/>
        <v>530.15000000000009</v>
      </c>
      <c r="X92" s="29">
        <f t="shared" si="77"/>
        <v>1623.9000000000005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300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1.1983313177631274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59.775697036845813</v>
      </c>
      <c r="N3" s="46">
        <v>0</v>
      </c>
      <c r="O3" s="50">
        <f>G$5-N3*G$7</f>
        <v>111.48797541298499</v>
      </c>
      <c r="P3" s="50">
        <f>H$5-N3*H$7</f>
        <v>51.712278376139182</v>
      </c>
      <c r="Q3" s="50">
        <f>I$5-N3*I$7</f>
        <v>59.754088487375476</v>
      </c>
    </row>
    <row r="4" spans="1:17">
      <c r="C4" s="46" t="s">
        <v>20</v>
      </c>
      <c r="D4" s="7">
        <v>520.6</v>
      </c>
      <c r="E4" s="7">
        <v>1207</v>
      </c>
      <c r="F4" s="7">
        <v>575.6</v>
      </c>
      <c r="G4" s="50">
        <f>AVERAGE(D4:F4)</f>
        <v>767.73333333333323</v>
      </c>
      <c r="H4" s="50">
        <f>G4</f>
        <v>767.73333333333323</v>
      </c>
      <c r="I4" s="50">
        <f>H4</f>
        <v>767.73333333333323</v>
      </c>
      <c r="K4" s="13" t="str">
        <f>linefmt("Compensation",B12)</f>
        <v>"Compensation",28,</v>
      </c>
      <c r="M4" s="46">
        <f t="shared" si="0"/>
        <v>57.661176497167958</v>
      </c>
      <c r="N4" s="46">
        <f>N3+1</f>
        <v>1</v>
      </c>
      <c r="O4" s="50">
        <f t="shared" ref="O4:O66" si="1">G$5-N4*G$7</f>
        <v>109.29143565791156</v>
      </c>
      <c r="P4" s="50">
        <f t="shared" ref="P4:P66" si="2">H$5-N4*H$7</f>
        <v>51.630259160743606</v>
      </c>
      <c r="Q4" s="50">
        <f t="shared" ref="Q4:Q66" si="3">I$5-N4*I$7</f>
        <v>59.427659315070144</v>
      </c>
    </row>
    <row r="5" spans="1:17">
      <c r="C5" s="46">
        <v>0</v>
      </c>
      <c r="D5" s="9">
        <v>75.599999999999994</v>
      </c>
      <c r="E5" s="9">
        <v>81.3</v>
      </c>
      <c r="F5" s="9">
        <v>44.8</v>
      </c>
      <c r="G5" s="50">
        <f>G$4/D$4*D5</f>
        <v>111.48797541298499</v>
      </c>
      <c r="H5" s="50">
        <f t="shared" ref="H5:I6" si="4">H$4/E$4*E5</f>
        <v>51.712278376139182</v>
      </c>
      <c r="I5" s="50">
        <f t="shared" si="4"/>
        <v>59.754088487375476</v>
      </c>
      <c r="K5" s="14" t="str">
        <f>linefmt("CardGain",J54)</f>
        <v>"CardGain",17.35064,</v>
      </c>
      <c r="M5" s="46">
        <f t="shared" si="0"/>
        <v>55.546655957490096</v>
      </c>
      <c r="N5" s="46">
        <f t="shared" ref="N5:N66" si="5">N4+1</f>
        <v>2</v>
      </c>
      <c r="O5" s="50">
        <f t="shared" si="1"/>
        <v>107.09489590283813</v>
      </c>
      <c r="P5" s="50">
        <f t="shared" si="2"/>
        <v>51.548239945348037</v>
      </c>
      <c r="Q5" s="50">
        <f t="shared" si="3"/>
        <v>59.10123014276482</v>
      </c>
    </row>
    <row r="6" spans="1:17">
      <c r="B6" s="50">
        <f>D5/4</f>
        <v>18.899999999999999</v>
      </c>
      <c r="C6" s="7">
        <v>38</v>
      </c>
      <c r="D6" s="9">
        <v>19</v>
      </c>
      <c r="E6" s="9">
        <v>76.400000000000006</v>
      </c>
      <c r="F6" s="9">
        <v>35.5</v>
      </c>
      <c r="G6" s="50">
        <f>G$4/D$4*D6</f>
        <v>28.019464720194645</v>
      </c>
      <c r="H6" s="50">
        <f t="shared" si="4"/>
        <v>48.595548191107426</v>
      </c>
      <c r="I6" s="50">
        <f t="shared" si="4"/>
        <v>47.349779939772986</v>
      </c>
      <c r="K6" s="14" t="str">
        <f>linefmt("Range",1,J34,J37)</f>
        <v>"Range",1,0.9636804,1.002266,</v>
      </c>
      <c r="M6" s="46">
        <f t="shared" si="0"/>
        <v>53.432135417812241</v>
      </c>
      <c r="N6" s="46">
        <f t="shared" si="5"/>
        <v>3</v>
      </c>
      <c r="O6" s="50">
        <f t="shared" si="1"/>
        <v>104.8983561477647</v>
      </c>
      <c r="P6" s="50">
        <f t="shared" si="2"/>
        <v>51.466220729952461</v>
      </c>
      <c r="Q6" s="50">
        <f t="shared" si="3"/>
        <v>58.774800970459488</v>
      </c>
    </row>
    <row r="7" spans="1:17">
      <c r="C7" s="46">
        <f>C5</f>
        <v>0</v>
      </c>
      <c r="D7" s="46">
        <f t="shared" ref="D7:F8" si="6">D$4/D5</f>
        <v>6.8862433862433869</v>
      </c>
      <c r="E7" s="46">
        <f t="shared" si="6"/>
        <v>14.846248462484626</v>
      </c>
      <c r="F7" s="46">
        <f t="shared" si="6"/>
        <v>12.848214285714286</v>
      </c>
      <c r="G7" s="49">
        <f>(G5-G6)/($C6-$C5)</f>
        <v>2.19653975507343</v>
      </c>
      <c r="H7" s="49">
        <f t="shared" ref="H7:I7" si="7">(H5-H6)/($C6-$C5)</f>
        <v>8.2019215395572512E-2</v>
      </c>
      <c r="I7" s="49">
        <f t="shared" si="7"/>
        <v>0.3264291723053287</v>
      </c>
      <c r="K7" s="14" t="str">
        <f>linefmt("CCM" )</f>
        <v>"CCM",</v>
      </c>
      <c r="M7" s="46">
        <f t="shared" si="0"/>
        <v>51.317614878134378</v>
      </c>
      <c r="N7" s="46">
        <f t="shared" si="5"/>
        <v>4</v>
      </c>
      <c r="O7" s="50">
        <f t="shared" si="1"/>
        <v>102.70181639269127</v>
      </c>
      <c r="P7" s="50">
        <f t="shared" si="2"/>
        <v>51.384201514556892</v>
      </c>
      <c r="Q7" s="50">
        <f t="shared" si="3"/>
        <v>58.448371798154163</v>
      </c>
    </row>
    <row r="8" spans="1:17">
      <c r="C8" s="46">
        <f>C6</f>
        <v>38</v>
      </c>
      <c r="D8" s="46">
        <f t="shared" si="6"/>
        <v>27.400000000000002</v>
      </c>
      <c r="E8" s="46">
        <f t="shared" si="6"/>
        <v>15.798429319371726</v>
      </c>
      <c r="F8" s="46">
        <f t="shared" si="6"/>
        <v>16.214084507042255</v>
      </c>
      <c r="K8" s="15" t="str">
        <f>linefmt("",D54,E54,F54)</f>
        <v>0.1956279,1.05914,-0.5677406,</v>
      </c>
      <c r="M8" s="46">
        <f t="shared" si="0"/>
        <v>49.203094338456523</v>
      </c>
      <c r="N8" s="46">
        <f t="shared" si="5"/>
        <v>5</v>
      </c>
      <c r="O8" s="50">
        <f t="shared" si="1"/>
        <v>100.50527663761784</v>
      </c>
      <c r="P8" s="50">
        <f t="shared" si="2"/>
        <v>51.302182299161316</v>
      </c>
      <c r="Q8" s="50">
        <f t="shared" si="3"/>
        <v>58.121942625848831</v>
      </c>
    </row>
    <row r="9" spans="1:17">
      <c r="C9" s="46" t="s">
        <v>23</v>
      </c>
      <c r="D9" s="46">
        <f>(D8-D7)/($C8-$C7)</f>
        <v>0.53983570036201622</v>
      </c>
      <c r="E9" s="46">
        <f>(E8-E7)/($C8-$C7)</f>
        <v>2.5057390970713161E-2</v>
      </c>
      <c r="F9" s="46">
        <f>(F8-F7)/($C8-$C7)</f>
        <v>8.8575532140209703E-2</v>
      </c>
      <c r="K9" s="15" t="str">
        <f>linefmt("",D55,E55,F55)</f>
        <v>4.010785E-02,1,-0.2217686,</v>
      </c>
      <c r="M9" s="46">
        <f t="shared" si="0"/>
        <v>47.088573798778661</v>
      </c>
      <c r="N9" s="46">
        <f t="shared" si="5"/>
        <v>6</v>
      </c>
      <c r="O9" s="50">
        <f t="shared" si="1"/>
        <v>98.308736882544409</v>
      </c>
      <c r="P9" s="50">
        <f t="shared" si="2"/>
        <v>51.220163083765748</v>
      </c>
      <c r="Q9" s="50">
        <f t="shared" si="3"/>
        <v>57.795513453543506</v>
      </c>
    </row>
    <row r="10" spans="1:17">
      <c r="K10" s="16" t="str">
        <f>linefmt("",D56,E56,F56)</f>
        <v>-0.4823924,0.2548791,1.130144,</v>
      </c>
      <c r="M10" s="46">
        <f t="shared" si="0"/>
        <v>44.974053259100806</v>
      </c>
      <c r="N10" s="46">
        <f t="shared" si="5"/>
        <v>7</v>
      </c>
      <c r="O10" s="50">
        <f t="shared" si="1"/>
        <v>96.112197127470978</v>
      </c>
      <c r="P10" s="50">
        <f t="shared" si="2"/>
        <v>51.138143868370172</v>
      </c>
      <c r="Q10" s="50">
        <f t="shared" si="3"/>
        <v>57.469084281238175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42.859532719422958</v>
      </c>
      <c r="N11" s="46">
        <f t="shared" si="5"/>
        <v>8</v>
      </c>
      <c r="O11" s="50">
        <f t="shared" si="1"/>
        <v>93.915657372397561</v>
      </c>
      <c r="P11" s="50">
        <f t="shared" si="2"/>
        <v>51.056124652974603</v>
      </c>
      <c r="Q11" s="50">
        <f t="shared" si="3"/>
        <v>57.14265510893285</v>
      </c>
    </row>
    <row r="12" spans="1:17">
      <c r="A12" s="46" t="s">
        <v>16</v>
      </c>
      <c r="B12" s="10">
        <f>MATCH(M2,M3:M66,0)-1</f>
        <v>28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Compensation=28</v>
      </c>
      <c r="M12" s="46">
        <f t="shared" si="0"/>
        <v>40.745012179745089</v>
      </c>
      <c r="N12" s="46">
        <f t="shared" si="5"/>
        <v>9</v>
      </c>
      <c r="O12" s="50">
        <f t="shared" si="1"/>
        <v>91.719117617324116</v>
      </c>
      <c r="P12" s="50">
        <f t="shared" si="2"/>
        <v>50.974105437579027</v>
      </c>
      <c r="Q12" s="50">
        <f t="shared" si="3"/>
        <v>56.816225936627518</v>
      </c>
    </row>
    <row r="13" spans="1:17">
      <c r="A13" s="78" t="s">
        <v>12</v>
      </c>
      <c r="B13" s="79" t="s">
        <v>0</v>
      </c>
      <c r="C13" s="46">
        <v>0</v>
      </c>
      <c r="D13" s="7">
        <v>553.70000000000005</v>
      </c>
      <c r="E13" s="7">
        <v>512.4</v>
      </c>
      <c r="F13" s="7">
        <v>154.6</v>
      </c>
      <c r="G13" s="8">
        <v>69</v>
      </c>
      <c r="H13" s="8">
        <v>32.9</v>
      </c>
      <c r="I13" s="8">
        <v>29.1</v>
      </c>
      <c r="M13" s="46">
        <f t="shared" si="0"/>
        <v>38.630491640067241</v>
      </c>
      <c r="N13" s="46">
        <f t="shared" si="5"/>
        <v>10</v>
      </c>
      <c r="O13" s="50">
        <f t="shared" si="1"/>
        <v>89.522577862250699</v>
      </c>
      <c r="P13" s="50">
        <f t="shared" si="2"/>
        <v>50.892086222183458</v>
      </c>
      <c r="Q13" s="50">
        <f t="shared" si="3"/>
        <v>56.489796764322186</v>
      </c>
    </row>
    <row r="14" spans="1:17">
      <c r="A14" s="78"/>
      <c r="B14" s="79"/>
      <c r="C14" s="46">
        <f>C13+1</f>
        <v>1</v>
      </c>
      <c r="D14" s="7">
        <v>560.20000000000005</v>
      </c>
      <c r="E14" s="7">
        <v>518.20000000000005</v>
      </c>
      <c r="F14" s="7">
        <v>154.19999999999999</v>
      </c>
      <c r="G14" s="8">
        <v>70.8</v>
      </c>
      <c r="H14" s="8">
        <v>34.700000000000003</v>
      </c>
      <c r="I14" s="8">
        <v>30.6</v>
      </c>
      <c r="M14" s="46">
        <f t="shared" si="0"/>
        <v>36.515971100389386</v>
      </c>
      <c r="N14" s="46">
        <f t="shared" si="5"/>
        <v>11</v>
      </c>
      <c r="O14" s="50">
        <f t="shared" si="1"/>
        <v>87.326038107177268</v>
      </c>
      <c r="P14" s="50">
        <f t="shared" si="2"/>
        <v>50.810067006787882</v>
      </c>
      <c r="Q14" s="50">
        <f t="shared" si="3"/>
        <v>56.163367592016861</v>
      </c>
    </row>
    <row r="15" spans="1:17">
      <c r="A15" s="78"/>
      <c r="B15" s="79"/>
      <c r="C15" s="46">
        <f>C14+1</f>
        <v>2</v>
      </c>
      <c r="D15" s="6">
        <f>2*(D13-D14)/(D13+D14)</f>
        <v>-1.1670706526618188E-2</v>
      </c>
      <c r="E15" s="6">
        <f t="shared" ref="E15:F15" si="8">2*(E13-E14)/(E13+E14)</f>
        <v>-1.1255579274209332E-2</v>
      </c>
      <c r="F15" s="6">
        <f t="shared" si="8"/>
        <v>2.5906735751295711E-3</v>
      </c>
      <c r="G15" s="8">
        <v>66.3</v>
      </c>
      <c r="H15" s="8">
        <v>34.200000000000003</v>
      </c>
      <c r="I15" s="8">
        <v>29.2</v>
      </c>
      <c r="M15" s="46">
        <f t="shared" si="0"/>
        <v>34.401450560711524</v>
      </c>
      <c r="N15" s="46">
        <f t="shared" si="5"/>
        <v>12</v>
      </c>
      <c r="O15" s="50">
        <f t="shared" si="1"/>
        <v>85.129498352103838</v>
      </c>
      <c r="P15" s="50">
        <f t="shared" si="2"/>
        <v>50.728047791392314</v>
      </c>
      <c r="Q15" s="50">
        <f t="shared" si="3"/>
        <v>55.836938419711529</v>
      </c>
    </row>
    <row r="16" spans="1:17">
      <c r="A16" s="78"/>
      <c r="B16" s="79" t="s">
        <v>1</v>
      </c>
      <c r="C16" s="46">
        <f>C13</f>
        <v>0</v>
      </c>
      <c r="D16" s="7">
        <v>1200</v>
      </c>
      <c r="E16" s="7">
        <v>1209</v>
      </c>
      <c r="F16" s="7">
        <v>650</v>
      </c>
      <c r="G16" s="8">
        <v>58.6</v>
      </c>
      <c r="H16" s="8">
        <v>77.5</v>
      </c>
      <c r="I16" s="8">
        <v>39.799999999999997</v>
      </c>
      <c r="M16" s="46">
        <f t="shared" si="0"/>
        <v>32.286930021033669</v>
      </c>
      <c r="N16" s="46">
        <f t="shared" si="5"/>
        <v>13</v>
      </c>
      <c r="O16" s="50">
        <f t="shared" si="1"/>
        <v>82.932958597030407</v>
      </c>
      <c r="P16" s="50">
        <f t="shared" si="2"/>
        <v>50.646028575996738</v>
      </c>
      <c r="Q16" s="50">
        <f t="shared" si="3"/>
        <v>55.510509247406205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1211</v>
      </c>
      <c r="F17" s="7">
        <v>649</v>
      </c>
      <c r="G17" s="8">
        <v>60.5</v>
      </c>
      <c r="H17" s="8">
        <v>79</v>
      </c>
      <c r="I17" s="8">
        <v>41.8</v>
      </c>
      <c r="M17" s="46">
        <f t="shared" si="0"/>
        <v>30.172409481355807</v>
      </c>
      <c r="N17" s="46">
        <f t="shared" si="5"/>
        <v>14</v>
      </c>
      <c r="O17" s="50">
        <f t="shared" si="1"/>
        <v>80.736418841956976</v>
      </c>
      <c r="P17" s="50">
        <f t="shared" si="2"/>
        <v>50.564009360601169</v>
      </c>
      <c r="Q17" s="50">
        <f t="shared" si="3"/>
        <v>55.184080075100873</v>
      </c>
    </row>
    <row r="18" spans="1:21">
      <c r="A18" s="78"/>
      <c r="B18" s="79"/>
      <c r="C18" s="46">
        <f t="shared" si="9"/>
        <v>2</v>
      </c>
      <c r="D18" s="6">
        <f>2*(D16-D17)/(D16+D17)</f>
        <v>-1.6652789342214821E-3</v>
      </c>
      <c r="E18" s="6">
        <f t="shared" ref="E18:F18" si="10">2*(E16-E17)/(E16+E17)</f>
        <v>-1.652892561983471E-3</v>
      </c>
      <c r="F18" s="6">
        <f t="shared" si="10"/>
        <v>1.539645881447267E-3</v>
      </c>
      <c r="G18" s="8">
        <v>57.5</v>
      </c>
      <c r="H18" s="8">
        <v>75.099999999999994</v>
      </c>
      <c r="I18" s="8">
        <v>42.4</v>
      </c>
      <c r="M18" s="46">
        <f t="shared" si="0"/>
        <v>28.057888941677952</v>
      </c>
      <c r="N18" s="46">
        <f t="shared" si="5"/>
        <v>15</v>
      </c>
      <c r="O18" s="50">
        <f t="shared" si="1"/>
        <v>78.539879086883545</v>
      </c>
      <c r="P18" s="50">
        <f t="shared" si="2"/>
        <v>50.481990145205593</v>
      </c>
      <c r="Q18" s="50">
        <f t="shared" si="3"/>
        <v>54.857650902795548</v>
      </c>
    </row>
    <row r="19" spans="1:21">
      <c r="A19" s="78"/>
      <c r="B19" s="79" t="s">
        <v>2</v>
      </c>
      <c r="C19" s="46">
        <f t="shared" si="9"/>
        <v>0</v>
      </c>
      <c r="D19" s="7">
        <v>510</v>
      </c>
      <c r="E19" s="7">
        <v>576.70000000000005</v>
      </c>
      <c r="F19" s="7">
        <v>528.9</v>
      </c>
      <c r="G19" s="8">
        <v>24.6</v>
      </c>
      <c r="H19" s="8">
        <v>38.1</v>
      </c>
      <c r="I19" s="8">
        <v>28.4</v>
      </c>
      <c r="M19" s="46">
        <f t="shared" si="0"/>
        <v>25.94336840200009</v>
      </c>
      <c r="N19" s="46">
        <f t="shared" si="5"/>
        <v>16</v>
      </c>
      <c r="O19" s="50">
        <f t="shared" si="1"/>
        <v>76.343339331810114</v>
      </c>
      <c r="P19" s="50">
        <f t="shared" si="2"/>
        <v>50.399970929810024</v>
      </c>
      <c r="Q19" s="50">
        <f t="shared" si="3"/>
        <v>54.531221730490216</v>
      </c>
    </row>
    <row r="20" spans="1:21">
      <c r="A20" s="78"/>
      <c r="B20" s="79"/>
      <c r="C20" s="46">
        <f t="shared" si="9"/>
        <v>1</v>
      </c>
      <c r="D20" s="7">
        <v>511.9</v>
      </c>
      <c r="E20" s="7">
        <v>578.6</v>
      </c>
      <c r="F20" s="7">
        <v>530.1</v>
      </c>
      <c r="G20" s="8">
        <v>25.8</v>
      </c>
      <c r="H20" s="8">
        <v>39.9</v>
      </c>
      <c r="I20" s="8">
        <v>29.9</v>
      </c>
      <c r="M20" s="46">
        <f t="shared" si="0"/>
        <v>23.828847862322235</v>
      </c>
      <c r="N20" s="46">
        <f t="shared" si="5"/>
        <v>17</v>
      </c>
      <c r="O20" s="50">
        <f t="shared" si="1"/>
        <v>74.146799576736683</v>
      </c>
      <c r="P20" s="50">
        <f t="shared" si="2"/>
        <v>50.317951714414448</v>
      </c>
      <c r="Q20" s="50">
        <f t="shared" si="3"/>
        <v>54.204792558184892</v>
      </c>
    </row>
    <row r="21" spans="1:21">
      <c r="A21" s="78"/>
      <c r="B21" s="79"/>
      <c r="C21" s="46">
        <f t="shared" si="9"/>
        <v>2</v>
      </c>
      <c r="D21" s="6">
        <f>2*(D19-D20)/(D19+D20)</f>
        <v>-3.7185634602211123E-3</v>
      </c>
      <c r="E21" s="6">
        <f t="shared" ref="E21:F21" si="11">2*(E19-E20)/(E19+E20)</f>
        <v>-3.289188955249679E-3</v>
      </c>
      <c r="F21" s="6">
        <f t="shared" si="11"/>
        <v>-2.2662889518414455E-3</v>
      </c>
      <c r="G21" s="8">
        <v>24.2</v>
      </c>
      <c r="H21" s="8">
        <v>39.9</v>
      </c>
      <c r="I21" s="8">
        <v>28.3</v>
      </c>
      <c r="M21" s="46">
        <f t="shared" si="0"/>
        <v>21.714327322644372</v>
      </c>
      <c r="N21" s="46">
        <f t="shared" si="5"/>
        <v>18</v>
      </c>
      <c r="O21" s="50">
        <f t="shared" si="1"/>
        <v>71.950259821663252</v>
      </c>
      <c r="P21" s="50">
        <f t="shared" si="2"/>
        <v>50.23593249901888</v>
      </c>
      <c r="Q21" s="50">
        <f t="shared" si="3"/>
        <v>53.87836338587956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556.95000000000005</v>
      </c>
      <c r="E22" s="46">
        <f t="shared" ref="E22:F22" si="12">(E13+E14)/2</f>
        <v>515.29999999999995</v>
      </c>
      <c r="F22" s="46">
        <f t="shared" si="12"/>
        <v>154.39999999999998</v>
      </c>
      <c r="G22" s="5">
        <f>G13</f>
        <v>69</v>
      </c>
      <c r="H22" s="5">
        <f t="shared" ref="H22:I22" si="13">H13</f>
        <v>32.9</v>
      </c>
      <c r="I22" s="5">
        <f t="shared" si="13"/>
        <v>29.1</v>
      </c>
      <c r="J22" s="99">
        <f>AVERAGE(G22:I24)</f>
        <v>44.222222222222229</v>
      </c>
      <c r="M22" s="46">
        <f t="shared" si="0"/>
        <v>19.599806782966517</v>
      </c>
      <c r="N22" s="46">
        <f t="shared" si="5"/>
        <v>19</v>
      </c>
      <c r="O22" s="50">
        <f t="shared" si="1"/>
        <v>69.753720066589821</v>
      </c>
      <c r="P22" s="50">
        <f t="shared" si="2"/>
        <v>50.153913283623304</v>
      </c>
      <c r="Q22" s="50">
        <f t="shared" si="3"/>
        <v>53.551934213574228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</v>
      </c>
      <c r="E23" s="46">
        <f>(E16+E17)/2</f>
        <v>1210</v>
      </c>
      <c r="F23" s="46">
        <f>(F16+F17)/2</f>
        <v>649.5</v>
      </c>
      <c r="G23" s="5">
        <f>G16</f>
        <v>58.6</v>
      </c>
      <c r="H23" s="5">
        <f>H16</f>
        <v>77.5</v>
      </c>
      <c r="I23" s="5">
        <f>I16</f>
        <v>39.799999999999997</v>
      </c>
      <c r="J23" s="99"/>
      <c r="M23" s="46">
        <f t="shared" si="0"/>
        <v>17.485286243288655</v>
      </c>
      <c r="N23" s="46">
        <f t="shared" si="5"/>
        <v>20</v>
      </c>
      <c r="O23" s="50">
        <f t="shared" si="1"/>
        <v>67.55718031151639</v>
      </c>
      <c r="P23" s="50">
        <f t="shared" si="2"/>
        <v>50.071894068227735</v>
      </c>
      <c r="Q23" s="50">
        <f t="shared" si="3"/>
        <v>53.225505041268903</v>
      </c>
    </row>
    <row r="24" spans="1:21">
      <c r="A24" s="78"/>
      <c r="B24" s="46" t="str">
        <f>B19</f>
        <v>D65</v>
      </c>
      <c r="C24" s="79"/>
      <c r="D24" s="46">
        <f>(D19+D20)/2</f>
        <v>510.95</v>
      </c>
      <c r="E24" s="46">
        <f>(E19+E20)/2</f>
        <v>577.65000000000009</v>
      </c>
      <c r="F24" s="46">
        <f>(F19+F20)/2</f>
        <v>529.5</v>
      </c>
      <c r="G24" s="5">
        <f>G19</f>
        <v>24.6</v>
      </c>
      <c r="H24" s="5">
        <f>H19</f>
        <v>38.1</v>
      </c>
      <c r="I24" s="5">
        <f>I19</f>
        <v>28.4</v>
      </c>
      <c r="J24" s="99"/>
      <c r="M24" s="46">
        <f t="shared" si="0"/>
        <v>15.370765703610815</v>
      </c>
      <c r="N24" s="46">
        <f t="shared" si="5"/>
        <v>21</v>
      </c>
      <c r="O24" s="50">
        <f t="shared" si="1"/>
        <v>65.360640556442974</v>
      </c>
      <c r="P24" s="50">
        <f t="shared" si="2"/>
        <v>49.989874852832159</v>
      </c>
      <c r="Q24" s="50">
        <f t="shared" si="3"/>
        <v>52.899075868963571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556.95000000000005</v>
      </c>
      <c r="E25" s="46">
        <f t="shared" ref="E25:F25" si="15">(E13+E14)/2</f>
        <v>515.29999999999995</v>
      </c>
      <c r="F25" s="46">
        <f t="shared" si="15"/>
        <v>154.39999999999998</v>
      </c>
      <c r="G25" s="5">
        <f t="shared" ref="G25:I25" si="16">G14</f>
        <v>70.8</v>
      </c>
      <c r="H25" s="5">
        <f t="shared" si="16"/>
        <v>34.700000000000003</v>
      </c>
      <c r="I25" s="5">
        <f t="shared" si="16"/>
        <v>30.6</v>
      </c>
      <c r="J25" s="99">
        <f>AVERAGE(G25:I27)</f>
        <v>45.888888888888886</v>
      </c>
      <c r="M25" s="46">
        <f t="shared" si="0"/>
        <v>13.256245163932952</v>
      </c>
      <c r="N25" s="46">
        <f t="shared" si="5"/>
        <v>22</v>
      </c>
      <c r="O25" s="50">
        <f t="shared" si="1"/>
        <v>63.164100801369536</v>
      </c>
      <c r="P25" s="50">
        <f t="shared" si="2"/>
        <v>49.907855637436583</v>
      </c>
      <c r="Q25" s="50">
        <f t="shared" si="3"/>
        <v>52.572646696658246</v>
      </c>
    </row>
    <row r="26" spans="1:21">
      <c r="A26" s="78"/>
      <c r="B26" s="46" t="str">
        <f>B16</f>
        <v>CWF</v>
      </c>
      <c r="C26" s="79"/>
      <c r="D26" s="46">
        <f>(D16+D17)/2</f>
        <v>1201</v>
      </c>
      <c r="E26" s="46">
        <f>(E16+E17)/2</f>
        <v>1210</v>
      </c>
      <c r="F26" s="46">
        <f>(F16+F17)/2</f>
        <v>649.5</v>
      </c>
      <c r="G26" s="5">
        <f>G17</f>
        <v>60.5</v>
      </c>
      <c r="H26" s="5">
        <f>H17</f>
        <v>79</v>
      </c>
      <c r="I26" s="5">
        <f>I17</f>
        <v>41.8</v>
      </c>
      <c r="J26" s="99"/>
      <c r="M26" s="46">
        <f t="shared" si="0"/>
        <v>11.14172462425509</v>
      </c>
      <c r="N26" s="46">
        <f t="shared" si="5"/>
        <v>23</v>
      </c>
      <c r="O26" s="50">
        <f t="shared" si="1"/>
        <v>60.967561046296105</v>
      </c>
      <c r="P26" s="50">
        <f t="shared" si="2"/>
        <v>49.825836422041014</v>
      </c>
      <c r="Q26" s="50">
        <f t="shared" si="3"/>
        <v>52.246217524352915</v>
      </c>
    </row>
    <row r="27" spans="1:21">
      <c r="A27" s="78"/>
      <c r="B27" s="46" t="str">
        <f>B19</f>
        <v>D65</v>
      </c>
      <c r="C27" s="79"/>
      <c r="D27" s="46">
        <f>(D19+D20)/2</f>
        <v>510.95</v>
      </c>
      <c r="E27" s="46">
        <f>(E19+E20)/2</f>
        <v>577.65000000000009</v>
      </c>
      <c r="F27" s="46">
        <f>(F19+F20)/2</f>
        <v>529.5</v>
      </c>
      <c r="G27" s="5">
        <f>G20</f>
        <v>25.8</v>
      </c>
      <c r="H27" s="5">
        <f>H20</f>
        <v>39.9</v>
      </c>
      <c r="I27" s="5">
        <f>I20</f>
        <v>29.9</v>
      </c>
      <c r="J27" s="99"/>
      <c r="M27" s="46">
        <f t="shared" si="0"/>
        <v>9.0272040845772352</v>
      </c>
      <c r="N27" s="46">
        <f t="shared" si="5"/>
        <v>24</v>
      </c>
      <c r="O27" s="50">
        <f t="shared" si="1"/>
        <v>58.771021291222674</v>
      </c>
      <c r="P27" s="50">
        <f t="shared" si="2"/>
        <v>49.743817206645438</v>
      </c>
      <c r="Q27" s="50">
        <f t="shared" si="3"/>
        <v>51.91978835204759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556.95000000000005</v>
      </c>
      <c r="E28" s="46">
        <f t="shared" ref="E28:F28" si="17">(E13+E14)/2</f>
        <v>515.29999999999995</v>
      </c>
      <c r="F28" s="46">
        <f t="shared" si="17"/>
        <v>154.39999999999998</v>
      </c>
      <c r="G28" s="5">
        <f t="shared" ref="G28:I28" si="18">G15</f>
        <v>66.3</v>
      </c>
      <c r="H28" s="5">
        <f t="shared" si="18"/>
        <v>34.200000000000003</v>
      </c>
      <c r="I28" s="5">
        <f t="shared" si="18"/>
        <v>29.2</v>
      </c>
      <c r="J28" s="99">
        <f>AVERAGE(G28:I30)</f>
        <v>44.122222222222213</v>
      </c>
      <c r="M28" s="46">
        <f t="shared" si="0"/>
        <v>6.9126835448993731</v>
      </c>
      <c r="N28" s="46">
        <f t="shared" si="5"/>
        <v>25</v>
      </c>
      <c r="O28" s="50">
        <f t="shared" si="1"/>
        <v>56.574481536149243</v>
      </c>
      <c r="P28" s="50">
        <f t="shared" si="2"/>
        <v>49.66179799124987</v>
      </c>
      <c r="Q28" s="50">
        <f t="shared" si="3"/>
        <v>51.593359179742258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</v>
      </c>
      <c r="E29" s="46">
        <f t="shared" si="20"/>
        <v>1210</v>
      </c>
      <c r="F29" s="46">
        <f t="shared" si="20"/>
        <v>649.5</v>
      </c>
      <c r="G29" s="5">
        <f t="shared" ref="G29:I29" si="21">G18</f>
        <v>57.5</v>
      </c>
      <c r="H29" s="5">
        <f t="shared" si="21"/>
        <v>75.099999999999994</v>
      </c>
      <c r="I29" s="5">
        <f t="shared" si="21"/>
        <v>42.4</v>
      </c>
      <c r="J29" s="99"/>
      <c r="M29" s="46">
        <f t="shared" si="0"/>
        <v>4.7981630052215181</v>
      </c>
      <c r="N29" s="46">
        <f t="shared" si="5"/>
        <v>26</v>
      </c>
      <c r="O29" s="50">
        <f t="shared" si="1"/>
        <v>54.377941781075812</v>
      </c>
      <c r="P29" s="50">
        <f t="shared" si="2"/>
        <v>49.579778775854294</v>
      </c>
      <c r="Q29" s="50">
        <f t="shared" si="3"/>
        <v>51.266930007436926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510.95</v>
      </c>
      <c r="E30" s="46">
        <f t="shared" si="23"/>
        <v>577.65000000000009</v>
      </c>
      <c r="F30" s="46">
        <f t="shared" si="23"/>
        <v>529.5</v>
      </c>
      <c r="G30" s="5">
        <f t="shared" ref="G30:I30" si="24">G21</f>
        <v>24.2</v>
      </c>
      <c r="H30" s="5">
        <f t="shared" si="24"/>
        <v>39.9</v>
      </c>
      <c r="I30" s="5">
        <f t="shared" si="24"/>
        <v>28.3</v>
      </c>
      <c r="J30" s="99"/>
      <c r="M30" s="46">
        <f t="shared" si="0"/>
        <v>2.6836424655436559</v>
      </c>
      <c r="N30" s="46">
        <f t="shared" si="5"/>
        <v>27</v>
      </c>
      <c r="O30" s="50">
        <f t="shared" si="1"/>
        <v>52.181402026002381</v>
      </c>
      <c r="P30" s="50">
        <f t="shared" si="2"/>
        <v>49.497759560458725</v>
      </c>
      <c r="Q30" s="50">
        <f t="shared" si="3"/>
        <v>50.940500835131601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556.95000000000005</v>
      </c>
      <c r="E31" s="46">
        <f t="shared" si="25"/>
        <v>515.29999999999995</v>
      </c>
      <c r="F31" s="46">
        <f t="shared" si="25"/>
        <v>154.39999999999998</v>
      </c>
      <c r="G31" s="5">
        <f t="shared" ref="G31:I33" si="26">G22*$J$31</f>
        <v>69</v>
      </c>
      <c r="H31" s="5">
        <f t="shared" si="26"/>
        <v>32.9</v>
      </c>
      <c r="I31" s="5">
        <f t="shared" si="26"/>
        <v>29.1</v>
      </c>
      <c r="J31" s="96">
        <f>J$22/J22</f>
        <v>1</v>
      </c>
      <c r="M31" s="46">
        <f t="shared" si="0"/>
        <v>1.1983313177631274</v>
      </c>
      <c r="N31" s="46">
        <f t="shared" si="5"/>
        <v>28</v>
      </c>
      <c r="O31" s="50">
        <f t="shared" si="1"/>
        <v>49.984862270928957</v>
      </c>
      <c r="P31" s="50">
        <f t="shared" si="2"/>
        <v>49.415740345063149</v>
      </c>
      <c r="Q31" s="50">
        <f t="shared" si="3"/>
        <v>50.614071662826277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</v>
      </c>
      <c r="E32" s="46">
        <f t="shared" si="27"/>
        <v>1210</v>
      </c>
      <c r="F32" s="46">
        <f t="shared" si="27"/>
        <v>649.5</v>
      </c>
      <c r="G32" s="5">
        <f t="shared" si="26"/>
        <v>58.6</v>
      </c>
      <c r="H32" s="5">
        <f t="shared" si="26"/>
        <v>77.5</v>
      </c>
      <c r="I32" s="5">
        <f t="shared" si="26"/>
        <v>39.799999999999997</v>
      </c>
      <c r="J32" s="96"/>
      <c r="M32" s="46">
        <f t="shared" si="0"/>
        <v>2.4993199746654184</v>
      </c>
      <c r="N32" s="46">
        <f t="shared" si="5"/>
        <v>29</v>
      </c>
      <c r="O32" s="50">
        <f t="shared" si="1"/>
        <v>47.788322515855526</v>
      </c>
      <c r="P32" s="50">
        <f t="shared" si="2"/>
        <v>49.33372112966758</v>
      </c>
      <c r="Q32" s="50">
        <f t="shared" si="3"/>
        <v>50.287642490520945</v>
      </c>
    </row>
    <row r="33" spans="1:17">
      <c r="A33" s="78"/>
      <c r="B33" s="46" t="str">
        <f t="shared" si="27"/>
        <v>D65</v>
      </c>
      <c r="C33" s="79"/>
      <c r="D33" s="46">
        <f t="shared" si="27"/>
        <v>510.95</v>
      </c>
      <c r="E33" s="46">
        <f t="shared" si="27"/>
        <v>577.65000000000009</v>
      </c>
      <c r="F33" s="46">
        <f t="shared" si="27"/>
        <v>529.5</v>
      </c>
      <c r="G33" s="5">
        <f t="shared" si="26"/>
        <v>24.6</v>
      </c>
      <c r="H33" s="5">
        <f t="shared" si="26"/>
        <v>38.1</v>
      </c>
      <c r="I33" s="5">
        <f t="shared" si="26"/>
        <v>28.4</v>
      </c>
      <c r="J33" s="96"/>
      <c r="M33" s="46">
        <f t="shared" si="0"/>
        <v>4.3694305574335175</v>
      </c>
      <c r="N33" s="46">
        <f t="shared" si="5"/>
        <v>30</v>
      </c>
      <c r="O33" s="50">
        <f t="shared" si="1"/>
        <v>45.591782760782095</v>
      </c>
      <c r="P33" s="50">
        <f t="shared" si="2"/>
        <v>49.251701914272005</v>
      </c>
      <c r="Q33" s="50">
        <f t="shared" si="3"/>
        <v>49.961213318215613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556.95000000000005</v>
      </c>
      <c r="E34" s="46">
        <f t="shared" si="27"/>
        <v>515.29999999999995</v>
      </c>
      <c r="F34" s="46">
        <f t="shared" si="27"/>
        <v>154.39999999999998</v>
      </c>
      <c r="G34" s="5">
        <f t="shared" ref="G34:I36" si="28">G25*$J$34</f>
        <v>68.228571428571442</v>
      </c>
      <c r="H34" s="5">
        <f t="shared" si="28"/>
        <v>33.439709443099282</v>
      </c>
      <c r="I34" s="5">
        <f t="shared" si="28"/>
        <v>29.488619854721556</v>
      </c>
      <c r="J34" s="96">
        <f>J$22/J25</f>
        <v>0.96368038740920114</v>
      </c>
      <c r="M34" s="46">
        <f t="shared" si="0"/>
        <v>6.2395411402016236</v>
      </c>
      <c r="N34" s="46">
        <f t="shared" si="5"/>
        <v>31</v>
      </c>
      <c r="O34" s="50">
        <f t="shared" si="1"/>
        <v>43.395243005708664</v>
      </c>
      <c r="P34" s="50">
        <f t="shared" si="2"/>
        <v>49.169682698876436</v>
      </c>
      <c r="Q34" s="50">
        <f t="shared" si="3"/>
        <v>49.634784145910288</v>
      </c>
    </row>
    <row r="35" spans="1:17">
      <c r="A35" s="78"/>
      <c r="B35" s="46" t="str">
        <f t="shared" si="27"/>
        <v>CWF</v>
      </c>
      <c r="C35" s="79"/>
      <c r="D35" s="46">
        <f t="shared" si="27"/>
        <v>1201</v>
      </c>
      <c r="E35" s="46">
        <f t="shared" si="27"/>
        <v>1210</v>
      </c>
      <c r="F35" s="46">
        <f t="shared" si="27"/>
        <v>649.5</v>
      </c>
      <c r="G35" s="5">
        <f t="shared" si="28"/>
        <v>58.302663438256673</v>
      </c>
      <c r="H35" s="5">
        <f t="shared" si="28"/>
        <v>76.130750605326895</v>
      </c>
      <c r="I35" s="5">
        <f t="shared" si="28"/>
        <v>40.281840193704603</v>
      </c>
      <c r="J35" s="96"/>
      <c r="M35" s="46">
        <f t="shared" si="0"/>
        <v>8.1096517229697227</v>
      </c>
      <c r="N35" s="46">
        <f t="shared" si="5"/>
        <v>32</v>
      </c>
      <c r="O35" s="50">
        <f t="shared" si="1"/>
        <v>41.198703250635234</v>
      </c>
      <c r="P35" s="50">
        <f t="shared" si="2"/>
        <v>49.08766348348086</v>
      </c>
      <c r="Q35" s="50">
        <f t="shared" si="3"/>
        <v>49.308354973604956</v>
      </c>
    </row>
    <row r="36" spans="1:17">
      <c r="A36" s="78"/>
      <c r="B36" s="46" t="str">
        <f t="shared" si="27"/>
        <v>D65</v>
      </c>
      <c r="C36" s="79"/>
      <c r="D36" s="46">
        <f t="shared" si="27"/>
        <v>510.95</v>
      </c>
      <c r="E36" s="46">
        <f t="shared" si="27"/>
        <v>577.65000000000009</v>
      </c>
      <c r="F36" s="46">
        <f t="shared" si="27"/>
        <v>529.5</v>
      </c>
      <c r="G36" s="5">
        <f t="shared" si="28"/>
        <v>24.86295399515739</v>
      </c>
      <c r="H36" s="5">
        <f t="shared" si="28"/>
        <v>38.450847457627127</v>
      </c>
      <c r="I36" s="5">
        <f t="shared" si="28"/>
        <v>28.814043583535113</v>
      </c>
      <c r="J36" s="96"/>
      <c r="M36" s="46">
        <f t="shared" si="0"/>
        <v>10.003480772523488</v>
      </c>
      <c r="N36" s="46">
        <f t="shared" si="5"/>
        <v>33</v>
      </c>
      <c r="O36" s="50">
        <f t="shared" si="1"/>
        <v>39.002163495561803</v>
      </c>
      <c r="P36" s="50">
        <f t="shared" si="2"/>
        <v>49.005644268085291</v>
      </c>
      <c r="Q36" s="50">
        <f t="shared" si="3"/>
        <v>48.981925801299631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556.95000000000005</v>
      </c>
      <c r="E37" s="46">
        <f t="shared" si="27"/>
        <v>515.29999999999995</v>
      </c>
      <c r="F37" s="46">
        <f t="shared" si="27"/>
        <v>154.39999999999998</v>
      </c>
      <c r="G37" s="5">
        <f t="shared" ref="G37:I39" si="29">G28*$J$37</f>
        <v>66.450264417023433</v>
      </c>
      <c r="H37" s="5">
        <f t="shared" si="29"/>
        <v>34.277511961722503</v>
      </c>
      <c r="I37" s="5">
        <f t="shared" si="29"/>
        <v>29.266179803575934</v>
      </c>
      <c r="J37" s="96">
        <f>J$22/J28</f>
        <v>1.0022664316293128</v>
      </c>
      <c r="K37" s="51" t="str">
        <f>CHAR(34) &amp; "EEpromVersion" &amp;CHAR(34)  &amp; ",3,"</f>
        <v>"EEpromVersion",3,</v>
      </c>
      <c r="M37" s="46">
        <f t="shared" si="0"/>
        <v>12.118001312201343</v>
      </c>
      <c r="N37" s="46">
        <f t="shared" si="5"/>
        <v>34</v>
      </c>
      <c r="O37" s="50">
        <f t="shared" si="1"/>
        <v>36.805623740488372</v>
      </c>
      <c r="P37" s="50">
        <f t="shared" si="2"/>
        <v>48.923625052689715</v>
      </c>
      <c r="Q37" s="50">
        <f t="shared" si="3"/>
        <v>48.6554966289943</v>
      </c>
    </row>
    <row r="38" spans="1:17">
      <c r="A38" s="78"/>
      <c r="B38" s="46" t="str">
        <f t="shared" si="27"/>
        <v>CWF</v>
      </c>
      <c r="C38" s="79"/>
      <c r="D38" s="46">
        <f t="shared" si="27"/>
        <v>1201</v>
      </c>
      <c r="E38" s="46">
        <f t="shared" si="27"/>
        <v>1210</v>
      </c>
      <c r="F38" s="46">
        <f t="shared" si="27"/>
        <v>649.5</v>
      </c>
      <c r="G38" s="5">
        <f t="shared" si="29"/>
        <v>57.630319818685486</v>
      </c>
      <c r="H38" s="5">
        <f t="shared" si="29"/>
        <v>75.270209015361388</v>
      </c>
      <c r="I38" s="5">
        <f t="shared" si="29"/>
        <v>42.496096701082863</v>
      </c>
      <c r="J38" s="96"/>
      <c r="K38" s="52" t="str">
        <f>K4</f>
        <v>"Compensation",28,</v>
      </c>
      <c r="M38" s="46">
        <f t="shared" si="0"/>
        <v>14.232521851879206</v>
      </c>
      <c r="N38" s="46">
        <f t="shared" si="5"/>
        <v>35</v>
      </c>
      <c r="O38" s="50">
        <f t="shared" si="1"/>
        <v>34.609083985414941</v>
      </c>
      <c r="P38" s="50">
        <f t="shared" si="2"/>
        <v>48.841605837294146</v>
      </c>
      <c r="Q38" s="50">
        <f t="shared" si="3"/>
        <v>48.329067456688975</v>
      </c>
    </row>
    <row r="39" spans="1:17">
      <c r="A39" s="78"/>
      <c r="B39" s="46" t="str">
        <f t="shared" si="27"/>
        <v>D65</v>
      </c>
      <c r="C39" s="79"/>
      <c r="D39" s="46">
        <f t="shared" si="27"/>
        <v>510.95</v>
      </c>
      <c r="E39" s="46">
        <f t="shared" si="27"/>
        <v>577.65000000000009</v>
      </c>
      <c r="F39" s="46">
        <f t="shared" si="27"/>
        <v>529.5</v>
      </c>
      <c r="G39" s="5">
        <f t="shared" si="29"/>
        <v>24.254847645429368</v>
      </c>
      <c r="H39" s="5">
        <f t="shared" si="29"/>
        <v>39.990430622009583</v>
      </c>
      <c r="I39" s="5">
        <f t="shared" si="29"/>
        <v>28.364140015109555</v>
      </c>
      <c r="J39" s="96"/>
      <c r="K39" s="53" t="str">
        <f>linefmt("CardGain",J42,J45,J48)</f>
        <v>"CardGain",16.10387,17.33152,20.37637,</v>
      </c>
      <c r="M39" s="46">
        <f t="shared" si="0"/>
        <v>16.347042391557061</v>
      </c>
      <c r="N39" s="46">
        <f t="shared" si="5"/>
        <v>36</v>
      </c>
      <c r="O39" s="50">
        <f t="shared" si="1"/>
        <v>32.41254423034151</v>
      </c>
      <c r="P39" s="50">
        <f t="shared" si="2"/>
        <v>48.759586621898571</v>
      </c>
      <c r="Q39" s="50">
        <f t="shared" si="3"/>
        <v>48.002638284383643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"Range",1,0.9636804,1.002266,</v>
      </c>
      <c r="M40" s="46">
        <f t="shared" si="0"/>
        <v>18.461562931234923</v>
      </c>
      <c r="N40" s="46">
        <f t="shared" si="5"/>
        <v>37</v>
      </c>
      <c r="O40" s="50">
        <f t="shared" si="1"/>
        <v>30.216004475268079</v>
      </c>
      <c r="P40" s="50">
        <f t="shared" si="2"/>
        <v>48.677567406503002</v>
      </c>
      <c r="Q40" s="50">
        <f t="shared" si="3"/>
        <v>47.676209112078311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20.576083470912778</v>
      </c>
      <c r="N41" s="46">
        <f t="shared" si="5"/>
        <v>38</v>
      </c>
      <c r="O41" s="50">
        <f t="shared" si="1"/>
        <v>28.019464720194648</v>
      </c>
      <c r="P41" s="50">
        <f t="shared" si="2"/>
        <v>48.595548191107426</v>
      </c>
      <c r="Q41" s="50">
        <f t="shared" si="3"/>
        <v>47.349779939772986</v>
      </c>
    </row>
    <row r="42" spans="1:17">
      <c r="A42" s="4"/>
      <c r="B42" s="46" t="s">
        <v>3</v>
      </c>
      <c r="C42" s="79">
        <f>C31</f>
        <v>0</v>
      </c>
      <c r="D42" s="46">
        <f>I42/$H$43</f>
        <v>0.19511214984170555</v>
      </c>
      <c r="E42" s="46">
        <f>H42/$H$43</f>
        <v>1.0539449602159494</v>
      </c>
      <c r="F42" s="46">
        <f>G42/$H$43</f>
        <v>-0.4657275394452674</v>
      </c>
      <c r="G42" s="46">
        <f t="array" ref="G42:I42">LINEST($D31:$D33,$G31:$I33,FALSE)</f>
        <v>-7.5000153853929881</v>
      </c>
      <c r="H42" s="46">
        <v>16.972591799901444</v>
      </c>
      <c r="I42" s="46">
        <v>3.1420605434518585</v>
      </c>
      <c r="J42" s="97">
        <f>H43</f>
        <v>16.103869215735727</v>
      </c>
      <c r="K42" s="53" t="str">
        <f t="shared" ref="K42:K50" si="30">linefmt("",D42,E42,F42)</f>
        <v>0.1951122,1.053945,-0.4657275,</v>
      </c>
      <c r="M42" s="46">
        <f t="shared" si="0"/>
        <v>22.690604010590633</v>
      </c>
      <c r="N42" s="46">
        <f t="shared" si="5"/>
        <v>39</v>
      </c>
      <c r="O42" s="50">
        <f t="shared" si="1"/>
        <v>25.822924965121217</v>
      </c>
      <c r="P42" s="50">
        <f t="shared" si="2"/>
        <v>48.51352897571185</v>
      </c>
      <c r="Q42" s="50">
        <f t="shared" si="3"/>
        <v>47.023350767467655</v>
      </c>
    </row>
    <row r="43" spans="1:17">
      <c r="A43" s="4"/>
      <c r="B43" s="46" t="s">
        <v>4</v>
      </c>
      <c r="C43" s="79"/>
      <c r="D43" s="46">
        <f>I43/$H$43</f>
        <v>3.1584890265719749E-2</v>
      </c>
      <c r="E43" s="46">
        <f>H43/$H$43</f>
        <v>1</v>
      </c>
      <c r="F43" s="46">
        <f>G43/$H$43</f>
        <v>-0.10587066183819925</v>
      </c>
      <c r="G43" s="46">
        <f t="array" ref="G43:I43">LINEST($E31:$E33,$G31:$I33,FALSE)</f>
        <v>-1.7049272920257441</v>
      </c>
      <c r="H43" s="46">
        <v>16.103869215735727</v>
      </c>
      <c r="I43" s="46">
        <v>0.50863894203251536</v>
      </c>
      <c r="J43" s="97"/>
      <c r="K43" s="53" t="str">
        <f t="shared" si="30"/>
        <v>3.158489E-02,1,-0.1058707,</v>
      </c>
      <c r="M43" s="46">
        <f t="shared" si="0"/>
        <v>24.805124550268495</v>
      </c>
      <c r="N43" s="46">
        <f t="shared" si="5"/>
        <v>40</v>
      </c>
      <c r="O43" s="50">
        <f t="shared" si="1"/>
        <v>23.626385210047786</v>
      </c>
      <c r="P43" s="50">
        <f t="shared" si="2"/>
        <v>48.431509760316281</v>
      </c>
      <c r="Q43" s="50">
        <f t="shared" si="3"/>
        <v>46.69692159516233</v>
      </c>
    </row>
    <row r="44" spans="1:17">
      <c r="A44" s="4"/>
      <c r="B44" s="46" t="s">
        <v>5</v>
      </c>
      <c r="C44" s="79"/>
      <c r="D44" s="46">
        <f>I44/$H$43</f>
        <v>-0.51196883187277153</v>
      </c>
      <c r="E44" s="46">
        <f>H44/$H$43</f>
        <v>0.27397876300403473</v>
      </c>
      <c r="F44" s="46">
        <f>G44/$H$43</f>
        <v>1.2336668742352306</v>
      </c>
      <c r="G44" s="46">
        <f t="array" ref="G44:I44">LINEST($F$31:$F$33,$G31:$I33,FALSE)</f>
        <v>19.866809998469648</v>
      </c>
      <c r="H44" s="46">
        <v>4.4121181673060299</v>
      </c>
      <c r="I44" s="46">
        <v>-8.2446791110121058</v>
      </c>
      <c r="J44" s="97"/>
      <c r="K44" s="53" t="str">
        <f t="shared" si="30"/>
        <v>-0.5119689,0.2739788,1.233667,</v>
      </c>
      <c r="M44" s="46">
        <f t="shared" si="0"/>
        <v>26.919645089946336</v>
      </c>
      <c r="N44" s="46">
        <f t="shared" si="5"/>
        <v>41</v>
      </c>
      <c r="O44" s="50">
        <f t="shared" si="1"/>
        <v>21.42984545497437</v>
      </c>
      <c r="P44" s="50">
        <f t="shared" si="2"/>
        <v>48.349490544920705</v>
      </c>
      <c r="Q44" s="50">
        <f t="shared" si="3"/>
        <v>46.370492422856998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0.19146271161278575</v>
      </c>
      <c r="E45" s="46">
        <f>H45/$H$46</f>
        <v>1.053489439322034</v>
      </c>
      <c r="F45" s="46">
        <f>G45/$H$46</f>
        <v>-0.54788960932966624</v>
      </c>
      <c r="G45" s="46">
        <f t="array" ref="G45:I45">LINEST($D34:$D36,$G34:$I36,FALSE)</f>
        <v>-9.4957576412187148</v>
      </c>
      <c r="H45" s="46">
        <v>18.258569286657504</v>
      </c>
      <c r="I45" s="46">
        <v>3.3183390884706867</v>
      </c>
      <c r="J45" s="97">
        <f>H46</f>
        <v>17.331516202390869</v>
      </c>
      <c r="K45" s="53" t="str">
        <f t="shared" si="30"/>
        <v>0.1914627,1.053489,-0.5478896,</v>
      </c>
      <c r="M45" s="46">
        <f t="shared" si="0"/>
        <v>29.034165629624198</v>
      </c>
      <c r="N45" s="46">
        <f t="shared" si="5"/>
        <v>42</v>
      </c>
      <c r="O45" s="50">
        <f t="shared" si="1"/>
        <v>19.233305699900939</v>
      </c>
      <c r="P45" s="50">
        <f t="shared" si="2"/>
        <v>48.267471329525137</v>
      </c>
      <c r="Q45" s="50">
        <f t="shared" si="3"/>
        <v>46.044063250551673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3.5844257802335668E-2</v>
      </c>
      <c r="E46" s="46">
        <f>H46/$H$46</f>
        <v>1</v>
      </c>
      <c r="F46" s="46">
        <f>G46/$H$46</f>
        <v>-0.20866859447898806</v>
      </c>
      <c r="G46" s="46">
        <f t="array" ref="G46:I46">LINEST($E34:$E36,$G34:$I36,FALSE)</f>
        <v>-3.6165431261427115</v>
      </c>
      <c r="H46" s="46">
        <v>17.331516202390869</v>
      </c>
      <c r="I46" s="46">
        <v>0.62123533486385596</v>
      </c>
      <c r="J46" s="97"/>
      <c r="K46" s="53" t="str">
        <f t="shared" si="30"/>
        <v>3.584426E-02,1,-0.2086686,</v>
      </c>
      <c r="M46" s="46">
        <f t="shared" si="0"/>
        <v>31.148686169302053</v>
      </c>
      <c r="N46" s="46">
        <f t="shared" si="5"/>
        <v>43</v>
      </c>
      <c r="O46" s="50">
        <f t="shared" si="1"/>
        <v>17.036765944827508</v>
      </c>
      <c r="P46" s="50">
        <f t="shared" si="2"/>
        <v>48.185452114129561</v>
      </c>
      <c r="Q46" s="50">
        <f t="shared" si="3"/>
        <v>45.717634078246341</v>
      </c>
    </row>
    <row r="47" spans="1:17">
      <c r="A47" s="4"/>
      <c r="B47" s="46" t="str">
        <f t="shared" si="31"/>
        <v>Z</v>
      </c>
      <c r="C47" s="79"/>
      <c r="D47" s="46">
        <f>I47/$H$46</f>
        <v>-0.48447620577783213</v>
      </c>
      <c r="E47" s="46">
        <f>H47/$H$46</f>
        <v>0.27579145859292331</v>
      </c>
      <c r="F47" s="46">
        <f>G47/$H$46</f>
        <v>1.1103049098022364</v>
      </c>
      <c r="G47" s="46">
        <f t="array" ref="G47:I47">LINEST($F$31:$F$33,$G34:$I36,FALSE)</f>
        <v>19.243267533831592</v>
      </c>
      <c r="H47" s="46">
        <v>4.779884133084261</v>
      </c>
      <c r="I47" s="46">
        <v>-8.3967072101113498</v>
      </c>
      <c r="J47" s="97"/>
      <c r="K47" s="53" t="str">
        <f t="shared" si="30"/>
        <v>-0.4844762,0.2757915,1.110305,</v>
      </c>
      <c r="M47" s="46">
        <f t="shared" si="0"/>
        <v>33.263206708979915</v>
      </c>
      <c r="N47" s="46">
        <f t="shared" si="5"/>
        <v>44</v>
      </c>
      <c r="O47" s="50">
        <f t="shared" si="1"/>
        <v>14.840226189754077</v>
      </c>
      <c r="P47" s="50">
        <f t="shared" si="2"/>
        <v>48.103432898733992</v>
      </c>
      <c r="Q47" s="50">
        <f t="shared" si="3"/>
        <v>45.391204905941009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0.21877868788248497</v>
      </c>
      <c r="E48" s="46">
        <f>H48/$H$49</f>
        <v>1.0884710025279889</v>
      </c>
      <c r="F48" s="46">
        <f>G48/$H$49</f>
        <v>-0.83765106636598929</v>
      </c>
      <c r="G48" s="46">
        <f t="array" ref="G48:I48">LINEST($D37:$D39,$G37:$I39,FALSE)</f>
        <v>-17.068287259053967</v>
      </c>
      <c r="H48" s="46">
        <v>22.179086842087134</v>
      </c>
      <c r="I48" s="46">
        <v>4.4579152834333211</v>
      </c>
      <c r="J48" s="97">
        <f>H49</f>
        <v>20.376369044812311</v>
      </c>
      <c r="K48" s="53" t="str">
        <f t="shared" si="30"/>
        <v>0.2187787,1.088471,-0.8376511,</v>
      </c>
      <c r="M48" s="46">
        <f t="shared" si="0"/>
        <v>35.37772724865777</v>
      </c>
      <c r="N48" s="46">
        <f t="shared" si="5"/>
        <v>45</v>
      </c>
      <c r="O48" s="50">
        <f t="shared" si="1"/>
        <v>12.643686434680646</v>
      </c>
      <c r="P48" s="50">
        <f t="shared" si="2"/>
        <v>48.021413683338416</v>
      </c>
      <c r="Q48" s="50">
        <f t="shared" si="3"/>
        <v>45.064775733635685</v>
      </c>
    </row>
    <row r="49" spans="1:24">
      <c r="A49" s="4"/>
      <c r="B49" s="46" t="str">
        <f t="shared" si="31"/>
        <v>Y</v>
      </c>
      <c r="C49" s="79"/>
      <c r="D49" s="46">
        <f>I49/$H$49</f>
        <v>7.2982299712780835E-2</v>
      </c>
      <c r="E49" s="46">
        <f>H49/$H$49</f>
        <v>1</v>
      </c>
      <c r="F49" s="46">
        <f>G49/$H$49</f>
        <v>-0.4728361151695783</v>
      </c>
      <c r="G49" s="46">
        <f t="array" ref="G49:I49">LINEST($E37:$E39,$G37:$I39,FALSE)</f>
        <v>-9.634683180410704</v>
      </c>
      <c r="H49" s="46">
        <v>20.376369044812311</v>
      </c>
      <c r="I49" s="46">
        <v>1.4871142726867217</v>
      </c>
      <c r="J49" s="97"/>
      <c r="K49" s="53" t="str">
        <f t="shared" si="30"/>
        <v>0.0729823,1,-0.4728361,</v>
      </c>
      <c r="M49" s="46">
        <f t="shared" si="0"/>
        <v>37.492247788335632</v>
      </c>
      <c r="N49" s="46">
        <f t="shared" si="5"/>
        <v>46</v>
      </c>
      <c r="O49" s="50">
        <f t="shared" si="1"/>
        <v>10.447146679607215</v>
      </c>
      <c r="P49" s="50">
        <f t="shared" si="2"/>
        <v>47.939394467942847</v>
      </c>
      <c r="Q49" s="50">
        <f t="shared" si="3"/>
        <v>44.73834656133036</v>
      </c>
    </row>
    <row r="50" spans="1:24">
      <c r="A50" s="4"/>
      <c r="B50" s="46" t="str">
        <f t="shared" si="31"/>
        <v>Z</v>
      </c>
      <c r="C50" s="79"/>
      <c r="D50" s="46">
        <f>I50/$H$49</f>
        <v>-0.43917038908018763</v>
      </c>
      <c r="E50" s="46">
        <f>H50/$H$49</f>
        <v>0.1492930944756464</v>
      </c>
      <c r="F50" s="46">
        <f>G50/$H$49</f>
        <v>1.0812138046618986</v>
      </c>
      <c r="G50" s="46">
        <f t="array" ref="G50:I50">LINEST($F$31:$F$33,$G37:$I39,FALSE)</f>
        <v>22.031211500136457</v>
      </c>
      <c r="H50" s="46">
        <v>3.0420511888778008</v>
      </c>
      <c r="I50" s="46">
        <v>-8.9486979214517142</v>
      </c>
      <c r="J50" s="97"/>
      <c r="K50" s="54" t="str">
        <f t="shared" si="30"/>
        <v>-0.4391704,0.1492931,1.081214,</v>
      </c>
      <c r="M50" s="46">
        <f t="shared" si="0"/>
        <v>39.606768328013487</v>
      </c>
      <c r="N50" s="46">
        <f t="shared" si="5"/>
        <v>47</v>
      </c>
      <c r="O50" s="50">
        <f t="shared" si="1"/>
        <v>8.2506069245337841</v>
      </c>
      <c r="P50" s="50">
        <f t="shared" si="2"/>
        <v>47.857375252547271</v>
      </c>
      <c r="Q50" s="50">
        <f t="shared" si="3"/>
        <v>44.411917389025028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0.20178451644565876</v>
      </c>
      <c r="E51" s="46">
        <f t="shared" ref="E51:F51" si="32">(E42+E45+E48)/3</f>
        <v>1.0653018006886574</v>
      </c>
      <c r="F51" s="46">
        <f t="shared" si="32"/>
        <v>-0.61708940504697429</v>
      </c>
      <c r="J51" s="97">
        <f>(J42+J45+J48)/3</f>
        <v>17.937251487646304</v>
      </c>
      <c r="M51" s="46">
        <f t="shared" si="0"/>
        <v>41.721288867691349</v>
      </c>
      <c r="N51" s="46">
        <f t="shared" si="5"/>
        <v>48</v>
      </c>
      <c r="O51" s="50">
        <f t="shared" si="1"/>
        <v>6.0540671694603532</v>
      </c>
      <c r="P51" s="50">
        <f t="shared" si="2"/>
        <v>47.775356037151703</v>
      </c>
      <c r="Q51" s="50">
        <f t="shared" si="3"/>
        <v>44.085488216719696</v>
      </c>
    </row>
    <row r="52" spans="1:24">
      <c r="B52" s="46" t="str">
        <f t="shared" si="31"/>
        <v>Y</v>
      </c>
      <c r="C52" s="79"/>
      <c r="D52" s="46">
        <f t="shared" ref="D52:F53" si="33">(D43+D46+D49)/3</f>
        <v>4.6803815926945415E-2</v>
      </c>
      <c r="E52" s="46">
        <f t="shared" si="33"/>
        <v>1</v>
      </c>
      <c r="F52" s="46">
        <f t="shared" si="33"/>
        <v>-0.26245845716225519</v>
      </c>
      <c r="J52" s="97"/>
      <c r="M52" s="46">
        <f t="shared" si="0"/>
        <v>43.835809407369204</v>
      </c>
      <c r="N52" s="46">
        <f t="shared" si="5"/>
        <v>49</v>
      </c>
      <c r="O52" s="50">
        <f t="shared" si="1"/>
        <v>3.8575274143869223</v>
      </c>
      <c r="P52" s="50">
        <f t="shared" si="2"/>
        <v>47.693336821756127</v>
      </c>
      <c r="Q52" s="50">
        <f t="shared" si="3"/>
        <v>43.759059044414371</v>
      </c>
    </row>
    <row r="53" spans="1:24" ht="15.75" thickBot="1">
      <c r="B53" s="46" t="str">
        <f t="shared" si="31"/>
        <v>Z</v>
      </c>
      <c r="C53" s="79"/>
      <c r="D53" s="46">
        <f t="shared" si="33"/>
        <v>-0.47853847557693041</v>
      </c>
      <c r="E53" s="46">
        <f t="shared" si="33"/>
        <v>0.23302110535753481</v>
      </c>
      <c r="F53" s="46">
        <f t="shared" si="33"/>
        <v>1.1417285295664552</v>
      </c>
      <c r="J53" s="100"/>
      <c r="M53" s="46">
        <f t="shared" si="0"/>
        <v>45.950329947047067</v>
      </c>
      <c r="N53" s="46">
        <f t="shared" si="5"/>
        <v>50</v>
      </c>
      <c r="O53" s="50">
        <f t="shared" si="1"/>
        <v>1.6609876593134913</v>
      </c>
      <c r="P53" s="50">
        <f t="shared" si="2"/>
        <v>47.611317606360558</v>
      </c>
      <c r="Q53" s="50">
        <f t="shared" si="3"/>
        <v>43.432629872109047</v>
      </c>
    </row>
    <row r="54" spans="1:24">
      <c r="B54" s="79" t="s">
        <v>14</v>
      </c>
      <c r="C54" s="79"/>
      <c r="D54" s="19">
        <f>I54/$H$55</f>
        <v>0.19562788317044943</v>
      </c>
      <c r="E54" s="20">
        <f>H54/$H$55</f>
        <v>1.0591397834300003</v>
      </c>
      <c r="F54" s="21">
        <f>G54/$H$55</f>
        <v>-0.56774057349042173</v>
      </c>
      <c r="G54" s="46">
        <f t="array" ref="G54:I54">LINEST(D$31:D$39,$G$31:$I$39,FALSE)</f>
        <v>-9.8506625368446858</v>
      </c>
      <c r="H54" s="46">
        <v>18.376753526303531</v>
      </c>
      <c r="I54" s="46">
        <v>3.3942690550755334</v>
      </c>
      <c r="J54" s="98">
        <f>H55</f>
        <v>17.350640410079613</v>
      </c>
      <c r="M54" s="46">
        <f t="shared" si="0"/>
        <v>48.064850486724922</v>
      </c>
      <c r="N54" s="46">
        <f t="shared" si="5"/>
        <v>51</v>
      </c>
      <c r="O54" s="50">
        <f t="shared" si="1"/>
        <v>-0.53555209575993956</v>
      </c>
      <c r="P54" s="50">
        <f t="shared" si="2"/>
        <v>47.529298390964982</v>
      </c>
      <c r="Q54" s="50">
        <f t="shared" si="3"/>
        <v>43.106200699803708</v>
      </c>
    </row>
    <row r="55" spans="1:24" ht="15" customHeight="1">
      <c r="B55" s="79"/>
      <c r="C55" s="79"/>
      <c r="D55" s="22">
        <f>I55/$H$55</f>
        <v>4.010785553709028E-2</v>
      </c>
      <c r="E55" s="18">
        <f>H55/$H$55</f>
        <v>1</v>
      </c>
      <c r="F55" s="23">
        <f>G55/$H$55</f>
        <v>-0.22176858463106677</v>
      </c>
      <c r="G55" s="46">
        <f t="array" ref="G55:I55">LINEST(E$31:E$39,$G$31:$I$39,FALSE)</f>
        <v>-3.8478269661859477</v>
      </c>
      <c r="H55" s="46">
        <v>17.350640410079613</v>
      </c>
      <c r="I55" s="46">
        <v>0.69589697904347403</v>
      </c>
      <c r="J55" s="98"/>
      <c r="M55" s="46">
        <f t="shared" si="0"/>
        <v>50.179371026402784</v>
      </c>
      <c r="N55" s="46">
        <f t="shared" si="5"/>
        <v>52</v>
      </c>
      <c r="O55" s="50">
        <f t="shared" si="1"/>
        <v>-2.7320918508333705</v>
      </c>
      <c r="P55" s="50">
        <f t="shared" si="2"/>
        <v>47.447279175569413</v>
      </c>
      <c r="Q55" s="50">
        <f t="shared" si="3"/>
        <v>42.779771527498383</v>
      </c>
    </row>
    <row r="56" spans="1:24" ht="15" customHeight="1" thickBot="1">
      <c r="B56" s="79"/>
      <c r="C56" s="79"/>
      <c r="D56" s="24">
        <f>I56/$H$55</f>
        <v>-0.48239243975385321</v>
      </c>
      <c r="E56" s="25">
        <f>H56/$H$55</f>
        <v>0.25487904852678817</v>
      </c>
      <c r="F56" s="26">
        <f>G56/$H$55</f>
        <v>1.130144236543031</v>
      </c>
      <c r="G56" s="46">
        <f t="array" ref="G56:I56">LINEST(F$31:F$39,$G$31:$I$39,FALSE)</f>
        <v>19.608726259782085</v>
      </c>
      <c r="H56" s="46">
        <v>4.4223147190515331</v>
      </c>
      <c r="I56" s="46">
        <v>-8.3698177587101004</v>
      </c>
      <c r="J56" s="98"/>
      <c r="M56" s="46">
        <f t="shared" si="0"/>
        <v>52.293891566080639</v>
      </c>
      <c r="N56" s="46">
        <f t="shared" si="5"/>
        <v>53</v>
      </c>
      <c r="O56" s="50">
        <f t="shared" si="1"/>
        <v>-4.9286316059068014</v>
      </c>
      <c r="P56" s="50">
        <f t="shared" si="2"/>
        <v>47.365259960173837</v>
      </c>
      <c r="Q56" s="50">
        <f t="shared" si="3"/>
        <v>42.453342355193058</v>
      </c>
    </row>
    <row r="57" spans="1:24">
      <c r="M57" s="46">
        <f t="shared" si="0"/>
        <v>54.408412105758501</v>
      </c>
      <c r="N57" s="46">
        <f t="shared" si="5"/>
        <v>54</v>
      </c>
      <c r="O57" s="50">
        <f t="shared" si="1"/>
        <v>-7.1251713609802323</v>
      </c>
      <c r="P57" s="50">
        <f t="shared" si="2"/>
        <v>47.283240744778269</v>
      </c>
      <c r="Q57" s="50">
        <f t="shared" si="3"/>
        <v>42.126913182887726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56.522932645436356</v>
      </c>
      <c r="N58" s="46">
        <f t="shared" si="5"/>
        <v>55</v>
      </c>
      <c r="O58" s="50">
        <f t="shared" si="1"/>
        <v>-9.3217111160536632</v>
      </c>
      <c r="P58" s="50">
        <f t="shared" si="2"/>
        <v>47.201221529382693</v>
      </c>
      <c r="Q58" s="50">
        <f t="shared" si="3"/>
        <v>41.800484010582394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58.637453185114204</v>
      </c>
      <c r="N59" s="46">
        <f t="shared" si="5"/>
        <v>56</v>
      </c>
      <c r="O59" s="50">
        <f t="shared" si="1"/>
        <v>-11.51825087112708</v>
      </c>
      <c r="P59" s="50">
        <f t="shared" si="2"/>
        <v>47.119202313987124</v>
      </c>
      <c r="Q59" s="50">
        <f t="shared" si="3"/>
        <v>41.47405483827707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515.29999999999995</v>
      </c>
      <c r="E60" s="32">
        <f t="shared" ref="E60:E68" si="37">getCCTfromXY(D22/SUM(D22:F22),E22/SUM(D22:F22))</f>
        <v>2863</v>
      </c>
      <c r="F60" s="31">
        <f t="shared" ref="F60:F68" si="38">V60</f>
        <v>506.88119632960786</v>
      </c>
      <c r="G60" s="32">
        <f t="shared" ref="G60:G68" si="39">getCCTfromXY(U60/X60,V60/X60)</f>
        <v>2785</v>
      </c>
      <c r="H60" s="33">
        <f>F60/D60-1</f>
        <v>-1.6337674501051946E-2</v>
      </c>
      <c r="I60" s="34">
        <f t="shared" ref="I60:I68" si="40">G60/E60-1</f>
        <v>-2.7244149493538261E-2</v>
      </c>
      <c r="M60" s="46">
        <f t="shared" si="0"/>
        <v>60.751973724792059</v>
      </c>
      <c r="N60" s="46">
        <f t="shared" si="5"/>
        <v>57</v>
      </c>
      <c r="O60" s="50">
        <f t="shared" si="1"/>
        <v>-13.714790626200511</v>
      </c>
      <c r="P60" s="50">
        <f t="shared" si="2"/>
        <v>47.037183098591548</v>
      </c>
      <c r="Q60" s="50">
        <f t="shared" si="3"/>
        <v>41.147625665971745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552.14547599341768</v>
      </c>
      <c r="V60" s="50">
        <f>$J$54*$J$31*($D$55*G22+$E$55*H22+$F$55*I22)</f>
        <v>506.88119632960786</v>
      </c>
      <c r="W60" s="50">
        <f>$J$54*$J$31*($D$56*G22+$E$56*H22+$F$56*I22)</f>
        <v>138.59066306545725</v>
      </c>
      <c r="X60" s="29">
        <f>SUM(U60:W60)</f>
        <v>1197.6173353884828</v>
      </c>
    </row>
    <row r="61" spans="1:24">
      <c r="A61" s="87"/>
      <c r="B61" s="48" t="str">
        <f t="shared" si="35"/>
        <v>CWF</v>
      </c>
      <c r="C61" s="93"/>
      <c r="D61" s="31">
        <f t="shared" si="36"/>
        <v>1210</v>
      </c>
      <c r="E61" s="32">
        <f t="shared" si="37"/>
        <v>3855</v>
      </c>
      <c r="F61" s="31">
        <f t="shared" si="38"/>
        <v>1232.3106814989171</v>
      </c>
      <c r="G61" s="32">
        <f t="shared" si="39"/>
        <v>3751</v>
      </c>
      <c r="H61" s="33">
        <f t="shared" ref="H61:H68" si="41">F61/D61-1</f>
        <v>1.8438579751171247E-2</v>
      </c>
      <c r="I61" s="34">
        <f t="shared" si="40"/>
        <v>-2.6977950713359289E-2</v>
      </c>
      <c r="M61" s="46">
        <f t="shared" si="0"/>
        <v>62.866494264469921</v>
      </c>
      <c r="N61" s="46">
        <f t="shared" si="5"/>
        <v>58</v>
      </c>
      <c r="O61" s="50">
        <f t="shared" si="1"/>
        <v>-15.911330381273942</v>
      </c>
      <c r="P61" s="50">
        <f t="shared" si="2"/>
        <v>46.955163883195979</v>
      </c>
      <c r="Q61" s="50">
        <f t="shared" si="3"/>
        <v>40.821196493666413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1231.0461959495315</v>
      </c>
      <c r="V61" s="50">
        <f>$J$54*$J$31*($D$55*G23+$E$55*H23+$F$55*I23)</f>
        <v>1232.3106814989171</v>
      </c>
      <c r="W61" s="50">
        <f>$J$54*$J$31*($D$56*G23+$E$56*H23+$F$56*I23)</f>
        <v>632.68537520540895</v>
      </c>
      <c r="X61" s="29">
        <f t="shared" ref="X61:X68" si="43">SUM(U61:W61)</f>
        <v>3096.0422526538573</v>
      </c>
    </row>
    <row r="62" spans="1:24">
      <c r="A62" s="87"/>
      <c r="B62" s="48" t="str">
        <f t="shared" si="35"/>
        <v>D65</v>
      </c>
      <c r="C62" s="93"/>
      <c r="D62" s="31">
        <f t="shared" si="36"/>
        <v>577.65000000000009</v>
      </c>
      <c r="E62" s="32">
        <f t="shared" si="37"/>
        <v>6305</v>
      </c>
      <c r="F62" s="31">
        <f t="shared" si="38"/>
        <v>568.90017946882188</v>
      </c>
      <c r="G62" s="32">
        <f t="shared" si="39"/>
        <v>6272</v>
      </c>
      <c r="H62" s="33">
        <f t="shared" si="41"/>
        <v>-1.5147270027141335E-2</v>
      </c>
      <c r="I62" s="34">
        <f t="shared" si="40"/>
        <v>-5.2339413164155246E-3</v>
      </c>
      <c r="M62" s="46">
        <f t="shared" si="0"/>
        <v>64.98101480414779</v>
      </c>
      <c r="N62" s="46">
        <f t="shared" si="5"/>
        <v>59</v>
      </c>
      <c r="O62" s="50">
        <f t="shared" si="1"/>
        <v>-18.107870136347387</v>
      </c>
      <c r="P62" s="50">
        <f t="shared" si="2"/>
        <v>46.873144667800403</v>
      </c>
      <c r="Q62" s="50">
        <f t="shared" si="3"/>
        <v>40.494767321361081</v>
      </c>
      <c r="R62" s="78"/>
      <c r="S62" s="46" t="str">
        <f t="shared" si="42"/>
        <v>D65</v>
      </c>
      <c r="T62" s="79"/>
      <c r="U62" s="50">
        <f>$J$54*$J$31*($D$54*G24+$E$54*H24+$F$54*I24)</f>
        <v>503.89451206063359</v>
      </c>
      <c r="V62" s="50">
        <f>$J$54*$J$31*($D$55*G24+$E$55*H24+$F$55*I24)</f>
        <v>568.90017946882188</v>
      </c>
      <c r="W62" s="50">
        <f>$J$54*$J$31*($D$56*G24+$E$56*H24+$F$56*I24)</f>
        <v>519.48049970940622</v>
      </c>
      <c r="X62" s="29">
        <f t="shared" si="43"/>
        <v>1592.2751912388617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515.29999999999995</v>
      </c>
      <c r="E63" s="32">
        <f t="shared" si="37"/>
        <v>2863</v>
      </c>
      <c r="F63" s="31">
        <f t="shared" si="38"/>
        <v>514.21332403374993</v>
      </c>
      <c r="G63" s="32">
        <f t="shared" si="39"/>
        <v>2867</v>
      </c>
      <c r="H63" s="33">
        <f t="shared" si="41"/>
        <v>-2.1088219799146879E-3</v>
      </c>
      <c r="I63" s="34">
        <f t="shared" si="40"/>
        <v>1.3971358714635063E-3</v>
      </c>
      <c r="M63" s="46">
        <f t="shared" si="0"/>
        <v>67.095535343825631</v>
      </c>
      <c r="N63" s="46">
        <f t="shared" si="5"/>
        <v>60</v>
      </c>
      <c r="O63" s="50">
        <f t="shared" si="1"/>
        <v>-20.304409891420804</v>
      </c>
      <c r="P63" s="50">
        <f t="shared" si="2"/>
        <v>46.791125452404827</v>
      </c>
      <c r="Q63" s="50">
        <f t="shared" si="3"/>
        <v>40.168338149055757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555.6169842328909</v>
      </c>
      <c r="V63" s="50">
        <f>$J$54*$J$34*($D$55*G25+$E$55*H25+$F$55*I25)</f>
        <v>514.21332403374993</v>
      </c>
      <c r="W63" s="50">
        <f>$J$54*$J$34*($D$56*G25+$E$56*H25+$F$56*I25)</f>
        <v>155.05448498675673</v>
      </c>
      <c r="X63" s="29">
        <f t="shared" si="43"/>
        <v>1224.8847932533974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</v>
      </c>
      <c r="E64" s="32">
        <f t="shared" si="37"/>
        <v>3855</v>
      </c>
      <c r="F64" s="31">
        <f t="shared" si="38"/>
        <v>1206.4923743144193</v>
      </c>
      <c r="G64" s="32">
        <f t="shared" si="39"/>
        <v>3820</v>
      </c>
      <c r="H64" s="33">
        <f t="shared" si="41"/>
        <v>-2.8988642029592615E-3</v>
      </c>
      <c r="I64" s="34">
        <f t="shared" si="40"/>
        <v>-9.0791180285343387E-3</v>
      </c>
      <c r="M64" s="46">
        <f t="shared" si="0"/>
        <v>69.210055883503514</v>
      </c>
      <c r="N64" s="46">
        <f t="shared" si="5"/>
        <v>61</v>
      </c>
      <c r="O64" s="50">
        <f t="shared" si="1"/>
        <v>-22.500949646494249</v>
      </c>
      <c r="P64" s="50">
        <f t="shared" si="2"/>
        <v>46.709106237009259</v>
      </c>
      <c r="Q64" s="50">
        <f t="shared" si="3"/>
        <v>39.841908976750425</v>
      </c>
      <c r="R64" s="78"/>
      <c r="S64" s="46" t="str">
        <f t="shared" si="42"/>
        <v>CWF</v>
      </c>
      <c r="T64" s="79"/>
      <c r="U64" s="50">
        <f>$J$54*$J$34*($D$54*G26+$E$54*H26+$F$54*I26)</f>
        <v>1200.1281518722435</v>
      </c>
      <c r="V64" s="50">
        <f>$J$54*$J$34*($D$55*G26+$E$55*H26+$F$55*I26)</f>
        <v>1206.4923743144193</v>
      </c>
      <c r="W64" s="50">
        <f>$J$54*$J$34*($D$56*G26+$E$56*H26+$F$56*I26)</f>
        <v>638.56704874740069</v>
      </c>
      <c r="X64" s="29">
        <f t="shared" si="43"/>
        <v>3045.1875749340634</v>
      </c>
    </row>
    <row r="65" spans="1:24">
      <c r="A65" s="87"/>
      <c r="B65" s="48" t="str">
        <f t="shared" si="35"/>
        <v>D65</v>
      </c>
      <c r="C65" s="93"/>
      <c r="D65" s="31">
        <f t="shared" si="36"/>
        <v>577.65000000000009</v>
      </c>
      <c r="E65" s="32">
        <f t="shared" si="37"/>
        <v>6305</v>
      </c>
      <c r="F65" s="31">
        <f t="shared" si="38"/>
        <v>573.57742836985528</v>
      </c>
      <c r="G65" s="32">
        <f t="shared" si="39"/>
        <v>6320</v>
      </c>
      <c r="H65" s="33">
        <f t="shared" si="41"/>
        <v>-7.0502408554398155E-3</v>
      </c>
      <c r="I65" s="34">
        <f t="shared" si="40"/>
        <v>2.3790642347343294E-3</v>
      </c>
      <c r="M65" s="46">
        <f t="shared" si="0"/>
        <v>71.324576423181355</v>
      </c>
      <c r="N65" s="46">
        <f t="shared" si="5"/>
        <v>62</v>
      </c>
      <c r="O65" s="50">
        <f t="shared" si="1"/>
        <v>-24.697489401567665</v>
      </c>
      <c r="P65" s="50">
        <f t="shared" si="2"/>
        <v>46.627087021613683</v>
      </c>
      <c r="Q65" s="50">
        <f t="shared" si="3"/>
        <v>39.515479804445093</v>
      </c>
      <c r="R65" s="78"/>
      <c r="S65" s="46" t="str">
        <f t="shared" si="42"/>
        <v>D65</v>
      </c>
      <c r="T65" s="79"/>
      <c r="U65" s="50">
        <f>$J$54*$J$34*($D$54*G27+$E$54*H27+$F$54*I27)</f>
        <v>507.15588230649848</v>
      </c>
      <c r="V65" s="50">
        <f>$J$54*$J$34*($D$55*G27+$E$55*H27+$F$55*I27)</f>
        <v>573.57742836985528</v>
      </c>
      <c r="W65" s="50">
        <f>$J$54*$J$34*($D$56*G27+$E$56*H27+$F$56*I27)</f>
        <v>526.95004785617948</v>
      </c>
      <c r="X65" s="29">
        <f t="shared" si="43"/>
        <v>1607.6833585325332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515.29999999999995</v>
      </c>
      <c r="E66" s="32">
        <f t="shared" si="37"/>
        <v>2863</v>
      </c>
      <c r="F66" s="31">
        <f t="shared" si="38"/>
        <v>528.36812661905037</v>
      </c>
      <c r="G66" s="32">
        <f t="shared" si="39"/>
        <v>2930</v>
      </c>
      <c r="H66" s="33">
        <f t="shared" si="41"/>
        <v>2.5360230194159561E-2</v>
      </c>
      <c r="I66" s="34">
        <f t="shared" si="40"/>
        <v>2.3402025847013563E-2</v>
      </c>
      <c r="M66" s="46">
        <f t="shared" si="0"/>
        <v>73.439096962859225</v>
      </c>
      <c r="N66" s="46">
        <f t="shared" si="5"/>
        <v>63</v>
      </c>
      <c r="O66" s="50">
        <f t="shared" si="1"/>
        <v>-26.89402915664111</v>
      </c>
      <c r="P66" s="50">
        <f t="shared" si="2"/>
        <v>46.545067806218114</v>
      </c>
      <c r="Q66" s="50">
        <f t="shared" si="3"/>
        <v>39.189050632139768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567.16820404013902</v>
      </c>
      <c r="V66" s="50">
        <f>$J$54*$J$37*($D$55*G28+$E$55*H28+$F$55*I28)</f>
        <v>528.36812661905037</v>
      </c>
      <c r="W66" s="50">
        <f>$J$54*$J$37*($D$56*G28+$E$56*H28+$F$56*I28)</f>
        <v>169.28185093008929</v>
      </c>
      <c r="X66" s="29">
        <f t="shared" si="43"/>
        <v>1264.8181815892788</v>
      </c>
    </row>
    <row r="67" spans="1:24">
      <c r="A67" s="87"/>
      <c r="B67" s="48" t="str">
        <f t="shared" si="35"/>
        <v>CWF</v>
      </c>
      <c r="C67" s="93"/>
      <c r="D67" s="31">
        <f t="shared" si="36"/>
        <v>1210</v>
      </c>
      <c r="E67" s="32">
        <f t="shared" si="37"/>
        <v>3855</v>
      </c>
      <c r="F67" s="31">
        <f t="shared" si="38"/>
        <v>1182.5734688361285</v>
      </c>
      <c r="G67" s="32">
        <f t="shared" si="39"/>
        <v>4050</v>
      </c>
      <c r="H67" s="33">
        <f t="shared" si="41"/>
        <v>-2.266655468088552E-2</v>
      </c>
      <c r="I67" s="34">
        <f t="shared" si="40"/>
        <v>5.058365758754868E-2</v>
      </c>
      <c r="R67" s="78"/>
      <c r="S67" s="46" t="str">
        <f t="shared" si="42"/>
        <v>CWF</v>
      </c>
      <c r="T67" s="79"/>
      <c r="U67" s="50">
        <f>$J$54*$J$37*($D$54*G29+$E$54*H29+$F$54*I29)</f>
        <v>1160.2201824078309</v>
      </c>
      <c r="V67" s="50">
        <f>$J$54*$J$37*($D$55*G29+$E$55*H29+$F$55*I29)</f>
        <v>1182.5734688361285</v>
      </c>
      <c r="W67" s="50">
        <f>$J$54*$J$37*($D$56*G29+$E$56*H29+$F$56*I29)</f>
        <v>683.80760629690405</v>
      </c>
      <c r="X67" s="29">
        <f t="shared" si="43"/>
        <v>3026.6012575408631</v>
      </c>
    </row>
    <row r="68" spans="1:24">
      <c r="A68" s="87"/>
      <c r="B68" s="48" t="str">
        <f t="shared" si="35"/>
        <v>D65</v>
      </c>
      <c r="C68" s="93"/>
      <c r="D68" s="31">
        <f t="shared" si="36"/>
        <v>577.65000000000009</v>
      </c>
      <c r="E68" s="32">
        <f t="shared" si="37"/>
        <v>6305</v>
      </c>
      <c r="F68" s="31">
        <f t="shared" si="38"/>
        <v>601.59815394752627</v>
      </c>
      <c r="G68" s="32">
        <f t="shared" si="39"/>
        <v>6011</v>
      </c>
      <c r="H68" s="33">
        <f t="shared" si="41"/>
        <v>4.1457896559380591E-2</v>
      </c>
      <c r="I68" s="34">
        <f t="shared" si="40"/>
        <v>-4.6629659000792967E-2</v>
      </c>
      <c r="R68" s="78"/>
      <c r="S68" s="46" t="str">
        <f t="shared" si="42"/>
        <v>D65</v>
      </c>
      <c r="T68" s="79"/>
      <c r="U68" s="50">
        <f>$J$54*$J$37*($D$54*G30+$E$54*H30+$F$54*I30)</f>
        <v>537.81619431320701</v>
      </c>
      <c r="V68" s="50">
        <f>$J$54*$J$37*($D$55*G30+$E$55*H30+$F$55*I30)</f>
        <v>601.59815394752627</v>
      </c>
      <c r="W68" s="50">
        <f>$J$54*$J$37*($D$56*G30+$E$56*H30+$F$56*I30)</f>
        <v>530.02627255381412</v>
      </c>
      <c r="X68" s="29">
        <f t="shared" si="43"/>
        <v>1669.4406208145474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4.1457896559380591E-2</v>
      </c>
      <c r="G69" s="47"/>
      <c r="H69" s="36" t="str">
        <f>I59</f>
        <v>CCT</v>
      </c>
      <c r="I69" s="38">
        <f>MAX(MAX(I60:I68,-MIN(I60:I68)))</f>
        <v>5.058365758754868E-2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515.29999999999995</v>
      </c>
      <c r="E72" s="31">
        <f t="shared" ref="E72:E80" si="47">E60</f>
        <v>2863</v>
      </c>
      <c r="F72" s="31">
        <f t="shared" ref="F72:F80" si="48">V72</f>
        <v>511.06677378780961</v>
      </c>
      <c r="G72" s="32">
        <f t="shared" ref="G72:G80" si="49">getCCTfromXY(U72/X72,V72/X72)</f>
        <v>2793</v>
      </c>
      <c r="H72" s="33">
        <f>F72/D72-1</f>
        <v>-8.2150712443049834E-3</v>
      </c>
      <c r="I72" s="34">
        <f t="shared" ref="I72:I80" si="50">G72/E72-1</f>
        <v>-2.4449877750611249E-2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556.31056680376764</v>
      </c>
      <c r="V72" s="50">
        <f>$J$51*$J$31*($D$52*G22+$E$52*H22+$F$52*I22)</f>
        <v>511.06677378780961</v>
      </c>
      <c r="W72" s="50">
        <f>$J$51*$J$31*($D$53*G22+$E$53*H22+$F$53*I22)</f>
        <v>141.19378830310546</v>
      </c>
      <c r="X72" s="29">
        <f>SUM(U72:W72)</f>
        <v>1208.5711288946827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</v>
      </c>
      <c r="E73" s="31">
        <f t="shared" si="47"/>
        <v>3855</v>
      </c>
      <c r="F73" s="31">
        <f t="shared" si="48"/>
        <v>1251.9637773838429</v>
      </c>
      <c r="G73" s="32">
        <f t="shared" si="49"/>
        <v>3728</v>
      </c>
      <c r="H73" s="33">
        <f t="shared" ref="H73:H80" si="52">F73/D73-1</f>
        <v>3.4680807755242071E-2</v>
      </c>
      <c r="I73" s="34">
        <f t="shared" si="50"/>
        <v>-3.2944228274967569E-2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1252.4740361877732</v>
      </c>
      <c r="V73" s="50">
        <f t="shared" ref="V73:V74" si="55">$J$51*$J$31*($D$52*G23+$E$52*H23+$F$52*I23)</f>
        <v>1251.9637773838429</v>
      </c>
      <c r="W73" s="50">
        <f t="shared" ref="W73:W74" si="56">$J$51*$J$31*($D$53*G23+$E$53*H23+$F$53*I23)</f>
        <v>636.0114663412661</v>
      </c>
      <c r="X73" s="29">
        <f t="shared" ref="X73:X80" si="57">SUM(U73:W73)</f>
        <v>3140.449279912882</v>
      </c>
    </row>
    <row r="74" spans="1:24">
      <c r="A74" s="87"/>
      <c r="B74" s="48" t="str">
        <f t="shared" si="46"/>
        <v>X</v>
      </c>
      <c r="C74" s="93"/>
      <c r="D74" s="31">
        <f t="shared" si="51"/>
        <v>577.65000000000009</v>
      </c>
      <c r="E74" s="31">
        <f t="shared" si="47"/>
        <v>6305</v>
      </c>
      <c r="F74" s="31">
        <f t="shared" si="48"/>
        <v>570.36071720067309</v>
      </c>
      <c r="G74" s="32">
        <f t="shared" si="49"/>
        <v>6408</v>
      </c>
      <c r="H74" s="33">
        <f t="shared" si="52"/>
        <v>-1.261885709223054E-2</v>
      </c>
      <c r="I74" s="34">
        <f t="shared" si="50"/>
        <v>1.6336241078509062E-2</v>
      </c>
      <c r="R74" s="78"/>
      <c r="S74" s="46" t="str">
        <f t="shared" si="53"/>
        <v>D65</v>
      </c>
      <c r="T74" s="79"/>
      <c r="U74" s="50">
        <f t="shared" si="54"/>
        <v>502.7194300753934</v>
      </c>
      <c r="V74" s="50">
        <f t="shared" si="55"/>
        <v>570.36071720067309</v>
      </c>
      <c r="W74" s="50">
        <f t="shared" si="56"/>
        <v>529.70762578713027</v>
      </c>
      <c r="X74" s="29">
        <f t="shared" si="57"/>
        <v>1602.7877730631967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515.29999999999995</v>
      </c>
      <c r="E75" s="31">
        <f t="shared" si="47"/>
        <v>2863</v>
      </c>
      <c r="F75" s="31">
        <f t="shared" si="48"/>
        <v>518.27050088679164</v>
      </c>
      <c r="G75" s="32">
        <f t="shared" si="49"/>
        <v>2877</v>
      </c>
      <c r="H75" s="33">
        <f t="shared" si="52"/>
        <v>5.7646048647228554E-3</v>
      </c>
      <c r="I75" s="34">
        <f t="shared" si="50"/>
        <v>4.8899755501221609E-3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559.5299071291289</v>
      </c>
      <c r="V75" s="50">
        <f>$J$51*$J$34*($D$52*G25+$E$52*H25+$F$52*I25)</f>
        <v>518.27050088679164</v>
      </c>
      <c r="W75" s="50">
        <f>$J$51*$J$34*($D$53*G25+$E$53*H25+$F$53*I25)</f>
        <v>158.03005701431354</v>
      </c>
      <c r="X75" s="29">
        <f t="shared" si="57"/>
        <v>1235.8304650302341</v>
      </c>
    </row>
    <row r="76" spans="1:24">
      <c r="A76" s="87"/>
      <c r="B76" s="48" t="str">
        <f t="shared" si="46"/>
        <v>Z</v>
      </c>
      <c r="C76" s="93"/>
      <c r="D76" s="31">
        <f t="shared" si="51"/>
        <v>1210</v>
      </c>
      <c r="E76" s="31">
        <f t="shared" si="47"/>
        <v>3855</v>
      </c>
      <c r="F76" s="31">
        <f t="shared" si="48"/>
        <v>1224.8851838965322</v>
      </c>
      <c r="G76" s="32">
        <f t="shared" si="49"/>
        <v>3800</v>
      </c>
      <c r="H76" s="33">
        <f t="shared" si="52"/>
        <v>1.2301804873167121E-2</v>
      </c>
      <c r="I76" s="34">
        <f t="shared" si="50"/>
        <v>-1.4267185473411104E-2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1219.899983207617</v>
      </c>
      <c r="V76" s="50">
        <f t="shared" ref="V76:V77" si="59">$J$51*$J$34*($D$52*G26+$E$52*H26+$F$52*I26)</f>
        <v>1224.8851838965322</v>
      </c>
      <c r="W76" s="50">
        <f t="shared" ref="W76:W77" si="60">$J$51*$J$34*($D$53*G26+$E$53*H26+$F$53*I26)</f>
        <v>642.70840507447394</v>
      </c>
      <c r="X76" s="29">
        <f t="shared" si="57"/>
        <v>3087.4935721786228</v>
      </c>
    </row>
    <row r="77" spans="1:24">
      <c r="A77" s="87"/>
      <c r="B77" s="48" t="str">
        <f t="shared" si="46"/>
        <v>X</v>
      </c>
      <c r="C77" s="93"/>
      <c r="D77" s="31">
        <f t="shared" si="51"/>
        <v>577.65000000000009</v>
      </c>
      <c r="E77" s="31">
        <f t="shared" si="47"/>
        <v>6305</v>
      </c>
      <c r="F77" s="31">
        <f t="shared" si="48"/>
        <v>574.9254870380089</v>
      </c>
      <c r="G77" s="32">
        <f t="shared" si="49"/>
        <v>6461</v>
      </c>
      <c r="H77" s="33">
        <f t="shared" si="52"/>
        <v>-4.7165462857979845E-3</v>
      </c>
      <c r="I77" s="34">
        <f t="shared" si="50"/>
        <v>2.4742268041237025E-2</v>
      </c>
      <c r="R77" s="78"/>
      <c r="S77" s="46" t="str">
        <f t="shared" si="53"/>
        <v>D65</v>
      </c>
      <c r="T77" s="79"/>
      <c r="U77" s="50">
        <f t="shared" si="58"/>
        <v>505.79237837701436</v>
      </c>
      <c r="V77" s="50">
        <f t="shared" si="59"/>
        <v>574.9254870380089</v>
      </c>
      <c r="W77" s="50">
        <f t="shared" si="60"/>
        <v>537.39636819244299</v>
      </c>
      <c r="X77" s="29">
        <f t="shared" si="57"/>
        <v>1618.1142336074663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515.29999999999995</v>
      </c>
      <c r="E78" s="31">
        <f t="shared" si="47"/>
        <v>2863</v>
      </c>
      <c r="F78" s="31">
        <f t="shared" si="48"/>
        <v>532.85262961339345</v>
      </c>
      <c r="G78" s="32">
        <f t="shared" si="49"/>
        <v>2939</v>
      </c>
      <c r="H78" s="33">
        <f t="shared" si="52"/>
        <v>3.4062933462824629E-2</v>
      </c>
      <c r="I78" s="34">
        <f t="shared" si="50"/>
        <v>2.6545581557806397E-2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571.5647824291425</v>
      </c>
      <c r="V78" s="50">
        <f>$J$51*$J$37*($D$52*G28+$E$52*H28+$F$52*I28)</f>
        <v>532.85262961339345</v>
      </c>
      <c r="W78" s="50">
        <f>$J$51*$J$37*($D$53*G28+$E$53*H28+$F$53*I28)</f>
        <v>172.24080581230456</v>
      </c>
      <c r="X78" s="29">
        <f t="shared" si="57"/>
        <v>1276.6582178548406</v>
      </c>
    </row>
    <row r="79" spans="1:24">
      <c r="A79" s="87"/>
      <c r="B79" s="48" t="str">
        <f t="shared" si="46"/>
        <v>Z</v>
      </c>
      <c r="C79" s="93"/>
      <c r="D79" s="31">
        <f t="shared" si="51"/>
        <v>1210</v>
      </c>
      <c r="E79" s="31">
        <f t="shared" si="47"/>
        <v>3855</v>
      </c>
      <c r="F79" s="31">
        <f t="shared" si="48"/>
        <v>1198.4607392005721</v>
      </c>
      <c r="G79" s="32">
        <f t="shared" si="49"/>
        <v>4039</v>
      </c>
      <c r="H79" s="33">
        <f t="shared" si="52"/>
        <v>-9.536579173080928E-3</v>
      </c>
      <c r="I79" s="34">
        <f t="shared" si="50"/>
        <v>4.773022049286646E-2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1176.5133724343857</v>
      </c>
      <c r="V79" s="50">
        <f t="shared" ref="V79:V80" si="62">$J$51*$J$37*($D$52*G29+$E$52*H29+$F$52*I29)</f>
        <v>1198.4607392005721</v>
      </c>
      <c r="W79" s="50">
        <f t="shared" ref="W79:W80" si="63">$J$51*$J$37*($D$53*G29+$E$53*H29+$F$53*I29)</f>
        <v>690.22952534242722</v>
      </c>
      <c r="X79" s="29">
        <f t="shared" si="57"/>
        <v>3065.203636977385</v>
      </c>
    </row>
    <row r="80" spans="1:24">
      <c r="A80" s="87"/>
      <c r="B80" s="48" t="str">
        <f t="shared" si="46"/>
        <v>X</v>
      </c>
      <c r="C80" s="93"/>
      <c r="D80" s="31">
        <f t="shared" si="51"/>
        <v>577.65000000000009</v>
      </c>
      <c r="E80" s="31">
        <f t="shared" si="47"/>
        <v>6305</v>
      </c>
      <c r="F80" s="31">
        <f t="shared" si="48"/>
        <v>604.14890134411996</v>
      </c>
      <c r="G80" s="32">
        <f t="shared" si="49"/>
        <v>6114</v>
      </c>
      <c r="H80" s="33">
        <f t="shared" si="52"/>
        <v>4.5873628224911034E-2</v>
      </c>
      <c r="I80" s="34">
        <f t="shared" si="50"/>
        <v>-3.0293417922283905E-2</v>
      </c>
      <c r="R80" s="78"/>
      <c r="S80" s="46" t="str">
        <f t="shared" si="53"/>
        <v>D65</v>
      </c>
      <c r="T80" s="79"/>
      <c r="U80" s="50">
        <f t="shared" si="61"/>
        <v>537.99055191926016</v>
      </c>
      <c r="V80" s="50">
        <f t="shared" si="62"/>
        <v>604.14890134411996</v>
      </c>
      <c r="W80" s="50">
        <f t="shared" si="63"/>
        <v>539.83744725352051</v>
      </c>
      <c r="X80" s="29">
        <f t="shared" si="57"/>
        <v>1681.9769005169005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4.5873628224911034E-2</v>
      </c>
      <c r="G81" s="47"/>
      <c r="H81" s="36" t="str">
        <f>I71</f>
        <v>CCT</v>
      </c>
      <c r="I81" s="38">
        <f>MAX(MAX(I72:I80,-MIN(I72:I80)))</f>
        <v>4.773022049286646E-2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515.29999999999995</v>
      </c>
      <c r="E84" s="31">
        <f t="shared" ref="E84:E92" si="67">E72</f>
        <v>2863</v>
      </c>
      <c r="F84" s="31">
        <f t="shared" ref="F84:F92" si="68">V84</f>
        <v>515.29999999999984</v>
      </c>
      <c r="G84" s="32">
        <f t="shared" ref="G84:G92" si="69">getCCTfromXY(U84/X84,V84/X84)</f>
        <v>2863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556.9499999999997</v>
      </c>
      <c r="V84" s="50">
        <f>$J$42*$J$31*($D$43*G22+$E$43*H22+$F$43*I22)</f>
        <v>515.29999999999984</v>
      </c>
      <c r="W84" s="50">
        <f>$J$42*$J$31*($D$44*G22+$E$44*H22+$F$44*I22)</f>
        <v>154.39999999999995</v>
      </c>
      <c r="X84" s="29">
        <f>SUM(U84:W84)</f>
        <v>1226.6499999999994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</v>
      </c>
      <c r="E85" s="31">
        <f t="shared" si="67"/>
        <v>3855</v>
      </c>
      <c r="F85" s="31">
        <f t="shared" si="68"/>
        <v>1209.9999999999998</v>
      </c>
      <c r="G85" s="32">
        <f t="shared" si="69"/>
        <v>3855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1200.9999999999998</v>
      </c>
      <c r="V85" s="50">
        <f t="shared" ref="V85:V86" si="75">$J$42*$J$31*($D$43*G23+$E$43*H23+$F$43*I23)</f>
        <v>1209.9999999999998</v>
      </c>
      <c r="W85" s="50">
        <f t="shared" ref="W85:W86" si="76">$J$42*$J$31*($D$44*G23+$E$44*H23+$F$44*I23)</f>
        <v>649.49999999999989</v>
      </c>
      <c r="X85" s="29">
        <f t="shared" ref="X85:X92" si="77">SUM(U85:W85)</f>
        <v>3060.4999999999995</v>
      </c>
    </row>
    <row r="86" spans="1:24">
      <c r="A86" s="87"/>
      <c r="B86" s="48">
        <f t="shared" si="66"/>
        <v>0</v>
      </c>
      <c r="C86" s="93"/>
      <c r="D86" s="31">
        <f t="shared" si="71"/>
        <v>577.65000000000009</v>
      </c>
      <c r="E86" s="31">
        <f t="shared" si="67"/>
        <v>6305</v>
      </c>
      <c r="F86" s="31">
        <f t="shared" si="68"/>
        <v>577.65</v>
      </c>
      <c r="G86" s="32">
        <f t="shared" si="69"/>
        <v>6305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510.94999999999987</v>
      </c>
      <c r="V86" s="50">
        <f t="shared" si="75"/>
        <v>577.65</v>
      </c>
      <c r="W86" s="50">
        <f t="shared" si="76"/>
        <v>529.49999999999989</v>
      </c>
      <c r="X86" s="29">
        <f t="shared" si="77"/>
        <v>1618.1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515.29999999999995</v>
      </c>
      <c r="E87" s="31">
        <f t="shared" si="67"/>
        <v>2863</v>
      </c>
      <c r="F87" s="31">
        <f t="shared" si="68"/>
        <v>515.30000000000052</v>
      </c>
      <c r="G87" s="32">
        <f t="shared" si="69"/>
        <v>2863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556.95000000000016</v>
      </c>
      <c r="V87" s="50">
        <f>$J$45*$J$34*($D$46*G25+$E$46*H25+$F$46*I25)</f>
        <v>515.30000000000052</v>
      </c>
      <c r="W87" s="50">
        <f>$J$45*$J$34*($D$47*G25+$E$47*H25+$F$47*I25)</f>
        <v>154.40000000000006</v>
      </c>
      <c r="X87" s="29">
        <f t="shared" si="77"/>
        <v>1226.6500000000008</v>
      </c>
    </row>
    <row r="88" spans="1:24">
      <c r="A88" s="87"/>
      <c r="B88" s="48">
        <f t="shared" si="66"/>
        <v>0</v>
      </c>
      <c r="C88" s="93"/>
      <c r="D88" s="31">
        <f t="shared" si="71"/>
        <v>1210</v>
      </c>
      <c r="E88" s="31">
        <f t="shared" si="67"/>
        <v>3855</v>
      </c>
      <c r="F88" s="31">
        <f t="shared" si="68"/>
        <v>1209.9999999999998</v>
      </c>
      <c r="G88" s="32">
        <f t="shared" si="69"/>
        <v>3855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</v>
      </c>
      <c r="V88" s="50">
        <f t="shared" ref="V88:V89" si="79">$J$45*$J$34*($D$46*G26+$E$46*H26+$F$46*I26)</f>
        <v>1209.9999999999998</v>
      </c>
      <c r="W88" s="50">
        <f t="shared" ref="W88:W89" si="80">$J$45*$J$34*($D$47*G26+$E$47*H26+$F$47*I26)</f>
        <v>649.50000000000011</v>
      </c>
      <c r="X88" s="29">
        <f t="shared" si="77"/>
        <v>3060.5</v>
      </c>
    </row>
    <row r="89" spans="1:24">
      <c r="A89" s="87"/>
      <c r="B89" s="48" t="str">
        <f t="shared" si="66"/>
        <v>A</v>
      </c>
      <c r="C89" s="93"/>
      <c r="D89" s="31">
        <f t="shared" si="71"/>
        <v>577.65000000000009</v>
      </c>
      <c r="E89" s="31">
        <f t="shared" si="67"/>
        <v>6305</v>
      </c>
      <c r="F89" s="31">
        <f t="shared" si="68"/>
        <v>577.65000000000009</v>
      </c>
      <c r="G89" s="32">
        <f t="shared" si="69"/>
        <v>6305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510.94999999999987</v>
      </c>
      <c r="V89" s="50">
        <f t="shared" si="79"/>
        <v>577.65000000000009</v>
      </c>
      <c r="W89" s="50">
        <f t="shared" si="80"/>
        <v>529.5</v>
      </c>
      <c r="X89" s="29">
        <f t="shared" si="77"/>
        <v>1618.1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515.29999999999995</v>
      </c>
      <c r="E90" s="31">
        <f t="shared" si="67"/>
        <v>2863</v>
      </c>
      <c r="F90" s="31">
        <f t="shared" si="68"/>
        <v>515.29999999999973</v>
      </c>
      <c r="G90" s="32">
        <f t="shared" si="69"/>
        <v>2863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556.9500000000005</v>
      </c>
      <c r="V90" s="50">
        <f>$J$48*$J$37*($D$49*G28+$E$49*H28+$F$49*I28)</f>
        <v>515.29999999999973</v>
      </c>
      <c r="W90" s="50">
        <f>$J$48*$J$37*($D$50*G28+$E$50*H28+$F$50*I28)</f>
        <v>154.39999999999998</v>
      </c>
      <c r="X90" s="29">
        <f t="shared" si="77"/>
        <v>1226.6500000000001</v>
      </c>
    </row>
    <row r="91" spans="1:24">
      <c r="A91" s="87"/>
      <c r="B91" s="48" t="str">
        <f t="shared" si="66"/>
        <v>D65</v>
      </c>
      <c r="C91" s="93"/>
      <c r="D91" s="31">
        <f t="shared" si="71"/>
        <v>1210</v>
      </c>
      <c r="E91" s="31">
        <f t="shared" si="67"/>
        <v>3855</v>
      </c>
      <c r="F91" s="31">
        <f t="shared" si="68"/>
        <v>1210.0000000000002</v>
      </c>
      <c r="G91" s="32">
        <f t="shared" si="69"/>
        <v>3855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1201.0000000000007</v>
      </c>
      <c r="V91" s="50">
        <f t="shared" ref="V91:V92" si="82">$J$48*$J$37*($D$49*G29+$E$49*H29+$F$49*I29)</f>
        <v>1210.0000000000002</v>
      </c>
      <c r="W91" s="50">
        <f t="shared" ref="W91:W92" si="83">$J$48*$J$37*($D$50*G29+$E$50*H29+$F$50*I29)</f>
        <v>649.50000000000011</v>
      </c>
      <c r="X91" s="29">
        <f t="shared" si="77"/>
        <v>3060.5000000000009</v>
      </c>
    </row>
    <row r="92" spans="1:24">
      <c r="A92" s="87"/>
      <c r="B92" s="48" t="str">
        <f t="shared" si="66"/>
        <v>A</v>
      </c>
      <c r="C92" s="93"/>
      <c r="D92" s="31">
        <f t="shared" si="71"/>
        <v>577.65000000000009</v>
      </c>
      <c r="E92" s="31">
        <f t="shared" si="67"/>
        <v>6305</v>
      </c>
      <c r="F92" s="31">
        <f t="shared" si="68"/>
        <v>577.65000000000009</v>
      </c>
      <c r="G92" s="32">
        <f t="shared" si="69"/>
        <v>6305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510.95000000000033</v>
      </c>
      <c r="V92" s="50">
        <f t="shared" si="82"/>
        <v>577.65000000000009</v>
      </c>
      <c r="W92" s="50">
        <f t="shared" si="83"/>
        <v>529.5</v>
      </c>
      <c r="X92" s="29">
        <f t="shared" si="77"/>
        <v>1618.1000000000004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9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2.0695311466466748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83.331008897580148</v>
      </c>
      <c r="N3" s="46">
        <v>0</v>
      </c>
      <c r="O3" s="50">
        <f>G$5-N3*G$7</f>
        <v>134.8964238410596</v>
      </c>
      <c r="P3" s="50">
        <f>H$5-N3*H$7</f>
        <v>51.565414943479453</v>
      </c>
      <c r="Q3" s="50">
        <f>I$5-N3*I$7</f>
        <v>62.15843728343728</v>
      </c>
    </row>
    <row r="4" spans="1:17">
      <c r="C4" s="46" t="s">
        <v>20</v>
      </c>
      <c r="D4" s="7">
        <v>528.5</v>
      </c>
      <c r="E4" s="7">
        <v>1209</v>
      </c>
      <c r="F4" s="7">
        <v>577.20000000000005</v>
      </c>
      <c r="G4" s="50">
        <f>AVERAGE(D4:F4)</f>
        <v>771.56666666666661</v>
      </c>
      <c r="H4" s="50">
        <f>G4</f>
        <v>771.56666666666661</v>
      </c>
      <c r="I4" s="50">
        <f>H4</f>
        <v>771.56666666666661</v>
      </c>
      <c r="K4" s="13" t="str">
        <f>linefmt("Compensation",B12)</f>
        <v>"Compensation",37,</v>
      </c>
      <c r="M4" s="46">
        <f t="shared" si="0"/>
        <v>81.110700430304917</v>
      </c>
      <c r="N4" s="46">
        <f>N3+1</f>
        <v>1</v>
      </c>
      <c r="O4" s="50">
        <f t="shared" ref="O4:O66" si="1">G$5-N4*G$7</f>
        <v>132.570740504426</v>
      </c>
      <c r="P4" s="50">
        <f t="shared" ref="P4:P66" si="2">H$5-N4*H$7</f>
        <v>51.460040074121089</v>
      </c>
      <c r="Q4" s="50">
        <f t="shared" ref="Q4:Q66" si="3">I$5-N4*I$7</f>
        <v>61.82269778723267</v>
      </c>
    </row>
    <row r="5" spans="1:17">
      <c r="C5" s="46">
        <v>0</v>
      </c>
      <c r="D5" s="9">
        <v>92.4</v>
      </c>
      <c r="E5" s="9">
        <v>80.8</v>
      </c>
      <c r="F5" s="9">
        <v>46.5</v>
      </c>
      <c r="G5" s="50">
        <f>G$4/D$4*D5</f>
        <v>134.8964238410596</v>
      </c>
      <c r="H5" s="50">
        <f t="shared" ref="H5:I6" si="4">H$4/E$4*E5</f>
        <v>51.565414943479453</v>
      </c>
      <c r="I5" s="50">
        <f t="shared" si="4"/>
        <v>62.15843728343728</v>
      </c>
      <c r="K5" s="14" t="str">
        <f>linefmt("CardGain",J54)</f>
        <v>"CardGain",15.32142,</v>
      </c>
      <c r="M5" s="46">
        <f t="shared" si="0"/>
        <v>78.8903919630297</v>
      </c>
      <c r="N5" s="46">
        <f t="shared" ref="N5:N66" si="5">N4+1</f>
        <v>2</v>
      </c>
      <c r="O5" s="50">
        <f t="shared" si="1"/>
        <v>130.24505716779242</v>
      </c>
      <c r="P5" s="50">
        <f t="shared" si="2"/>
        <v>51.354665204762725</v>
      </c>
      <c r="Q5" s="50">
        <f t="shared" si="3"/>
        <v>61.486958291028053</v>
      </c>
    </row>
    <row r="6" spans="1:17">
      <c r="B6" s="50">
        <f>D5/4</f>
        <v>23.1</v>
      </c>
      <c r="C6" s="7">
        <v>43</v>
      </c>
      <c r="D6" s="9">
        <v>23.9</v>
      </c>
      <c r="E6" s="9">
        <v>73.7</v>
      </c>
      <c r="F6" s="9">
        <v>35.700000000000003</v>
      </c>
      <c r="G6" s="50">
        <f>G$4/D$4*D6</f>
        <v>34.892040365815191</v>
      </c>
      <c r="H6" s="50">
        <f t="shared" si="4"/>
        <v>47.034295561069754</v>
      </c>
      <c r="I6" s="50">
        <f t="shared" si="4"/>
        <v>47.721638946638947</v>
      </c>
      <c r="K6" s="14" t="str">
        <f>linefmt("Range",1,J34,J37)</f>
        <v>"Range",1,0.8402858,1.145301,</v>
      </c>
      <c r="M6" s="46">
        <f t="shared" si="0"/>
        <v>76.670083495754454</v>
      </c>
      <c r="N6" s="46">
        <f t="shared" si="5"/>
        <v>3</v>
      </c>
      <c r="O6" s="50">
        <f t="shared" si="1"/>
        <v>127.91937383115882</v>
      </c>
      <c r="P6" s="50">
        <f t="shared" si="2"/>
        <v>51.249290335404361</v>
      </c>
      <c r="Q6" s="50">
        <f t="shared" si="3"/>
        <v>61.151218794823443</v>
      </c>
    </row>
    <row r="7" spans="1:17">
      <c r="C7" s="46">
        <f>C5</f>
        <v>0</v>
      </c>
      <c r="D7" s="46">
        <f t="shared" ref="D7:F8" si="6">D$4/D5</f>
        <v>5.7196969696969697</v>
      </c>
      <c r="E7" s="46">
        <f t="shared" si="6"/>
        <v>14.962871287128714</v>
      </c>
      <c r="F7" s="46">
        <f t="shared" si="6"/>
        <v>12.412903225806453</v>
      </c>
      <c r="G7" s="49">
        <f>(G5-G6)/($C6-$C5)</f>
        <v>2.3256833366335909</v>
      </c>
      <c r="H7" s="49">
        <f t="shared" ref="H7:I7" si="7">(H5-H6)/($C6-$C5)</f>
        <v>0.1053748693583651</v>
      </c>
      <c r="I7" s="49">
        <f t="shared" si="7"/>
        <v>0.33573949620461241</v>
      </c>
      <c r="K7" s="14" t="str">
        <f>linefmt("CCM" )</f>
        <v>"CCM",</v>
      </c>
      <c r="M7" s="46">
        <f t="shared" si="0"/>
        <v>74.449775028479237</v>
      </c>
      <c r="N7" s="46">
        <f t="shared" si="5"/>
        <v>4</v>
      </c>
      <c r="O7" s="50">
        <f t="shared" si="1"/>
        <v>125.59369049452523</v>
      </c>
      <c r="P7" s="50">
        <f t="shared" si="2"/>
        <v>51.143915466045996</v>
      </c>
      <c r="Q7" s="50">
        <f t="shared" si="3"/>
        <v>60.815479298618833</v>
      </c>
    </row>
    <row r="8" spans="1:17">
      <c r="C8" s="46">
        <f>C6</f>
        <v>43</v>
      </c>
      <c r="D8" s="46">
        <f t="shared" si="6"/>
        <v>22.112970711297073</v>
      </c>
      <c r="E8" s="46">
        <f t="shared" si="6"/>
        <v>16.404341926729987</v>
      </c>
      <c r="F8" s="46">
        <f t="shared" si="6"/>
        <v>16.168067226890756</v>
      </c>
      <c r="K8" s="15" t="str">
        <f>linefmt("",D54,E54,F54)</f>
        <v>0.1308885,1.01187,-0.1770436,</v>
      </c>
      <c r="M8" s="46">
        <f t="shared" si="0"/>
        <v>72.229466561204021</v>
      </c>
      <c r="N8" s="46">
        <f t="shared" si="5"/>
        <v>5</v>
      </c>
      <c r="O8" s="50">
        <f t="shared" si="1"/>
        <v>123.26800715789165</v>
      </c>
      <c r="P8" s="50">
        <f t="shared" si="2"/>
        <v>51.038540596687625</v>
      </c>
      <c r="Q8" s="50">
        <f t="shared" si="3"/>
        <v>60.479739802414215</v>
      </c>
    </row>
    <row r="9" spans="1:17">
      <c r="C9" s="46" t="s">
        <v>23</v>
      </c>
      <c r="D9" s="46">
        <f>(D8-D7)/($C8-$C7)</f>
        <v>0.38123892422325822</v>
      </c>
      <c r="E9" s="46">
        <f>(E8-E7)/($C8-$C7)</f>
        <v>3.3522573013983113E-2</v>
      </c>
      <c r="F9" s="46">
        <f>(F8-F7)/($C8-$C7)</f>
        <v>8.7329395374053556E-2</v>
      </c>
      <c r="K9" s="15" t="str">
        <f>linefmt("",D55,E55,F55)</f>
        <v>-2.916213E-02,1,0.1238744,</v>
      </c>
      <c r="M9" s="46">
        <f t="shared" si="0"/>
        <v>70.009158093928789</v>
      </c>
      <c r="N9" s="46">
        <f t="shared" si="5"/>
        <v>6</v>
      </c>
      <c r="O9" s="50">
        <f t="shared" si="1"/>
        <v>120.94232382125806</v>
      </c>
      <c r="P9" s="50">
        <f t="shared" si="2"/>
        <v>50.933165727329261</v>
      </c>
      <c r="Q9" s="50">
        <f t="shared" si="3"/>
        <v>60.144000306209605</v>
      </c>
    </row>
    <row r="10" spans="1:17">
      <c r="K10" s="16" t="str">
        <f>linefmt("",D56,E56,F56)</f>
        <v>-0.5436525,0.4308911,1.135125,</v>
      </c>
      <c r="M10" s="46">
        <f t="shared" si="0"/>
        <v>67.788849626653572</v>
      </c>
      <c r="N10" s="46">
        <f t="shared" si="5"/>
        <v>7</v>
      </c>
      <c r="O10" s="50">
        <f t="shared" si="1"/>
        <v>118.61664048462447</v>
      </c>
      <c r="P10" s="50">
        <f t="shared" si="2"/>
        <v>50.827790857970896</v>
      </c>
      <c r="Q10" s="50">
        <f t="shared" si="3"/>
        <v>59.808260810004995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65.568541159378327</v>
      </c>
      <c r="N11" s="46">
        <f t="shared" si="5"/>
        <v>8</v>
      </c>
      <c r="O11" s="50">
        <f t="shared" si="1"/>
        <v>116.29095714799087</v>
      </c>
      <c r="P11" s="50">
        <f t="shared" si="2"/>
        <v>50.722415988612532</v>
      </c>
      <c r="Q11" s="50">
        <f t="shared" si="3"/>
        <v>59.472521313800378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63.34823269210311</v>
      </c>
      <c r="N12" s="46">
        <f t="shared" si="5"/>
        <v>9</v>
      </c>
      <c r="O12" s="50">
        <f t="shared" si="1"/>
        <v>113.96527381135728</v>
      </c>
      <c r="P12" s="50">
        <f t="shared" si="2"/>
        <v>50.617041119254168</v>
      </c>
      <c r="Q12" s="50">
        <f t="shared" si="3"/>
        <v>59.136781817595768</v>
      </c>
    </row>
    <row r="13" spans="1:17">
      <c r="A13" s="78" t="s">
        <v>12</v>
      </c>
      <c r="B13" s="79" t="s">
        <v>0</v>
      </c>
      <c r="C13" s="46">
        <v>0</v>
      </c>
      <c r="D13" s="7">
        <v>552.5</v>
      </c>
      <c r="E13" s="7">
        <v>511</v>
      </c>
      <c r="F13" s="7">
        <v>154</v>
      </c>
      <c r="G13" s="8">
        <v>89.2</v>
      </c>
      <c r="H13" s="8">
        <v>31.9</v>
      </c>
      <c r="I13" s="8">
        <v>40.1</v>
      </c>
      <c r="M13" s="46">
        <f t="shared" si="0"/>
        <v>61.127924224827886</v>
      </c>
      <c r="N13" s="46">
        <f t="shared" si="5"/>
        <v>10</v>
      </c>
      <c r="O13" s="50">
        <f t="shared" si="1"/>
        <v>111.63959047472369</v>
      </c>
      <c r="P13" s="50">
        <f t="shared" si="2"/>
        <v>50.511666249895804</v>
      </c>
      <c r="Q13" s="50">
        <f t="shared" si="3"/>
        <v>58.801042321391158</v>
      </c>
    </row>
    <row r="14" spans="1:17">
      <c r="A14" s="78"/>
      <c r="B14" s="79"/>
      <c r="C14" s="46">
        <f>C13+1</f>
        <v>1</v>
      </c>
      <c r="D14" s="7">
        <v>560</v>
      </c>
      <c r="E14" s="7">
        <v>518.70000000000005</v>
      </c>
      <c r="F14" s="7">
        <v>154</v>
      </c>
      <c r="G14" s="8">
        <v>103.9</v>
      </c>
      <c r="H14" s="8">
        <v>38.6</v>
      </c>
      <c r="I14" s="8">
        <v>48.3</v>
      </c>
      <c r="M14" s="46">
        <f t="shared" si="0"/>
        <v>58.907615757552662</v>
      </c>
      <c r="N14" s="46">
        <f t="shared" si="5"/>
        <v>11</v>
      </c>
      <c r="O14" s="50">
        <f t="shared" si="1"/>
        <v>109.3139071380901</v>
      </c>
      <c r="P14" s="50">
        <f t="shared" si="2"/>
        <v>50.406291380537439</v>
      </c>
      <c r="Q14" s="50">
        <f t="shared" si="3"/>
        <v>58.465302825186541</v>
      </c>
    </row>
    <row r="15" spans="1:17">
      <c r="A15" s="78"/>
      <c r="B15" s="79"/>
      <c r="C15" s="46">
        <f>C14+1</f>
        <v>2</v>
      </c>
      <c r="D15" s="6">
        <f>2*(D13-D14)/(D13+D14)</f>
        <v>-1.3483146067415731E-2</v>
      </c>
      <c r="E15" s="6">
        <f t="shared" ref="E15:F15" si="8">2*(E13-E14)/(E13+E14)</f>
        <v>-1.4955812372535777E-2</v>
      </c>
      <c r="F15" s="6">
        <f t="shared" si="8"/>
        <v>0</v>
      </c>
      <c r="G15" s="8">
        <v>79.599999999999994</v>
      </c>
      <c r="H15" s="8">
        <v>26.1</v>
      </c>
      <c r="I15" s="8">
        <v>33.6</v>
      </c>
      <c r="M15" s="46">
        <f t="shared" si="0"/>
        <v>56.687307290277438</v>
      </c>
      <c r="N15" s="46">
        <f t="shared" si="5"/>
        <v>12</v>
      </c>
      <c r="O15" s="50">
        <f t="shared" si="1"/>
        <v>106.98822380145651</v>
      </c>
      <c r="P15" s="50">
        <f t="shared" si="2"/>
        <v>50.300916511179075</v>
      </c>
      <c r="Q15" s="50">
        <f t="shared" si="3"/>
        <v>58.129563328981931</v>
      </c>
    </row>
    <row r="16" spans="1:17">
      <c r="A16" s="78"/>
      <c r="B16" s="79" t="s">
        <v>1</v>
      </c>
      <c r="C16" s="46">
        <f>C13</f>
        <v>0</v>
      </c>
      <c r="D16" s="7">
        <v>1198</v>
      </c>
      <c r="E16" s="7">
        <v>1207</v>
      </c>
      <c r="F16" s="7">
        <v>649</v>
      </c>
      <c r="G16" s="8">
        <v>64.8</v>
      </c>
      <c r="H16" s="8">
        <v>73.599999999999994</v>
      </c>
      <c r="I16" s="8">
        <v>40.700000000000003</v>
      </c>
      <c r="M16" s="46">
        <f t="shared" si="0"/>
        <v>54.466998823002207</v>
      </c>
      <c r="N16" s="46">
        <f t="shared" si="5"/>
        <v>13</v>
      </c>
      <c r="O16" s="50">
        <f t="shared" si="1"/>
        <v>104.66254046482291</v>
      </c>
      <c r="P16" s="50">
        <f t="shared" si="2"/>
        <v>50.195541641820704</v>
      </c>
      <c r="Q16" s="50">
        <f t="shared" si="3"/>
        <v>57.793823832777321</v>
      </c>
    </row>
    <row r="17" spans="1:21">
      <c r="A17" s="78"/>
      <c r="B17" s="79"/>
      <c r="C17" s="46">
        <f t="shared" ref="C17:C21" si="9">C14</f>
        <v>1</v>
      </c>
      <c r="D17" s="7">
        <v>1199</v>
      </c>
      <c r="E17" s="7">
        <v>1209</v>
      </c>
      <c r="F17" s="7">
        <v>649</v>
      </c>
      <c r="G17" s="8">
        <v>77</v>
      </c>
      <c r="H17" s="8">
        <v>86.6</v>
      </c>
      <c r="I17" s="8">
        <v>49</v>
      </c>
      <c r="M17" s="46">
        <f t="shared" si="0"/>
        <v>52.246690355726997</v>
      </c>
      <c r="N17" s="46">
        <f t="shared" si="5"/>
        <v>14</v>
      </c>
      <c r="O17" s="50">
        <f t="shared" si="1"/>
        <v>102.33685712818934</v>
      </c>
      <c r="P17" s="50">
        <f t="shared" si="2"/>
        <v>50.090166772462339</v>
      </c>
      <c r="Q17" s="50">
        <f t="shared" si="3"/>
        <v>57.458084336572703</v>
      </c>
    </row>
    <row r="18" spans="1:21">
      <c r="A18" s="78"/>
      <c r="B18" s="79"/>
      <c r="C18" s="46">
        <f t="shared" si="9"/>
        <v>2</v>
      </c>
      <c r="D18" s="6">
        <f>2*(D16-D17)/(D16+D17)</f>
        <v>-8.3437630371297454E-4</v>
      </c>
      <c r="E18" s="6">
        <f t="shared" ref="E18:F18" si="10">2*(E16-E17)/(E16+E17)</f>
        <v>-1.6556291390728477E-3</v>
      </c>
      <c r="F18" s="6">
        <f t="shared" si="10"/>
        <v>0</v>
      </c>
      <c r="G18" s="8">
        <v>59.3</v>
      </c>
      <c r="H18" s="8">
        <v>69.7</v>
      </c>
      <c r="I18" s="8">
        <v>34.1</v>
      </c>
      <c r="M18" s="46">
        <f t="shared" si="0"/>
        <v>50.026381888451759</v>
      </c>
      <c r="N18" s="46">
        <f t="shared" si="5"/>
        <v>15</v>
      </c>
      <c r="O18" s="50">
        <f t="shared" si="1"/>
        <v>100.01117379155573</v>
      </c>
      <c r="P18" s="50">
        <f t="shared" si="2"/>
        <v>49.984791903103975</v>
      </c>
      <c r="Q18" s="50">
        <f t="shared" si="3"/>
        <v>57.122344840368093</v>
      </c>
    </row>
    <row r="19" spans="1:21">
      <c r="A19" s="78"/>
      <c r="B19" s="79" t="s">
        <v>2</v>
      </c>
      <c r="C19" s="46">
        <f t="shared" si="9"/>
        <v>0</v>
      </c>
      <c r="D19" s="7">
        <v>511.3</v>
      </c>
      <c r="E19" s="7">
        <v>578</v>
      </c>
      <c r="F19" s="7">
        <v>530</v>
      </c>
      <c r="G19" s="8">
        <v>28.4</v>
      </c>
      <c r="H19" s="8">
        <v>35.700000000000003</v>
      </c>
      <c r="I19" s="8">
        <v>30.7</v>
      </c>
      <c r="M19" s="46">
        <f t="shared" si="0"/>
        <v>47.806073421176535</v>
      </c>
      <c r="N19" s="46">
        <f t="shared" si="5"/>
        <v>16</v>
      </c>
      <c r="O19" s="50">
        <f t="shared" si="1"/>
        <v>97.685490454922146</v>
      </c>
      <c r="P19" s="50">
        <f t="shared" si="2"/>
        <v>49.879417033745611</v>
      </c>
      <c r="Q19" s="50">
        <f t="shared" si="3"/>
        <v>56.786605344163483</v>
      </c>
    </row>
    <row r="20" spans="1:21">
      <c r="A20" s="78"/>
      <c r="B20" s="79"/>
      <c r="C20" s="46">
        <f t="shared" si="9"/>
        <v>1</v>
      </c>
      <c r="D20" s="7">
        <v>512.29999999999995</v>
      </c>
      <c r="E20" s="7">
        <v>578.79999999999995</v>
      </c>
      <c r="F20" s="7">
        <v>530.1</v>
      </c>
      <c r="G20" s="8">
        <v>34.299999999999997</v>
      </c>
      <c r="H20" s="8">
        <v>43</v>
      </c>
      <c r="I20" s="8">
        <v>37.1</v>
      </c>
      <c r="M20" s="46">
        <f t="shared" si="0"/>
        <v>45.585764953901311</v>
      </c>
      <c r="N20" s="46">
        <f t="shared" si="5"/>
        <v>17</v>
      </c>
      <c r="O20" s="50">
        <f t="shared" si="1"/>
        <v>95.359807118288558</v>
      </c>
      <c r="P20" s="50">
        <f t="shared" si="2"/>
        <v>49.774042164387247</v>
      </c>
      <c r="Q20" s="50">
        <f t="shared" si="3"/>
        <v>56.450865847958866</v>
      </c>
    </row>
    <row r="21" spans="1:21">
      <c r="A21" s="78"/>
      <c r="B21" s="79"/>
      <c r="C21" s="46">
        <f t="shared" si="9"/>
        <v>2</v>
      </c>
      <c r="D21" s="6">
        <f>2*(D19-D20)/(D19+D20)</f>
        <v>-1.953888237592699E-3</v>
      </c>
      <c r="E21" s="6">
        <f t="shared" ref="E21:F21" si="11">2*(E19-E20)/(E19+E20)</f>
        <v>-1.3831258644535866E-3</v>
      </c>
      <c r="F21" s="6">
        <f t="shared" si="11"/>
        <v>-1.8866144703334165E-4</v>
      </c>
      <c r="G21" s="8">
        <v>23.1</v>
      </c>
      <c r="H21" s="8">
        <v>29.4</v>
      </c>
      <c r="I21" s="8">
        <v>25</v>
      </c>
      <c r="M21" s="46">
        <f t="shared" si="0"/>
        <v>43.365456486626073</v>
      </c>
      <c r="N21" s="46">
        <f t="shared" si="5"/>
        <v>18</v>
      </c>
      <c r="O21" s="50">
        <f t="shared" si="1"/>
        <v>93.034123781654955</v>
      </c>
      <c r="P21" s="50">
        <f t="shared" si="2"/>
        <v>49.668667295028882</v>
      </c>
      <c r="Q21" s="50">
        <f t="shared" si="3"/>
        <v>56.115126351754256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556.25</v>
      </c>
      <c r="E22" s="46">
        <f t="shared" ref="E22:F22" si="12">(E13+E14)/2</f>
        <v>514.85</v>
      </c>
      <c r="F22" s="46">
        <f t="shared" si="12"/>
        <v>154</v>
      </c>
      <c r="G22" s="5">
        <f>G13</f>
        <v>89.2</v>
      </c>
      <c r="H22" s="5">
        <f t="shared" ref="H22:I22" si="13">H13</f>
        <v>31.9</v>
      </c>
      <c r="I22" s="5">
        <f t="shared" si="13"/>
        <v>40.1</v>
      </c>
      <c r="J22" s="99">
        <f>AVERAGE(G22:I24)</f>
        <v>48.344444444444441</v>
      </c>
      <c r="M22" s="46">
        <f t="shared" si="0"/>
        <v>41.145148019350863</v>
      </c>
      <c r="N22" s="46">
        <f t="shared" si="5"/>
        <v>19</v>
      </c>
      <c r="O22" s="50">
        <f t="shared" si="1"/>
        <v>90.708440445021381</v>
      </c>
      <c r="P22" s="50">
        <f t="shared" si="2"/>
        <v>49.563292425670518</v>
      </c>
      <c r="Q22" s="50">
        <f t="shared" si="3"/>
        <v>55.779386855549646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1198.5</v>
      </c>
      <c r="E23" s="46">
        <f>(E16+E17)/2</f>
        <v>1208</v>
      </c>
      <c r="F23" s="46">
        <f>(F16+F17)/2</f>
        <v>649</v>
      </c>
      <c r="G23" s="5">
        <f>G16</f>
        <v>64.8</v>
      </c>
      <c r="H23" s="5">
        <f>H16</f>
        <v>73.599999999999994</v>
      </c>
      <c r="I23" s="5">
        <f>I16</f>
        <v>40.700000000000003</v>
      </c>
      <c r="J23" s="99"/>
      <c r="M23" s="46">
        <f t="shared" si="0"/>
        <v>38.924839552075625</v>
      </c>
      <c r="N23" s="46">
        <f t="shared" si="5"/>
        <v>20</v>
      </c>
      <c r="O23" s="50">
        <f t="shared" si="1"/>
        <v>88.382757108387779</v>
      </c>
      <c r="P23" s="50">
        <f t="shared" si="2"/>
        <v>49.457917556312154</v>
      </c>
      <c r="Q23" s="50">
        <f t="shared" si="3"/>
        <v>55.443647359345036</v>
      </c>
    </row>
    <row r="24" spans="1:21">
      <c r="A24" s="78"/>
      <c r="B24" s="46" t="str">
        <f>B19</f>
        <v>D65</v>
      </c>
      <c r="C24" s="79"/>
      <c r="D24" s="46">
        <f>(D19+D20)/2</f>
        <v>511.79999999999995</v>
      </c>
      <c r="E24" s="46">
        <f>(E19+E20)/2</f>
        <v>578.4</v>
      </c>
      <c r="F24" s="46">
        <f>(F19+F20)/2</f>
        <v>530.04999999999995</v>
      </c>
      <c r="G24" s="5">
        <f>G19</f>
        <v>28.4</v>
      </c>
      <c r="H24" s="5">
        <f>H19</f>
        <v>35.700000000000003</v>
      </c>
      <c r="I24" s="5">
        <f>I19</f>
        <v>30.7</v>
      </c>
      <c r="J24" s="99"/>
      <c r="M24" s="46">
        <f t="shared" si="0"/>
        <v>36.704531084800401</v>
      </c>
      <c r="N24" s="46">
        <f t="shared" si="5"/>
        <v>21</v>
      </c>
      <c r="O24" s="50">
        <f t="shared" si="1"/>
        <v>86.05707377175419</v>
      </c>
      <c r="P24" s="50">
        <f t="shared" si="2"/>
        <v>49.35254268695379</v>
      </c>
      <c r="Q24" s="50">
        <f t="shared" si="3"/>
        <v>55.107907863140419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556.25</v>
      </c>
      <c r="E25" s="46">
        <f t="shared" ref="E25:F25" si="15">(E13+E14)/2</f>
        <v>514.85</v>
      </c>
      <c r="F25" s="46">
        <f t="shared" si="15"/>
        <v>154</v>
      </c>
      <c r="G25" s="5">
        <f t="shared" ref="G25:I25" si="16">G14</f>
        <v>103.9</v>
      </c>
      <c r="H25" s="5">
        <f t="shared" si="16"/>
        <v>38.6</v>
      </c>
      <c r="I25" s="5">
        <f t="shared" si="16"/>
        <v>48.3</v>
      </c>
      <c r="J25" s="99">
        <f>AVERAGE(G25:I27)</f>
        <v>57.533333333333331</v>
      </c>
      <c r="M25" s="46">
        <f t="shared" si="0"/>
        <v>34.484222617525184</v>
      </c>
      <c r="N25" s="46">
        <f t="shared" si="5"/>
        <v>22</v>
      </c>
      <c r="O25" s="50">
        <f t="shared" si="1"/>
        <v>83.731390435120602</v>
      </c>
      <c r="P25" s="50">
        <f t="shared" si="2"/>
        <v>49.247167817595418</v>
      </c>
      <c r="Q25" s="50">
        <f t="shared" si="3"/>
        <v>54.772168366935809</v>
      </c>
    </row>
    <row r="26" spans="1:21">
      <c r="A26" s="78"/>
      <c r="B26" s="46" t="str">
        <f>B16</f>
        <v>CWF</v>
      </c>
      <c r="C26" s="79"/>
      <c r="D26" s="46">
        <f>(D16+D17)/2</f>
        <v>1198.5</v>
      </c>
      <c r="E26" s="46">
        <f>(E16+E17)/2</f>
        <v>1208</v>
      </c>
      <c r="F26" s="46">
        <f>(F16+F17)/2</f>
        <v>649</v>
      </c>
      <c r="G26" s="5">
        <f>G17</f>
        <v>77</v>
      </c>
      <c r="H26" s="5">
        <f>H17</f>
        <v>86.6</v>
      </c>
      <c r="I26" s="5">
        <f>I17</f>
        <v>49</v>
      </c>
      <c r="J26" s="99"/>
      <c r="M26" s="46">
        <f t="shared" si="0"/>
        <v>32.263914150249946</v>
      </c>
      <c r="N26" s="46">
        <f t="shared" si="5"/>
        <v>23</v>
      </c>
      <c r="O26" s="50">
        <f t="shared" si="1"/>
        <v>81.405707098486999</v>
      </c>
      <c r="P26" s="50">
        <f t="shared" si="2"/>
        <v>49.141792948237054</v>
      </c>
      <c r="Q26" s="50">
        <f t="shared" si="3"/>
        <v>54.436428870731191</v>
      </c>
    </row>
    <row r="27" spans="1:21">
      <c r="A27" s="78"/>
      <c r="B27" s="46" t="str">
        <f>B19</f>
        <v>D65</v>
      </c>
      <c r="C27" s="79"/>
      <c r="D27" s="46">
        <f>(D19+D20)/2</f>
        <v>511.79999999999995</v>
      </c>
      <c r="E27" s="46">
        <f>(E19+E20)/2</f>
        <v>578.4</v>
      </c>
      <c r="F27" s="46">
        <f>(F19+F20)/2</f>
        <v>530.04999999999995</v>
      </c>
      <c r="G27" s="5">
        <f>G20</f>
        <v>34.299999999999997</v>
      </c>
      <c r="H27" s="5">
        <f>H20</f>
        <v>43</v>
      </c>
      <c r="I27" s="5">
        <f>I20</f>
        <v>37.1</v>
      </c>
      <c r="J27" s="99"/>
      <c r="M27" s="46">
        <f t="shared" si="0"/>
        <v>30.043605682974736</v>
      </c>
      <c r="N27" s="46">
        <f t="shared" si="5"/>
        <v>24</v>
      </c>
      <c r="O27" s="50">
        <f t="shared" si="1"/>
        <v>79.080023761853425</v>
      </c>
      <c r="P27" s="50">
        <f t="shared" si="2"/>
        <v>49.03641807887869</v>
      </c>
      <c r="Q27" s="50">
        <f t="shared" si="3"/>
        <v>54.100689374526581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556.25</v>
      </c>
      <c r="E28" s="46">
        <f t="shared" ref="E28:F28" si="17">(E13+E14)/2</f>
        <v>514.85</v>
      </c>
      <c r="F28" s="46">
        <f t="shared" si="17"/>
        <v>154</v>
      </c>
      <c r="G28" s="5">
        <f t="shared" ref="G28:I28" si="18">G15</f>
        <v>79.599999999999994</v>
      </c>
      <c r="H28" s="5">
        <f t="shared" si="18"/>
        <v>26.1</v>
      </c>
      <c r="I28" s="5">
        <f t="shared" si="18"/>
        <v>33.6</v>
      </c>
      <c r="J28" s="99">
        <f>AVERAGE(G28:I30)</f>
        <v>42.211111111111109</v>
      </c>
      <c r="M28" s="46">
        <f t="shared" si="0"/>
        <v>27.823297215699498</v>
      </c>
      <c r="N28" s="46">
        <f t="shared" si="5"/>
        <v>25</v>
      </c>
      <c r="O28" s="50">
        <f t="shared" si="1"/>
        <v>76.754340425219823</v>
      </c>
      <c r="P28" s="50">
        <f t="shared" si="2"/>
        <v>48.931043209520325</v>
      </c>
      <c r="Q28" s="50">
        <f t="shared" si="3"/>
        <v>53.764949878321971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1198.5</v>
      </c>
      <c r="E29" s="46">
        <f t="shared" si="20"/>
        <v>1208</v>
      </c>
      <c r="F29" s="46">
        <f t="shared" si="20"/>
        <v>649</v>
      </c>
      <c r="G29" s="5">
        <f t="shared" ref="G29:I29" si="21">G18</f>
        <v>59.3</v>
      </c>
      <c r="H29" s="5">
        <f t="shared" si="21"/>
        <v>69.7</v>
      </c>
      <c r="I29" s="5">
        <f t="shared" si="21"/>
        <v>34.1</v>
      </c>
      <c r="J29" s="99"/>
      <c r="M29" s="46">
        <f t="shared" si="0"/>
        <v>25.602988748424274</v>
      </c>
      <c r="N29" s="46">
        <f t="shared" si="5"/>
        <v>26</v>
      </c>
      <c r="O29" s="50">
        <f t="shared" si="1"/>
        <v>74.428657088586235</v>
      </c>
      <c r="P29" s="50">
        <f t="shared" si="2"/>
        <v>48.825668340161961</v>
      </c>
      <c r="Q29" s="50">
        <f t="shared" si="3"/>
        <v>53.429210382117361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511.79999999999995</v>
      </c>
      <c r="E30" s="46">
        <f t="shared" si="23"/>
        <v>578.4</v>
      </c>
      <c r="F30" s="46">
        <f t="shared" si="23"/>
        <v>530.04999999999995</v>
      </c>
      <c r="G30" s="5">
        <f t="shared" ref="G30:I30" si="24">G21</f>
        <v>23.1</v>
      </c>
      <c r="H30" s="5">
        <f t="shared" si="24"/>
        <v>29.4</v>
      </c>
      <c r="I30" s="5">
        <f t="shared" si="24"/>
        <v>25</v>
      </c>
      <c r="J30" s="99"/>
      <c r="M30" s="46">
        <f t="shared" si="0"/>
        <v>23.38268028114905</v>
      </c>
      <c r="N30" s="46">
        <f t="shared" si="5"/>
        <v>27</v>
      </c>
      <c r="O30" s="50">
        <f t="shared" si="1"/>
        <v>72.102973751952646</v>
      </c>
      <c r="P30" s="50">
        <f t="shared" si="2"/>
        <v>48.720293470803597</v>
      </c>
      <c r="Q30" s="50">
        <f t="shared" si="3"/>
        <v>53.093470885912744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556.25</v>
      </c>
      <c r="E31" s="46">
        <f t="shared" si="25"/>
        <v>514.85</v>
      </c>
      <c r="F31" s="46">
        <f t="shared" si="25"/>
        <v>154</v>
      </c>
      <c r="G31" s="5">
        <f t="shared" ref="G31:I33" si="26">G22*$J$31</f>
        <v>89.2</v>
      </c>
      <c r="H31" s="5">
        <f t="shared" si="26"/>
        <v>31.9</v>
      </c>
      <c r="I31" s="5">
        <f t="shared" si="26"/>
        <v>40.1</v>
      </c>
      <c r="J31" s="96">
        <f>J$22/J22</f>
        <v>1</v>
      </c>
      <c r="M31" s="46">
        <f t="shared" si="0"/>
        <v>21.162371813873825</v>
      </c>
      <c r="N31" s="46">
        <f t="shared" si="5"/>
        <v>28</v>
      </c>
      <c r="O31" s="50">
        <f t="shared" si="1"/>
        <v>69.777290415319058</v>
      </c>
      <c r="P31" s="50">
        <f t="shared" si="2"/>
        <v>48.614918601445233</v>
      </c>
      <c r="Q31" s="50">
        <f t="shared" si="3"/>
        <v>52.757731389708134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1198.5</v>
      </c>
      <c r="E32" s="46">
        <f t="shared" si="27"/>
        <v>1208</v>
      </c>
      <c r="F32" s="46">
        <f t="shared" si="27"/>
        <v>649</v>
      </c>
      <c r="G32" s="5">
        <f t="shared" si="26"/>
        <v>64.8</v>
      </c>
      <c r="H32" s="5">
        <f t="shared" si="26"/>
        <v>73.599999999999994</v>
      </c>
      <c r="I32" s="5">
        <f t="shared" si="26"/>
        <v>40.700000000000003</v>
      </c>
      <c r="J32" s="96"/>
      <c r="M32" s="46">
        <f t="shared" si="0"/>
        <v>18.942063346598601</v>
      </c>
      <c r="N32" s="46">
        <f t="shared" si="5"/>
        <v>29</v>
      </c>
      <c r="O32" s="50">
        <f t="shared" si="1"/>
        <v>67.45160707868547</v>
      </c>
      <c r="P32" s="50">
        <f t="shared" si="2"/>
        <v>48.509543732086868</v>
      </c>
      <c r="Q32" s="50">
        <f t="shared" si="3"/>
        <v>52.421991893503517</v>
      </c>
    </row>
    <row r="33" spans="1:17">
      <c r="A33" s="78"/>
      <c r="B33" s="46" t="str">
        <f t="shared" si="27"/>
        <v>D65</v>
      </c>
      <c r="C33" s="79"/>
      <c r="D33" s="46">
        <f t="shared" si="27"/>
        <v>511.79999999999995</v>
      </c>
      <c r="E33" s="46">
        <f t="shared" si="27"/>
        <v>578.4</v>
      </c>
      <c r="F33" s="46">
        <f t="shared" si="27"/>
        <v>530.04999999999995</v>
      </c>
      <c r="G33" s="5">
        <f t="shared" si="26"/>
        <v>28.4</v>
      </c>
      <c r="H33" s="5">
        <f t="shared" si="26"/>
        <v>35.700000000000003</v>
      </c>
      <c r="I33" s="5">
        <f t="shared" si="26"/>
        <v>30.7</v>
      </c>
      <c r="J33" s="96"/>
      <c r="M33" s="46">
        <f t="shared" si="0"/>
        <v>16.72175487932337</v>
      </c>
      <c r="N33" s="46">
        <f t="shared" si="5"/>
        <v>30</v>
      </c>
      <c r="O33" s="50">
        <f t="shared" si="1"/>
        <v>65.125923742051867</v>
      </c>
      <c r="P33" s="50">
        <f t="shared" si="2"/>
        <v>48.404168862728497</v>
      </c>
      <c r="Q33" s="50">
        <f t="shared" si="3"/>
        <v>52.086252397298907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556.25</v>
      </c>
      <c r="E34" s="46">
        <f t="shared" si="27"/>
        <v>514.85</v>
      </c>
      <c r="F34" s="46">
        <f t="shared" si="27"/>
        <v>154</v>
      </c>
      <c r="G34" s="5">
        <f t="shared" ref="G34:I36" si="28">G25*$J$34</f>
        <v>87.30569718037853</v>
      </c>
      <c r="H34" s="5">
        <f t="shared" si="28"/>
        <v>32.435032831208964</v>
      </c>
      <c r="I34" s="5">
        <f t="shared" si="28"/>
        <v>40.585805330243332</v>
      </c>
      <c r="J34" s="96">
        <f>J$22/J25</f>
        <v>0.84028582464271917</v>
      </c>
      <c r="M34" s="46">
        <f t="shared" si="0"/>
        <v>14.501446412048146</v>
      </c>
      <c r="N34" s="46">
        <f t="shared" si="5"/>
        <v>31</v>
      </c>
      <c r="O34" s="50">
        <f t="shared" si="1"/>
        <v>62.800240405418279</v>
      </c>
      <c r="P34" s="50">
        <f t="shared" si="2"/>
        <v>48.298793993370133</v>
      </c>
      <c r="Q34" s="50">
        <f t="shared" si="3"/>
        <v>51.750512901094297</v>
      </c>
    </row>
    <row r="35" spans="1:17">
      <c r="A35" s="78"/>
      <c r="B35" s="46" t="str">
        <f t="shared" si="27"/>
        <v>CWF</v>
      </c>
      <c r="C35" s="79"/>
      <c r="D35" s="46">
        <f t="shared" si="27"/>
        <v>1198.5</v>
      </c>
      <c r="E35" s="46">
        <f t="shared" si="27"/>
        <v>1208</v>
      </c>
      <c r="F35" s="46">
        <f t="shared" si="27"/>
        <v>649</v>
      </c>
      <c r="G35" s="5">
        <f t="shared" si="28"/>
        <v>64.702008497489373</v>
      </c>
      <c r="H35" s="5">
        <f t="shared" si="28"/>
        <v>72.768752414059477</v>
      </c>
      <c r="I35" s="5">
        <f t="shared" si="28"/>
        <v>41.17400540749324</v>
      </c>
      <c r="J35" s="96"/>
      <c r="M35" s="46">
        <f t="shared" si="0"/>
        <v>12.281137944772922</v>
      </c>
      <c r="N35" s="46">
        <f t="shared" si="5"/>
        <v>32</v>
      </c>
      <c r="O35" s="50">
        <f t="shared" si="1"/>
        <v>60.474557068784691</v>
      </c>
      <c r="P35" s="50">
        <f t="shared" si="2"/>
        <v>48.193419124011768</v>
      </c>
      <c r="Q35" s="50">
        <f t="shared" si="3"/>
        <v>51.414773404889687</v>
      </c>
    </row>
    <row r="36" spans="1:17">
      <c r="A36" s="78"/>
      <c r="B36" s="46" t="str">
        <f t="shared" si="27"/>
        <v>D65</v>
      </c>
      <c r="C36" s="79"/>
      <c r="D36" s="46">
        <f t="shared" si="27"/>
        <v>511.79999999999995</v>
      </c>
      <c r="E36" s="46">
        <f t="shared" si="27"/>
        <v>578.4</v>
      </c>
      <c r="F36" s="46">
        <f t="shared" si="27"/>
        <v>530.04999999999995</v>
      </c>
      <c r="G36" s="5">
        <f t="shared" si="28"/>
        <v>28.821803785245265</v>
      </c>
      <c r="H36" s="5">
        <f t="shared" si="28"/>
        <v>36.132290459636927</v>
      </c>
      <c r="I36" s="5">
        <f t="shared" si="28"/>
        <v>31.174604094244881</v>
      </c>
      <c r="J36" s="96"/>
      <c r="M36" s="46">
        <f t="shared" si="0"/>
        <v>10.060829477497698</v>
      </c>
      <c r="N36" s="46">
        <f t="shared" si="5"/>
        <v>33</v>
      </c>
      <c r="O36" s="50">
        <f t="shared" si="1"/>
        <v>58.148873732151102</v>
      </c>
      <c r="P36" s="50">
        <f t="shared" si="2"/>
        <v>48.088044254653404</v>
      </c>
      <c r="Q36" s="50">
        <f t="shared" si="3"/>
        <v>51.079033908685069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556.25</v>
      </c>
      <c r="E37" s="46">
        <f t="shared" si="27"/>
        <v>514.85</v>
      </c>
      <c r="F37" s="46">
        <f t="shared" si="27"/>
        <v>154</v>
      </c>
      <c r="G37" s="5">
        <f t="shared" ref="G37:I39" si="29">G28*$J$37</f>
        <v>91.165991050276389</v>
      </c>
      <c r="H37" s="5">
        <f t="shared" si="29"/>
        <v>29.892366412213743</v>
      </c>
      <c r="I37" s="5">
        <f t="shared" si="29"/>
        <v>38.482126875493556</v>
      </c>
      <c r="J37" s="96">
        <f>J$22/J28</f>
        <v>1.1453013951039748</v>
      </c>
      <c r="K37" s="51" t="str">
        <f>CHAR(34) &amp; "EEpromVersion" &amp;CHAR(34)  &amp; ",3,"</f>
        <v>"EEpromVersion",3,</v>
      </c>
      <c r="M37" s="46">
        <f t="shared" si="0"/>
        <v>7.8405210102224743</v>
      </c>
      <c r="N37" s="46">
        <f t="shared" si="5"/>
        <v>34</v>
      </c>
      <c r="O37" s="50">
        <f t="shared" si="1"/>
        <v>55.823190395517514</v>
      </c>
      <c r="P37" s="50">
        <f t="shared" si="2"/>
        <v>47.98266938529504</v>
      </c>
      <c r="Q37" s="50">
        <f t="shared" si="3"/>
        <v>50.743294412480459</v>
      </c>
    </row>
    <row r="38" spans="1:17">
      <c r="A38" s="78"/>
      <c r="B38" s="46" t="str">
        <f t="shared" si="27"/>
        <v>CWF</v>
      </c>
      <c r="C38" s="79"/>
      <c r="D38" s="46">
        <f t="shared" si="27"/>
        <v>1198.5</v>
      </c>
      <c r="E38" s="46">
        <f t="shared" si="27"/>
        <v>1208</v>
      </c>
      <c r="F38" s="46">
        <f t="shared" si="27"/>
        <v>649</v>
      </c>
      <c r="G38" s="5">
        <f t="shared" si="29"/>
        <v>67.916372729665696</v>
      </c>
      <c r="H38" s="5">
        <f t="shared" si="29"/>
        <v>79.827507238747046</v>
      </c>
      <c r="I38" s="5">
        <f t="shared" si="29"/>
        <v>39.054777573045541</v>
      </c>
      <c r="J38" s="96"/>
      <c r="K38" s="52" t="str">
        <f>K4</f>
        <v>"Compensation",37,</v>
      </c>
      <c r="M38" s="46">
        <f t="shared" si="0"/>
        <v>5.620212542947236</v>
      </c>
      <c r="N38" s="46">
        <f t="shared" si="5"/>
        <v>35</v>
      </c>
      <c r="O38" s="50">
        <f t="shared" si="1"/>
        <v>53.497507058883912</v>
      </c>
      <c r="P38" s="50">
        <f t="shared" si="2"/>
        <v>47.877294515936676</v>
      </c>
      <c r="Q38" s="50">
        <f t="shared" si="3"/>
        <v>50.407554916275842</v>
      </c>
    </row>
    <row r="39" spans="1:17">
      <c r="A39" s="78"/>
      <c r="B39" s="46" t="str">
        <f t="shared" si="27"/>
        <v>D65</v>
      </c>
      <c r="C39" s="79"/>
      <c r="D39" s="46">
        <f t="shared" si="27"/>
        <v>511.79999999999995</v>
      </c>
      <c r="E39" s="46">
        <f t="shared" si="27"/>
        <v>578.4</v>
      </c>
      <c r="F39" s="46">
        <f t="shared" si="27"/>
        <v>530.04999999999995</v>
      </c>
      <c r="G39" s="5">
        <f t="shared" si="29"/>
        <v>26.45646222690182</v>
      </c>
      <c r="H39" s="5">
        <f t="shared" si="29"/>
        <v>33.671861016056859</v>
      </c>
      <c r="I39" s="5">
        <f t="shared" si="29"/>
        <v>28.632534877599369</v>
      </c>
      <c r="J39" s="96"/>
      <c r="K39" s="53" t="str">
        <f>linefmt("CardGain",J42,J45,J48)</f>
        <v>"CardGain",16.69038,17.39138,13.33551,</v>
      </c>
      <c r="M39" s="46">
        <f t="shared" si="0"/>
        <v>3.399904075672012</v>
      </c>
      <c r="N39" s="46">
        <f t="shared" si="5"/>
        <v>36</v>
      </c>
      <c r="O39" s="50">
        <f t="shared" si="1"/>
        <v>51.171823722250323</v>
      </c>
      <c r="P39" s="50">
        <f t="shared" si="2"/>
        <v>47.771919646578311</v>
      </c>
      <c r="Q39" s="50">
        <f t="shared" si="3"/>
        <v>50.071815420071232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"Range",1,0.8402858,1.145301,</v>
      </c>
      <c r="M40" s="46">
        <f t="shared" si="0"/>
        <v>2.0695311466466748</v>
      </c>
      <c r="N40" s="46">
        <f t="shared" si="5"/>
        <v>37</v>
      </c>
      <c r="O40" s="50">
        <f t="shared" si="1"/>
        <v>48.846140385616735</v>
      </c>
      <c r="P40" s="50">
        <f t="shared" si="2"/>
        <v>47.666544777219947</v>
      </c>
      <c r="Q40" s="50">
        <f t="shared" si="3"/>
        <v>49.736075923866622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2.879879378678865</v>
      </c>
      <c r="N41" s="46">
        <f t="shared" si="5"/>
        <v>38</v>
      </c>
      <c r="O41" s="50">
        <f t="shared" si="1"/>
        <v>46.520457048983147</v>
      </c>
      <c r="P41" s="50">
        <f t="shared" si="2"/>
        <v>47.561169907861583</v>
      </c>
      <c r="Q41" s="50">
        <f t="shared" si="3"/>
        <v>49.400336427662012</v>
      </c>
    </row>
    <row r="42" spans="1:17">
      <c r="A42" s="4"/>
      <c r="B42" s="46" t="s">
        <v>3</v>
      </c>
      <c r="C42" s="79">
        <f>C31</f>
        <v>0</v>
      </c>
      <c r="D42" s="46">
        <f>I42/$H$43</f>
        <v>0.15957075053675865</v>
      </c>
      <c r="E42" s="46">
        <f>H42/$H$43</f>
        <v>1.0209930166385017</v>
      </c>
      <c r="F42" s="46">
        <f>G42/$H$43</f>
        <v>-0.3360550472731445</v>
      </c>
      <c r="G42" s="46">
        <f t="array" ref="G42:I42">LINEST($D31:$D33,$G31:$I33,FALSE)</f>
        <v>-5.6088865634397171</v>
      </c>
      <c r="H42" s="46">
        <v>17.040761800357327</v>
      </c>
      <c r="I42" s="46">
        <v>2.6632965220015037</v>
      </c>
      <c r="J42" s="97">
        <f>H43</f>
        <v>16.690380367597431</v>
      </c>
      <c r="K42" s="53" t="str">
        <f t="shared" ref="K42:K50" si="30">linefmt("",D42,E42,F42)</f>
        <v>0.1595708,1.020993,-0.336055,</v>
      </c>
      <c r="M42" s="46">
        <f t="shared" si="0"/>
        <v>4.8698232191078361</v>
      </c>
      <c r="N42" s="46">
        <f t="shared" si="5"/>
        <v>39</v>
      </c>
      <c r="O42" s="50">
        <f t="shared" si="1"/>
        <v>44.194773712349559</v>
      </c>
      <c r="P42" s="50">
        <f t="shared" si="2"/>
        <v>47.455795038503211</v>
      </c>
      <c r="Q42" s="50">
        <f t="shared" si="3"/>
        <v>49.064596931457395</v>
      </c>
    </row>
    <row r="43" spans="1:17">
      <c r="A43" s="4"/>
      <c r="B43" s="46" t="s">
        <v>4</v>
      </c>
      <c r="C43" s="79"/>
      <c r="D43" s="46">
        <f>I43/$H$43</f>
        <v>5.9971916486807331E-3</v>
      </c>
      <c r="E43" s="46">
        <f>H43/$H$43</f>
        <v>1</v>
      </c>
      <c r="F43" s="46">
        <f>G43/$H$43</f>
        <v>-3.9596993606050422E-2</v>
      </c>
      <c r="G43" s="46">
        <f t="array" ref="G43:I43">LINEST($E31:$E33,$G31:$I33,FALSE)</f>
        <v>-0.66088888469830498</v>
      </c>
      <c r="H43" s="46">
        <v>16.690380367597431</v>
      </c>
      <c r="I43" s="46">
        <v>0.10009540975386018</v>
      </c>
      <c r="J43" s="97"/>
      <c r="K43" s="53" t="str">
        <f t="shared" si="30"/>
        <v>5.997192E-03,1,-3.959699E-02,</v>
      </c>
      <c r="M43" s="46">
        <f t="shared" si="0"/>
        <v>6.8597670595368285</v>
      </c>
      <c r="N43" s="46">
        <f t="shared" si="5"/>
        <v>40</v>
      </c>
      <c r="O43" s="50">
        <f t="shared" si="1"/>
        <v>41.869090375715956</v>
      </c>
      <c r="P43" s="50">
        <f t="shared" si="2"/>
        <v>47.350420169144847</v>
      </c>
      <c r="Q43" s="50">
        <f t="shared" si="3"/>
        <v>48.728857435252785</v>
      </c>
    </row>
    <row r="44" spans="1:17">
      <c r="A44" s="4"/>
      <c r="B44" s="46" t="s">
        <v>5</v>
      </c>
      <c r="C44" s="79"/>
      <c r="D44" s="46">
        <f>I44/$H$43</f>
        <v>-0.50587234970069805</v>
      </c>
      <c r="E44" s="46">
        <f>H44/$H$43</f>
        <v>0.40029625363002519</v>
      </c>
      <c r="F44" s="46">
        <f>G44/$H$43</f>
        <v>1.0369385263290847</v>
      </c>
      <c r="G44" s="46">
        <f t="array" ref="G44:I44">LINEST($F$31:$F$33,$G31:$I33,FALSE)</f>
        <v>17.306898422248366</v>
      </c>
      <c r="H44" s="46">
        <v>6.6810967328093742</v>
      </c>
      <c r="I44" s="46">
        <v>-8.4432019339549136</v>
      </c>
      <c r="J44" s="97"/>
      <c r="K44" s="53" t="str">
        <f t="shared" si="30"/>
        <v>-0.5058724,0.4002962,1.036939,</v>
      </c>
      <c r="M44" s="46">
        <f t="shared" si="0"/>
        <v>8.8497108999657996</v>
      </c>
      <c r="N44" s="46">
        <f t="shared" si="5"/>
        <v>41</v>
      </c>
      <c r="O44" s="50">
        <f t="shared" si="1"/>
        <v>39.543407039082368</v>
      </c>
      <c r="P44" s="50">
        <f t="shared" si="2"/>
        <v>47.245045299786483</v>
      </c>
      <c r="Q44" s="50">
        <f t="shared" si="3"/>
        <v>48.393117939048167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0.17135383626041259</v>
      </c>
      <c r="E45" s="46">
        <f>H45/$H$46</f>
        <v>1.0173607473469057</v>
      </c>
      <c r="F45" s="46">
        <f>G45/$H$46</f>
        <v>-0.39358752450731505</v>
      </c>
      <c r="G45" s="46">
        <f t="array" ref="G45:I45">LINEST($D34:$D36,$G34:$I36,FALSE)</f>
        <v>-6.8450317295911063</v>
      </c>
      <c r="H45" s="46">
        <v>17.69331130286032</v>
      </c>
      <c r="I45" s="46">
        <v>2.9800803459355678</v>
      </c>
      <c r="J45" s="97">
        <f>H46</f>
        <v>17.391383881284295</v>
      </c>
      <c r="K45" s="53" t="str">
        <f t="shared" si="30"/>
        <v>0.1713538,1.017361,-0.3935875,</v>
      </c>
      <c r="M45" s="46">
        <f t="shared" si="0"/>
        <v>10.839654740394778</v>
      </c>
      <c r="N45" s="46">
        <f t="shared" si="5"/>
        <v>42</v>
      </c>
      <c r="O45" s="50">
        <f t="shared" si="1"/>
        <v>37.217723702448779</v>
      </c>
      <c r="P45" s="50">
        <f t="shared" si="2"/>
        <v>47.139670430428119</v>
      </c>
      <c r="Q45" s="50">
        <f t="shared" si="3"/>
        <v>48.057378442843557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1.8297533362905474E-2</v>
      </c>
      <c r="E46" s="46">
        <f>H46/$H$46</f>
        <v>1</v>
      </c>
      <c r="F46" s="46">
        <f>G46/$H$46</f>
        <v>-0.10912120839169906</v>
      </c>
      <c r="G46" s="46">
        <f t="array" ref="G46:I46">LINEST($E34:$E36,$G34:$I36,FALSE)</f>
        <v>-1.8977688247296596</v>
      </c>
      <c r="H46" s="46">
        <v>17.391383881284295</v>
      </c>
      <c r="I46" s="46">
        <v>0.3182194267948959</v>
      </c>
      <c r="J46" s="97"/>
      <c r="K46" s="53" t="str">
        <f t="shared" si="30"/>
        <v>1.829753E-02,1,-0.1091212,</v>
      </c>
      <c r="M46" s="46">
        <f t="shared" si="0"/>
        <v>12.829598580823756</v>
      </c>
      <c r="N46" s="46">
        <f t="shared" si="5"/>
        <v>43</v>
      </c>
      <c r="O46" s="50">
        <f t="shared" si="1"/>
        <v>34.892040365815191</v>
      </c>
      <c r="P46" s="50">
        <f t="shared" si="2"/>
        <v>47.034295561069754</v>
      </c>
      <c r="Q46" s="50">
        <f t="shared" si="3"/>
        <v>47.721638946638947</v>
      </c>
    </row>
    <row r="47" spans="1:17">
      <c r="A47" s="4"/>
      <c r="B47" s="46" t="str">
        <f t="shared" si="31"/>
        <v>Z</v>
      </c>
      <c r="C47" s="79"/>
      <c r="D47" s="46">
        <f>I47/$H$46</f>
        <v>-0.49814081074032518</v>
      </c>
      <c r="E47" s="46">
        <f>H47/$H$46</f>
        <v>0.41250415155574705</v>
      </c>
      <c r="F47" s="46">
        <f>G47/$H$46</f>
        <v>0.96008701230962123</v>
      </c>
      <c r="G47" s="46">
        <f t="array" ref="G47:I47">LINEST($F$31:$F$33,$G34:$I36,FALSE)</f>
        <v>16.697241790511942</v>
      </c>
      <c r="H47" s="46">
        <v>7.1740180523294725</v>
      </c>
      <c r="I47" s="46">
        <v>-8.6633580665191818</v>
      </c>
      <c r="J47" s="97"/>
      <c r="K47" s="53" t="str">
        <f t="shared" si="30"/>
        <v>-0.4981408,0.4125042,0.960087,</v>
      </c>
      <c r="M47" s="46">
        <f t="shared" si="0"/>
        <v>14.819542421252734</v>
      </c>
      <c r="N47" s="46">
        <f t="shared" si="5"/>
        <v>44</v>
      </c>
      <c r="O47" s="50">
        <f t="shared" si="1"/>
        <v>32.566357029181603</v>
      </c>
      <c r="P47" s="50">
        <f t="shared" si="2"/>
        <v>46.92892069171139</v>
      </c>
      <c r="Q47" s="50">
        <f t="shared" si="3"/>
        <v>47.385899450434337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0.10190014184749903</v>
      </c>
      <c r="E48" s="46">
        <f>H48/$H$49</f>
        <v>1.0112599507393525</v>
      </c>
      <c r="F48" s="46">
        <f>G48/$H$49</f>
        <v>5.6992048280258771E-2</v>
      </c>
      <c r="G48" s="46">
        <f t="array" ref="G48:I48">LINEST($D37:$D39,$G37:$I39,FALSE)</f>
        <v>0.76001775440636832</v>
      </c>
      <c r="H48" s="46">
        <v>13.485662299809654</v>
      </c>
      <c r="I48" s="46">
        <v>1.3588898682810242</v>
      </c>
      <c r="J48" s="97">
        <f>H49</f>
        <v>13.335505168527652</v>
      </c>
      <c r="K48" s="53" t="str">
        <f t="shared" si="30"/>
        <v>0.1019001,1.01126,5.699205E-02,</v>
      </c>
      <c r="M48" s="46">
        <f t="shared" si="0"/>
        <v>16.809486261681705</v>
      </c>
      <c r="N48" s="46">
        <f t="shared" si="5"/>
        <v>45</v>
      </c>
      <c r="O48" s="50">
        <f t="shared" si="1"/>
        <v>30.240673692548015</v>
      </c>
      <c r="P48" s="50">
        <f t="shared" si="2"/>
        <v>46.823545822353026</v>
      </c>
      <c r="Q48" s="50">
        <f t="shared" si="3"/>
        <v>47.05015995422972</v>
      </c>
    </row>
    <row r="49" spans="1:24">
      <c r="A49" s="4"/>
      <c r="B49" s="46" t="str">
        <f t="shared" si="31"/>
        <v>Y</v>
      </c>
      <c r="C49" s="79"/>
      <c r="D49" s="46">
        <f>I49/$H$49</f>
        <v>-7.7742578685652944E-2</v>
      </c>
      <c r="E49" s="46">
        <f>H49/$H$49</f>
        <v>1</v>
      </c>
      <c r="F49" s="46">
        <f>G49/$H$49</f>
        <v>0.41064710880849847</v>
      </c>
      <c r="G49" s="46">
        <f t="array" ref="G49:I49">LINEST($E37:$E39,$G37:$I39,FALSE)</f>
        <v>5.4761866419566685</v>
      </c>
      <c r="H49" s="46">
        <v>13.335505168527652</v>
      </c>
      <c r="I49" s="46">
        <v>-1.0367365598771925</v>
      </c>
      <c r="J49" s="97"/>
      <c r="K49" s="53" t="str">
        <f t="shared" si="30"/>
        <v>-7.774258E-02,1,0.4106471,</v>
      </c>
      <c r="M49" s="46">
        <f t="shared" si="0"/>
        <v>18.803180597080249</v>
      </c>
      <c r="N49" s="46">
        <f t="shared" si="5"/>
        <v>46</v>
      </c>
      <c r="O49" s="50">
        <f t="shared" si="1"/>
        <v>27.914990355914412</v>
      </c>
      <c r="P49" s="50">
        <f t="shared" si="2"/>
        <v>46.718170952994662</v>
      </c>
      <c r="Q49" s="50">
        <f t="shared" si="3"/>
        <v>46.71442045802511</v>
      </c>
    </row>
    <row r="50" spans="1:24">
      <c r="A50" s="4"/>
      <c r="B50" s="46" t="str">
        <f t="shared" si="31"/>
        <v>Z</v>
      </c>
      <c r="C50" s="79"/>
      <c r="D50" s="46">
        <f>I50/$H$49</f>
        <v>-0.63379245816422791</v>
      </c>
      <c r="E50" s="46">
        <f>H50/$H$49</f>
        <v>0.4314348843179463</v>
      </c>
      <c r="F50" s="46">
        <f>G50/$H$49</f>
        <v>1.4664425139606543</v>
      </c>
      <c r="G50" s="46">
        <f t="array" ref="G50:I50">LINEST($F$31:$F$33,$G37:$I39,FALSE)</f>
        <v>19.555751724270987</v>
      </c>
      <c r="H50" s="46">
        <v>5.7534021297051021</v>
      </c>
      <c r="I50" s="46">
        <v>-8.4519426016229069</v>
      </c>
      <c r="J50" s="97"/>
      <c r="K50" s="54" t="str">
        <f t="shared" si="30"/>
        <v>-0.6337925,0.4314349,1.466442,</v>
      </c>
      <c r="M50" s="46">
        <f t="shared" si="0"/>
        <v>21.023489064355473</v>
      </c>
      <c r="N50" s="46">
        <f t="shared" si="5"/>
        <v>47</v>
      </c>
      <c r="O50" s="50">
        <f t="shared" si="1"/>
        <v>25.589307019280824</v>
      </c>
      <c r="P50" s="50">
        <f t="shared" si="2"/>
        <v>46.612796083636297</v>
      </c>
      <c r="Q50" s="50">
        <f t="shared" si="3"/>
        <v>46.378680961820493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0.14427490954822342</v>
      </c>
      <c r="E51" s="46">
        <f t="shared" ref="E51:F51" si="32">(E42+E45+E48)/3</f>
        <v>1.0165379049082532</v>
      </c>
      <c r="F51" s="46">
        <f t="shared" si="32"/>
        <v>-0.2242168411667336</v>
      </c>
      <c r="J51" s="97">
        <f>(J42+J45+J48)/3</f>
        <v>15.805756472469794</v>
      </c>
      <c r="M51" s="46">
        <f t="shared" si="0"/>
        <v>23.24379753163069</v>
      </c>
      <c r="N51" s="46">
        <f t="shared" si="5"/>
        <v>48</v>
      </c>
      <c r="O51" s="50">
        <f t="shared" si="1"/>
        <v>23.263623682647236</v>
      </c>
      <c r="P51" s="50">
        <f t="shared" si="2"/>
        <v>46.507421214277926</v>
      </c>
      <c r="Q51" s="50">
        <f t="shared" si="3"/>
        <v>46.042941465615883</v>
      </c>
    </row>
    <row r="52" spans="1:24">
      <c r="B52" s="46" t="str">
        <f t="shared" si="31"/>
        <v>Y</v>
      </c>
      <c r="C52" s="79"/>
      <c r="D52" s="46">
        <f t="shared" ref="D52:F53" si="33">(D43+D46+D49)/3</f>
        <v>-1.7815951224688913E-2</v>
      </c>
      <c r="E52" s="46">
        <f t="shared" si="33"/>
        <v>1</v>
      </c>
      <c r="F52" s="46">
        <f t="shared" si="33"/>
        <v>8.7309635603583E-2</v>
      </c>
      <c r="J52" s="97"/>
      <c r="M52" s="46">
        <f t="shared" si="0"/>
        <v>25.464105998905914</v>
      </c>
      <c r="N52" s="46">
        <f t="shared" si="5"/>
        <v>49</v>
      </c>
      <c r="O52" s="50">
        <f t="shared" si="1"/>
        <v>20.937940346013647</v>
      </c>
      <c r="P52" s="50">
        <f t="shared" si="2"/>
        <v>46.402046344919562</v>
      </c>
      <c r="Q52" s="50">
        <f t="shared" si="3"/>
        <v>45.707201969411273</v>
      </c>
    </row>
    <row r="53" spans="1:24" ht="15.75" thickBot="1">
      <c r="B53" s="46" t="str">
        <f t="shared" si="31"/>
        <v>Z</v>
      </c>
      <c r="C53" s="79"/>
      <c r="D53" s="46">
        <f t="shared" si="33"/>
        <v>-0.5459352062017504</v>
      </c>
      <c r="E53" s="46">
        <f t="shared" si="33"/>
        <v>0.41474509650123953</v>
      </c>
      <c r="F53" s="46">
        <f t="shared" si="33"/>
        <v>1.1544893508664533</v>
      </c>
      <c r="J53" s="100"/>
      <c r="M53" s="46">
        <f t="shared" si="0"/>
        <v>27.684414466181138</v>
      </c>
      <c r="N53" s="46">
        <f t="shared" si="5"/>
        <v>50</v>
      </c>
      <c r="O53" s="50">
        <f t="shared" si="1"/>
        <v>18.612257009380059</v>
      </c>
      <c r="P53" s="50">
        <f t="shared" si="2"/>
        <v>46.296671475561197</v>
      </c>
      <c r="Q53" s="50">
        <f t="shared" si="3"/>
        <v>45.371462473206662</v>
      </c>
    </row>
    <row r="54" spans="1:24">
      <c r="B54" s="79" t="s">
        <v>14</v>
      </c>
      <c r="C54" s="79"/>
      <c r="D54" s="19">
        <f>I54/$H$55</f>
        <v>0.13088852988980632</v>
      </c>
      <c r="E54" s="20">
        <f>H54/$H$55</f>
        <v>1.0118697460275028</v>
      </c>
      <c r="F54" s="21">
        <f>G54/$H$55</f>
        <v>-0.17704357120263192</v>
      </c>
      <c r="G54" s="46">
        <f t="array" ref="G54:I54">LINEST(D$31:D$39,$G$31:$I$39,FALSE)</f>
        <v>-2.712559212107418</v>
      </c>
      <c r="H54" s="46">
        <v>15.503283075431392</v>
      </c>
      <c r="I54" s="46">
        <v>2.0053983609799282</v>
      </c>
      <c r="J54" s="98">
        <f>H55</f>
        <v>15.321421691176852</v>
      </c>
      <c r="M54" s="46">
        <f t="shared" si="0"/>
        <v>29.904722933456377</v>
      </c>
      <c r="N54" s="46">
        <f t="shared" si="5"/>
        <v>51</v>
      </c>
      <c r="O54" s="50">
        <f t="shared" si="1"/>
        <v>16.286573672746457</v>
      </c>
      <c r="P54" s="50">
        <f t="shared" si="2"/>
        <v>46.191296606202833</v>
      </c>
      <c r="Q54" s="50">
        <f t="shared" si="3"/>
        <v>45.035722977002052</v>
      </c>
    </row>
    <row r="55" spans="1:24" ht="15" customHeight="1">
      <c r="B55" s="79"/>
      <c r="C55" s="79"/>
      <c r="D55" s="22">
        <f>I55/$H$55</f>
        <v>-2.9162127890344555E-2</v>
      </c>
      <c r="E55" s="18">
        <f>H55/$H$55</f>
        <v>1</v>
      </c>
      <c r="F55" s="23">
        <f>G55/$H$55</f>
        <v>0.12387436041574038</v>
      </c>
      <c r="G55" s="46">
        <f t="array" ref="G55:I55">LINEST(E$31:E$39,$G$31:$I$39,FALSE)</f>
        <v>1.8979313126543838</v>
      </c>
      <c r="H55" s="46">
        <v>15.321421691176852</v>
      </c>
      <c r="I55" s="46">
        <v>-0.4468052588199985</v>
      </c>
      <c r="J55" s="98"/>
      <c r="M55" s="46">
        <f t="shared" si="0"/>
        <v>32.125031400731601</v>
      </c>
      <c r="N55" s="46">
        <f t="shared" si="5"/>
        <v>52</v>
      </c>
      <c r="O55" s="50">
        <f t="shared" si="1"/>
        <v>13.960890336112868</v>
      </c>
      <c r="P55" s="50">
        <f t="shared" si="2"/>
        <v>46.085921736844469</v>
      </c>
      <c r="Q55" s="50">
        <f t="shared" si="3"/>
        <v>44.699983480797435</v>
      </c>
    </row>
    <row r="56" spans="1:24" ht="15" customHeight="1" thickBot="1">
      <c r="B56" s="79"/>
      <c r="C56" s="79"/>
      <c r="D56" s="24">
        <f>I56/$H$55</f>
        <v>-0.54365252463719282</v>
      </c>
      <c r="E56" s="25">
        <f>H56/$H$55</f>
        <v>0.43089108287225386</v>
      </c>
      <c r="F56" s="26">
        <f>G56/$H$55</f>
        <v>1.1351253099202807</v>
      </c>
      <c r="G56" s="46">
        <f t="array" ref="G56:I56">LINEST(F$31:F$39,$G$31:$I$39,FALSE)</f>
        <v>17.391733545616436</v>
      </c>
      <c r="H56" s="46">
        <v>6.601863983653633</v>
      </c>
      <c r="I56" s="46">
        <v>-8.3295295834393439</v>
      </c>
      <c r="J56" s="98"/>
      <c r="M56" s="46">
        <f t="shared" si="0"/>
        <v>34.345339868006825</v>
      </c>
      <c r="N56" s="46">
        <f t="shared" si="5"/>
        <v>53</v>
      </c>
      <c r="O56" s="50">
        <f t="shared" si="1"/>
        <v>11.63520699947928</v>
      </c>
      <c r="P56" s="50">
        <f t="shared" si="2"/>
        <v>45.980546867486105</v>
      </c>
      <c r="Q56" s="50">
        <f t="shared" si="3"/>
        <v>44.364243984592818</v>
      </c>
    </row>
    <row r="57" spans="1:24">
      <c r="M57" s="46">
        <f t="shared" si="0"/>
        <v>36.565648335282049</v>
      </c>
      <c r="N57" s="46">
        <f t="shared" si="5"/>
        <v>54</v>
      </c>
      <c r="O57" s="50">
        <f t="shared" si="1"/>
        <v>9.3095236628456917</v>
      </c>
      <c r="P57" s="50">
        <f t="shared" si="2"/>
        <v>45.87517199812774</v>
      </c>
      <c r="Q57" s="50">
        <f t="shared" si="3"/>
        <v>44.028504488388208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38.785956802557266</v>
      </c>
      <c r="N58" s="46">
        <f t="shared" si="5"/>
        <v>55</v>
      </c>
      <c r="O58" s="50">
        <f t="shared" si="1"/>
        <v>6.9838403262121034</v>
      </c>
      <c r="P58" s="50">
        <f t="shared" si="2"/>
        <v>45.769797128769369</v>
      </c>
      <c r="Q58" s="50">
        <f t="shared" si="3"/>
        <v>43.692764992183598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41.006265269832497</v>
      </c>
      <c r="N59" s="46">
        <f t="shared" si="5"/>
        <v>56</v>
      </c>
      <c r="O59" s="50">
        <f t="shared" si="1"/>
        <v>4.6581569895785151</v>
      </c>
      <c r="P59" s="50">
        <f t="shared" si="2"/>
        <v>45.664422259411012</v>
      </c>
      <c r="Q59" s="50">
        <f t="shared" si="3"/>
        <v>43.357025495978988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514.85</v>
      </c>
      <c r="E60" s="32">
        <f t="shared" ref="E60:E68" si="37">getCCTfromXY(D22/SUM(D22:F22),E22/SUM(D22:F22))</f>
        <v>2864</v>
      </c>
      <c r="F60" s="31">
        <f t="shared" ref="F60:F68" si="38">V60</f>
        <v>525.00536849923844</v>
      </c>
      <c r="G60" s="32">
        <f t="shared" ref="G60:G68" si="39">getCCTfromXY(U60/X60,V60/X60)</f>
        <v>2911</v>
      </c>
      <c r="H60" s="33">
        <f>F60/D60-1</f>
        <v>1.9724907253060975E-2</v>
      </c>
      <c r="I60" s="34">
        <f t="shared" ref="I60:I68" si="40">G60/E60-1</f>
        <v>1.64106145251397E-2</v>
      </c>
      <c r="M60" s="46">
        <f t="shared" si="0"/>
        <v>43.226573737107728</v>
      </c>
      <c r="N60" s="46">
        <f t="shared" si="5"/>
        <v>57</v>
      </c>
      <c r="O60" s="50">
        <f t="shared" si="1"/>
        <v>2.3324736529449126</v>
      </c>
      <c r="P60" s="50">
        <f t="shared" si="2"/>
        <v>45.55904739005264</v>
      </c>
      <c r="Q60" s="50">
        <f t="shared" si="3"/>
        <v>43.021285999774378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564.66263950016366</v>
      </c>
      <c r="V60" s="50">
        <f>$J$54*$J$31*($D$55*G22+$E$55*H22+$F$55*I22)</f>
        <v>525.00536849923844</v>
      </c>
      <c r="W60" s="50">
        <f>$J$54*$J$31*($D$56*G22+$E$56*H22+$F$56*I22)</f>
        <v>165.01393741498046</v>
      </c>
      <c r="X60" s="29">
        <f>SUM(U60:W60)</f>
        <v>1254.6819454143827</v>
      </c>
    </row>
    <row r="61" spans="1:24">
      <c r="A61" s="87"/>
      <c r="B61" s="48" t="str">
        <f t="shared" si="35"/>
        <v>CWF</v>
      </c>
      <c r="C61" s="93"/>
      <c r="D61" s="31">
        <f t="shared" si="36"/>
        <v>1208</v>
      </c>
      <c r="E61" s="32">
        <f t="shared" si="37"/>
        <v>3859</v>
      </c>
      <c r="F61" s="31">
        <f t="shared" si="38"/>
        <v>1175.9494601241138</v>
      </c>
      <c r="G61" s="32">
        <f t="shared" si="39"/>
        <v>3946</v>
      </c>
      <c r="H61" s="33">
        <f t="shared" ref="H61:H68" si="41">F61/D61-1</f>
        <v>-2.653190387076676E-2</v>
      </c>
      <c r="I61" s="34">
        <f t="shared" si="40"/>
        <v>2.2544700699663078E-2</v>
      </c>
      <c r="M61" s="46">
        <f t="shared" si="0"/>
        <v>45.446882204382938</v>
      </c>
      <c r="N61" s="46">
        <f t="shared" si="5"/>
        <v>58</v>
      </c>
      <c r="O61" s="50">
        <f t="shared" si="1"/>
        <v>6.790316311338529E-3</v>
      </c>
      <c r="P61" s="50">
        <f t="shared" si="2"/>
        <v>45.453672520694276</v>
      </c>
      <c r="Q61" s="50">
        <f t="shared" si="3"/>
        <v>42.685546503569761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1160.5902882104779</v>
      </c>
      <c r="V61" s="50">
        <f>$J$54*$J$31*($D$55*G23+$E$55*H23+$F$55*I23)</f>
        <v>1175.9494601241138</v>
      </c>
      <c r="W61" s="50">
        <f>$J$54*$J$31*($D$56*G23+$E$56*H23+$F$56*I23)</f>
        <v>653.98722749662693</v>
      </c>
      <c r="X61" s="29">
        <f t="shared" ref="X61:X68" si="43">SUM(U61:W61)</f>
        <v>2990.5269758312184</v>
      </c>
    </row>
    <row r="62" spans="1:24">
      <c r="A62" s="87"/>
      <c r="B62" s="48" t="str">
        <f t="shared" si="35"/>
        <v>D65</v>
      </c>
      <c r="C62" s="93"/>
      <c r="D62" s="31">
        <f t="shared" si="36"/>
        <v>578.4</v>
      </c>
      <c r="E62" s="32">
        <f t="shared" si="37"/>
        <v>6300</v>
      </c>
      <c r="F62" s="31">
        <f t="shared" si="38"/>
        <v>592.55197632301531</v>
      </c>
      <c r="G62" s="32">
        <f t="shared" si="39"/>
        <v>6156</v>
      </c>
      <c r="H62" s="33">
        <f t="shared" si="41"/>
        <v>2.4467455606872912E-2</v>
      </c>
      <c r="I62" s="34">
        <f t="shared" si="40"/>
        <v>-2.2857142857142909E-2</v>
      </c>
      <c r="M62" s="46">
        <f t="shared" si="0"/>
        <v>47.667190671658176</v>
      </c>
      <c r="N62" s="46">
        <f t="shared" si="5"/>
        <v>59</v>
      </c>
      <c r="O62" s="50">
        <f t="shared" si="1"/>
        <v>-2.318893020322264</v>
      </c>
      <c r="P62" s="50">
        <f t="shared" si="2"/>
        <v>45.348297651335912</v>
      </c>
      <c r="Q62" s="50">
        <f t="shared" si="3"/>
        <v>42.349807007365143</v>
      </c>
      <c r="R62" s="78"/>
      <c r="S62" s="46" t="str">
        <f t="shared" si="42"/>
        <v>D65</v>
      </c>
      <c r="T62" s="79"/>
      <c r="U62" s="50">
        <f>$J$54*$J$31*($D$54*G24+$E$54*H24+$F$54*I24)</f>
        <v>527.14495143303304</v>
      </c>
      <c r="V62" s="50">
        <f>$J$54*$J$31*($D$55*G24+$E$55*H24+$F$55*I24)</f>
        <v>592.55197632301531</v>
      </c>
      <c r="W62" s="50">
        <f>$J$54*$J$31*($D$56*G24+$E$56*H24+$F$56*I24)</f>
        <v>533.05412389718185</v>
      </c>
      <c r="X62" s="29">
        <f t="shared" si="43"/>
        <v>1652.7510516532302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514.85</v>
      </c>
      <c r="E63" s="32">
        <f t="shared" si="37"/>
        <v>2864</v>
      </c>
      <c r="F63" s="31">
        <f t="shared" si="38"/>
        <v>534.97124173454279</v>
      </c>
      <c r="G63" s="32">
        <f t="shared" si="39"/>
        <v>3057</v>
      </c>
      <c r="H63" s="33">
        <f t="shared" si="41"/>
        <v>3.9081755335617752E-2</v>
      </c>
      <c r="I63" s="34">
        <f t="shared" si="40"/>
        <v>6.7388268156424624E-2</v>
      </c>
      <c r="M63" s="46">
        <f t="shared" si="0"/>
        <v>49.887499138933414</v>
      </c>
      <c r="N63" s="46">
        <f t="shared" si="5"/>
        <v>60</v>
      </c>
      <c r="O63" s="50">
        <f t="shared" si="1"/>
        <v>-4.6445763569558665</v>
      </c>
      <c r="P63" s="50">
        <f t="shared" si="2"/>
        <v>45.242922781977548</v>
      </c>
      <c r="Q63" s="50">
        <f t="shared" si="3"/>
        <v>42.014067511160533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567.8407974435346</v>
      </c>
      <c r="V63" s="50">
        <f>$J$54*$J$34*($D$55*G25+$E$55*H25+$F$55*I25)</f>
        <v>534.97124173454279</v>
      </c>
      <c r="W63" s="50">
        <f>$J$54*$J$34*($D$56*G25+$E$56*H25+$F$56*I25)</f>
        <v>192.77379962807299</v>
      </c>
      <c r="X63" s="29">
        <f t="shared" si="43"/>
        <v>1295.5858388061504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1208</v>
      </c>
      <c r="E64" s="32">
        <f t="shared" si="37"/>
        <v>3859</v>
      </c>
      <c r="F64" s="31">
        <f t="shared" si="38"/>
        <v>1164.1569781540366</v>
      </c>
      <c r="G64" s="32">
        <f t="shared" si="39"/>
        <v>3987</v>
      </c>
      <c r="H64" s="33">
        <f t="shared" si="41"/>
        <v>-3.6293892256592297E-2</v>
      </c>
      <c r="I64" s="34">
        <f t="shared" si="40"/>
        <v>3.316921482249291E-2</v>
      </c>
      <c r="M64" s="46">
        <f t="shared" si="0"/>
        <v>52.107807606208624</v>
      </c>
      <c r="N64" s="46">
        <f t="shared" si="5"/>
        <v>61</v>
      </c>
      <c r="O64" s="50">
        <f t="shared" si="1"/>
        <v>-6.9702596935894405</v>
      </c>
      <c r="P64" s="50">
        <f t="shared" si="2"/>
        <v>45.137547912619183</v>
      </c>
      <c r="Q64" s="50">
        <f t="shared" si="3"/>
        <v>41.678328014955923</v>
      </c>
      <c r="R64" s="78"/>
      <c r="S64" s="46" t="str">
        <f t="shared" si="42"/>
        <v>CWF</v>
      </c>
      <c r="T64" s="79"/>
      <c r="U64" s="50">
        <f>$J$54*$J$34*($D$54*G26+$E$54*H26+$F$54*I26)</f>
        <v>1146.2209418466639</v>
      </c>
      <c r="V64" s="50">
        <f>$J$54*$J$34*($D$55*G26+$E$55*H26+$F$55*I26)</f>
        <v>1164.1569781540366</v>
      </c>
      <c r="W64" s="50">
        <f>$J$54*$J$34*($D$56*G26+$E$56*H26+$F$56*I26)</f>
        <v>657.55944286289866</v>
      </c>
      <c r="X64" s="29">
        <f t="shared" si="43"/>
        <v>2967.937362863599</v>
      </c>
    </row>
    <row r="65" spans="1:24">
      <c r="A65" s="87"/>
      <c r="B65" s="48" t="str">
        <f t="shared" si="35"/>
        <v>D65</v>
      </c>
      <c r="C65" s="93"/>
      <c r="D65" s="31">
        <f t="shared" si="36"/>
        <v>578.4</v>
      </c>
      <c r="E65" s="32">
        <f t="shared" si="37"/>
        <v>6300</v>
      </c>
      <c r="F65" s="31">
        <f t="shared" si="38"/>
        <v>599.88758257032873</v>
      </c>
      <c r="G65" s="32">
        <f t="shared" si="39"/>
        <v>6169</v>
      </c>
      <c r="H65" s="33">
        <f t="shared" si="41"/>
        <v>3.7150039022006753E-2</v>
      </c>
      <c r="I65" s="34">
        <f t="shared" si="40"/>
        <v>-2.0793650793650809E-2</v>
      </c>
      <c r="M65" s="46">
        <f t="shared" si="0"/>
        <v>54.328116073483862</v>
      </c>
      <c r="N65" s="46">
        <f t="shared" si="5"/>
        <v>62</v>
      </c>
      <c r="O65" s="50">
        <f t="shared" si="1"/>
        <v>-9.295943030223043</v>
      </c>
      <c r="P65" s="50">
        <f t="shared" si="2"/>
        <v>45.032173043260819</v>
      </c>
      <c r="Q65" s="50">
        <f t="shared" si="3"/>
        <v>41.342588518751313</v>
      </c>
      <c r="R65" s="78"/>
      <c r="S65" s="46" t="str">
        <f t="shared" si="42"/>
        <v>D65</v>
      </c>
      <c r="T65" s="79"/>
      <c r="U65" s="50">
        <f>$J$54*$J$34*($D$54*G27+$E$54*H27+$F$54*I27)</f>
        <v>533.40536571123073</v>
      </c>
      <c r="V65" s="50">
        <f>$J$54*$J$34*($D$55*G27+$E$55*H27+$F$55*I27)</f>
        <v>599.88758257032873</v>
      </c>
      <c r="W65" s="50">
        <f>$J$54*$J$34*($D$56*G27+$E$56*H27+$F$56*I27)</f>
        <v>540.64880755229444</v>
      </c>
      <c r="X65" s="29">
        <f t="shared" si="43"/>
        <v>1673.9417558338537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514.85</v>
      </c>
      <c r="E66" s="32">
        <f t="shared" si="37"/>
        <v>2864</v>
      </c>
      <c r="F66" s="31">
        <f t="shared" si="38"/>
        <v>490.29654049643568</v>
      </c>
      <c r="G66" s="32">
        <f t="shared" si="39"/>
        <v>2643</v>
      </c>
      <c r="H66" s="33">
        <f t="shared" si="41"/>
        <v>-4.7690510835319722E-2</v>
      </c>
      <c r="I66" s="34">
        <f t="shared" si="40"/>
        <v>-7.7164804469273762E-2</v>
      </c>
      <c r="M66" s="46">
        <f t="shared" si="0"/>
        <v>56.548424540759072</v>
      </c>
      <c r="N66" s="46">
        <f t="shared" si="5"/>
        <v>63</v>
      </c>
      <c r="O66" s="50">
        <f t="shared" si="1"/>
        <v>-11.621626366856617</v>
      </c>
      <c r="P66" s="50">
        <f t="shared" si="2"/>
        <v>44.926798173902455</v>
      </c>
      <c r="Q66" s="50">
        <f t="shared" si="3"/>
        <v>41.006849022546703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541.8688995547958</v>
      </c>
      <c r="V66" s="50">
        <f>$J$54*$J$37*($D$55*G28+$E$55*H28+$F$55*I28)</f>
        <v>490.29654049643568</v>
      </c>
      <c r="W66" s="50">
        <f>$J$54*$J$37*($D$56*G28+$E$56*H28+$F$56*I28)</f>
        <v>107.24641463331695</v>
      </c>
      <c r="X66" s="29">
        <f t="shared" si="43"/>
        <v>1139.4118546845486</v>
      </c>
    </row>
    <row r="67" spans="1:24">
      <c r="A67" s="87"/>
      <c r="B67" s="48" t="str">
        <f t="shared" si="35"/>
        <v>CWF</v>
      </c>
      <c r="C67" s="93"/>
      <c r="D67" s="31">
        <f t="shared" si="36"/>
        <v>1208</v>
      </c>
      <c r="E67" s="32">
        <f t="shared" si="37"/>
        <v>3859</v>
      </c>
      <c r="F67" s="31">
        <f t="shared" si="38"/>
        <v>1266.8487937293578</v>
      </c>
      <c r="G67" s="32">
        <f t="shared" si="39"/>
        <v>3719</v>
      </c>
      <c r="H67" s="33">
        <f t="shared" si="41"/>
        <v>4.8715888848806177E-2</v>
      </c>
      <c r="I67" s="34">
        <f t="shared" si="40"/>
        <v>-3.627882871210153E-2</v>
      </c>
      <c r="R67" s="78"/>
      <c r="S67" s="46" t="str">
        <f t="shared" si="42"/>
        <v>CWF</v>
      </c>
      <c r="T67" s="79"/>
      <c r="U67" s="50">
        <f>$J$54*$J$37*($D$54*G29+$E$54*H29+$F$54*I29)</f>
        <v>1267.8494278015469</v>
      </c>
      <c r="V67" s="50">
        <f>$J$54*$J$37*($D$55*G29+$E$55*H29+$F$55*I29)</f>
        <v>1266.8487937293578</v>
      </c>
      <c r="W67" s="50">
        <f>$J$54*$J$37*($D$56*G29+$E$56*H29+$F$56*I29)</f>
        <v>640.52919432641477</v>
      </c>
      <c r="X67" s="29">
        <f t="shared" si="43"/>
        <v>3175.2274158573191</v>
      </c>
    </row>
    <row r="68" spans="1:24">
      <c r="A68" s="87"/>
      <c r="B68" s="48" t="str">
        <f t="shared" si="35"/>
        <v>D65</v>
      </c>
      <c r="C68" s="93"/>
      <c r="D68" s="31">
        <f t="shared" si="36"/>
        <v>578.4</v>
      </c>
      <c r="E68" s="32">
        <f t="shared" si="37"/>
        <v>6300</v>
      </c>
      <c r="F68" s="31">
        <f t="shared" si="38"/>
        <v>558.42247980581794</v>
      </c>
      <c r="G68" s="32">
        <f t="shared" si="39"/>
        <v>6120</v>
      </c>
      <c r="H68" s="33">
        <f t="shared" si="41"/>
        <v>-3.4539281110273268E-2</v>
      </c>
      <c r="I68" s="34">
        <f t="shared" si="40"/>
        <v>-2.8571428571428581E-2</v>
      </c>
      <c r="R68" s="78"/>
      <c r="S68" s="46" t="str">
        <f t="shared" si="42"/>
        <v>D65</v>
      </c>
      <c r="T68" s="79"/>
      <c r="U68" s="50">
        <f>$J$54*$J$37*($D$54*G30+$E$54*H30+$F$54*I30)</f>
        <v>497.41269274744957</v>
      </c>
      <c r="V68" s="50">
        <f>$J$54*$J$37*($D$55*G30+$E$55*H30+$F$55*I30)</f>
        <v>558.42247980581794</v>
      </c>
      <c r="W68" s="50">
        <f>$J$54*$J$37*($D$56*G30+$E$56*H30+$F$56*I30)</f>
        <v>499.89657903914991</v>
      </c>
      <c r="X68" s="29">
        <f t="shared" si="43"/>
        <v>1555.7317515924174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4.8715888848806177E-2</v>
      </c>
      <c r="G69" s="47"/>
      <c r="H69" s="36" t="str">
        <f>I59</f>
        <v>CCT</v>
      </c>
      <c r="I69" s="38">
        <f>MAX(MAX(I60:I68,-MIN(I60:I68)))</f>
        <v>7.7164804469273762E-2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514.85</v>
      </c>
      <c r="E72" s="31">
        <f t="shared" ref="E72:E80" si="47">E60</f>
        <v>2864</v>
      </c>
      <c r="F72" s="31">
        <f t="shared" ref="F72:F80" si="48">V72</f>
        <v>534.42318737225514</v>
      </c>
      <c r="G72" s="32">
        <f t="shared" ref="G72:G80" si="49">getCCTfromXY(U72/X72,V72/X72)</f>
        <v>2929</v>
      </c>
      <c r="H72" s="33">
        <f>F72/D72-1</f>
        <v>3.8017262061289969E-2</v>
      </c>
      <c r="I72" s="34">
        <f t="shared" ref="I72:I80" si="50">G72/E72-1</f>
        <v>2.2695530726257074E-2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573.84040838258761</v>
      </c>
      <c r="V72" s="50">
        <f>$J$51*$J$31*($D$52*G22+$E$52*H22+$F$52*I22)</f>
        <v>534.42318737225514</v>
      </c>
      <c r="W72" s="50">
        <f>$J$51*$J$31*($D$53*G22+$E$53*H22+$F$53*I22)</f>
        <v>171.1442751658804</v>
      </c>
      <c r="X72" s="29">
        <f>SUM(U72:W72)</f>
        <v>1279.4078709207231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1208</v>
      </c>
      <c r="E73" s="31">
        <f t="shared" si="47"/>
        <v>3859</v>
      </c>
      <c r="F73" s="31">
        <f t="shared" si="48"/>
        <v>1201.2221370848167</v>
      </c>
      <c r="G73" s="32">
        <f t="shared" si="49"/>
        <v>3938</v>
      </c>
      <c r="H73" s="33">
        <f t="shared" ref="H73:H80" si="52">F73/D73-1</f>
        <v>-5.6108136715092849E-3</v>
      </c>
      <c r="I73" s="34">
        <f t="shared" si="50"/>
        <v>2.0471624773257258E-2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1186.0731093951615</v>
      </c>
      <c r="V73" s="50">
        <f t="shared" ref="V73:V74" si="55">$J$51*$J$31*($D$52*G23+$E$52*H23+$F$52*I23)</f>
        <v>1201.2221370848167</v>
      </c>
      <c r="W73" s="50">
        <f t="shared" ref="W73:W74" si="56">$J$51*$J$31*($D$53*G23+$E$53*H23+$F$53*I23)</f>
        <v>665.99695503356838</v>
      </c>
      <c r="X73" s="29">
        <f t="shared" ref="X73:X80" si="57">SUM(U73:W73)</f>
        <v>3053.2922015135464</v>
      </c>
    </row>
    <row r="74" spans="1:24">
      <c r="A74" s="87"/>
      <c r="B74" s="48" t="str">
        <f t="shared" si="46"/>
        <v>X</v>
      </c>
      <c r="C74" s="93"/>
      <c r="D74" s="31">
        <f t="shared" si="51"/>
        <v>578.4</v>
      </c>
      <c r="E74" s="31">
        <f t="shared" si="47"/>
        <v>6300</v>
      </c>
      <c r="F74" s="31">
        <f t="shared" si="48"/>
        <v>598.63406134204388</v>
      </c>
      <c r="G74" s="32">
        <f t="shared" si="49"/>
        <v>6308</v>
      </c>
      <c r="H74" s="33">
        <f t="shared" si="52"/>
        <v>3.4982816981403708E-2</v>
      </c>
      <c r="I74" s="34">
        <f t="shared" si="50"/>
        <v>1.2698412698413097E-3</v>
      </c>
      <c r="R74" s="78"/>
      <c r="S74" s="46" t="str">
        <f t="shared" si="53"/>
        <v>D65</v>
      </c>
      <c r="T74" s="79"/>
      <c r="U74" s="50">
        <f t="shared" si="54"/>
        <v>529.5616539678814</v>
      </c>
      <c r="V74" s="50">
        <f t="shared" si="55"/>
        <v>598.63406134204388</v>
      </c>
      <c r="W74" s="50">
        <f t="shared" si="56"/>
        <v>549.16568463387762</v>
      </c>
      <c r="X74" s="29">
        <f t="shared" si="57"/>
        <v>1677.3613999438028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514.85</v>
      </c>
      <c r="E75" s="31">
        <f t="shared" si="47"/>
        <v>2864</v>
      </c>
      <c r="F75" s="31">
        <f t="shared" si="48"/>
        <v>544.08362027412829</v>
      </c>
      <c r="G75" s="32">
        <f t="shared" si="49"/>
        <v>3080</v>
      </c>
      <c r="H75" s="33">
        <f t="shared" si="52"/>
        <v>5.6780849323353033E-2</v>
      </c>
      <c r="I75" s="34">
        <f t="shared" si="50"/>
        <v>7.5418994413407825E-2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576.39548871594934</v>
      </c>
      <c r="V75" s="50">
        <f>$J$51*$J$34*($D$52*G25+$E$52*H25+$F$52*I25)</f>
        <v>544.08362027412829</v>
      </c>
      <c r="W75" s="50">
        <f>$J$51*$J$34*($D$53*G25+$E$53*H25+$F$53*I25)</f>
        <v>199.86216384929622</v>
      </c>
      <c r="X75" s="29">
        <f t="shared" si="57"/>
        <v>1320.3412728393739</v>
      </c>
    </row>
    <row r="76" spans="1:24">
      <c r="A76" s="87"/>
      <c r="B76" s="48" t="str">
        <f t="shared" si="46"/>
        <v>Z</v>
      </c>
      <c r="C76" s="93"/>
      <c r="D76" s="31">
        <f t="shared" si="51"/>
        <v>1208</v>
      </c>
      <c r="E76" s="31">
        <f t="shared" si="47"/>
        <v>3859</v>
      </c>
      <c r="F76" s="31">
        <f t="shared" si="48"/>
        <v>1188.7653590652797</v>
      </c>
      <c r="G76" s="32">
        <f t="shared" si="49"/>
        <v>3981</v>
      </c>
      <c r="H76" s="33">
        <f t="shared" si="52"/>
        <v>-1.5922716005563164E-2</v>
      </c>
      <c r="I76" s="34">
        <f t="shared" si="50"/>
        <v>3.1614407877688544E-2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1170.8140362665197</v>
      </c>
      <c r="V76" s="50">
        <f t="shared" ref="V76:V77" si="59">$J$51*$J$34*($D$52*G26+$E$52*H26+$F$52*I26)</f>
        <v>1188.7653590652797</v>
      </c>
      <c r="W76" s="50">
        <f t="shared" ref="W76:W77" si="60">$J$51*$J$34*($D$53*G26+$E$53*H26+$F$53*I26)</f>
        <v>670.04283901675808</v>
      </c>
      <c r="X76" s="29">
        <f t="shared" si="57"/>
        <v>3029.6222343485574</v>
      </c>
    </row>
    <row r="77" spans="1:24">
      <c r="A77" s="87"/>
      <c r="B77" s="48" t="str">
        <f t="shared" si="46"/>
        <v>X</v>
      </c>
      <c r="C77" s="93"/>
      <c r="D77" s="31">
        <f t="shared" si="51"/>
        <v>578.4</v>
      </c>
      <c r="E77" s="31">
        <f t="shared" si="47"/>
        <v>6300</v>
      </c>
      <c r="F77" s="31">
        <f t="shared" si="48"/>
        <v>606.00291261017151</v>
      </c>
      <c r="G77" s="32">
        <f t="shared" si="49"/>
        <v>6323</v>
      </c>
      <c r="H77" s="33">
        <f t="shared" si="52"/>
        <v>4.7722877956728027E-2</v>
      </c>
      <c r="I77" s="34">
        <f t="shared" si="50"/>
        <v>3.6507936507936822E-3</v>
      </c>
      <c r="R77" s="78"/>
      <c r="S77" s="46" t="str">
        <f t="shared" si="53"/>
        <v>D65</v>
      </c>
      <c r="T77" s="79"/>
      <c r="U77" s="50">
        <f t="shared" si="58"/>
        <v>535.78724287635941</v>
      </c>
      <c r="V77" s="50">
        <f t="shared" si="59"/>
        <v>606.00291261017151</v>
      </c>
      <c r="W77" s="50">
        <f t="shared" si="60"/>
        <v>557.02016856165426</v>
      </c>
      <c r="X77" s="29">
        <f t="shared" si="57"/>
        <v>1698.8103240481851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514.85</v>
      </c>
      <c r="E78" s="31">
        <f t="shared" si="47"/>
        <v>2864</v>
      </c>
      <c r="F78" s="31">
        <f t="shared" si="48"/>
        <v>499.90475080068057</v>
      </c>
      <c r="G78" s="32">
        <f t="shared" si="49"/>
        <v>2654</v>
      </c>
      <c r="H78" s="33">
        <f t="shared" si="52"/>
        <v>-2.9028356218936513E-2</v>
      </c>
      <c r="I78" s="34">
        <f t="shared" si="50"/>
        <v>-7.33240223463687E-2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551.80026000901341</v>
      </c>
      <c r="V78" s="50">
        <f>$J$51*$J$37*($D$52*G28+$E$52*H28+$F$52*I28)</f>
        <v>499.90475080068057</v>
      </c>
      <c r="W78" s="50">
        <f>$J$51*$J$37*($D$53*G28+$E$53*H28+$F$53*I28)</f>
        <v>111.4968716218402</v>
      </c>
      <c r="X78" s="29">
        <f t="shared" si="57"/>
        <v>1163.2018824315342</v>
      </c>
    </row>
    <row r="79" spans="1:24">
      <c r="A79" s="87"/>
      <c r="B79" s="48" t="str">
        <f t="shared" si="46"/>
        <v>Z</v>
      </c>
      <c r="C79" s="93"/>
      <c r="D79" s="31">
        <f t="shared" si="51"/>
        <v>1208</v>
      </c>
      <c r="E79" s="31">
        <f t="shared" si="47"/>
        <v>3859</v>
      </c>
      <c r="F79" s="31">
        <f t="shared" si="48"/>
        <v>1296.5046477845287</v>
      </c>
      <c r="G79" s="32">
        <f t="shared" si="49"/>
        <v>3701</v>
      </c>
      <c r="H79" s="33">
        <f t="shared" si="52"/>
        <v>7.3265436907722359E-2</v>
      </c>
      <c r="I79" s="34">
        <f t="shared" si="50"/>
        <v>-4.0943249546514626E-2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1299.0684328688769</v>
      </c>
      <c r="V79" s="50">
        <f t="shared" ref="V79:V80" si="62">$J$51*$J$37*($D$52*G29+$E$52*H29+$F$52*I29)</f>
        <v>1296.5046477845287</v>
      </c>
      <c r="W79" s="50">
        <f t="shared" ref="W79:W80" si="63">$J$51*$J$37*($D$53*G29+$E$53*H29+$F$53*I29)</f>
        <v>649.90825545007874</v>
      </c>
      <c r="X79" s="29">
        <f t="shared" si="57"/>
        <v>3245.4813361034844</v>
      </c>
    </row>
    <row r="80" spans="1:24">
      <c r="A80" s="87"/>
      <c r="B80" s="48" t="str">
        <f t="shared" si="46"/>
        <v>X</v>
      </c>
      <c r="C80" s="93"/>
      <c r="D80" s="31">
        <f t="shared" si="51"/>
        <v>578.4</v>
      </c>
      <c r="E80" s="31">
        <f t="shared" si="47"/>
        <v>6300</v>
      </c>
      <c r="F80" s="31">
        <f t="shared" si="48"/>
        <v>564.27198898808911</v>
      </c>
      <c r="G80" s="32">
        <f t="shared" si="49"/>
        <v>6267</v>
      </c>
      <c r="H80" s="33">
        <f t="shared" si="52"/>
        <v>-2.4426021804825115E-2</v>
      </c>
      <c r="I80" s="34">
        <f t="shared" si="50"/>
        <v>-5.2380952380952639E-3</v>
      </c>
      <c r="R80" s="78"/>
      <c r="S80" s="46" t="str">
        <f t="shared" si="53"/>
        <v>D65</v>
      </c>
      <c r="T80" s="79"/>
      <c r="U80" s="50">
        <f t="shared" si="61"/>
        <v>499.8701707210983</v>
      </c>
      <c r="V80" s="50">
        <f t="shared" si="62"/>
        <v>564.27198898808911</v>
      </c>
      <c r="W80" s="50">
        <f t="shared" si="63"/>
        <v>514.91490322612924</v>
      </c>
      <c r="X80" s="29">
        <f t="shared" si="57"/>
        <v>1579.0570629353165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7.3265436907722359E-2</v>
      </c>
      <c r="G81" s="47"/>
      <c r="H81" s="36" t="str">
        <f>I71</f>
        <v>CCT</v>
      </c>
      <c r="I81" s="38">
        <f>MAX(MAX(I72:I80,-MIN(I72:I80)))</f>
        <v>7.5418994413407825E-2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514.85</v>
      </c>
      <c r="E84" s="31">
        <f t="shared" ref="E84:E92" si="67">E72</f>
        <v>2864</v>
      </c>
      <c r="F84" s="31">
        <f t="shared" ref="F84:F92" si="68">V84</f>
        <v>514.85000000000036</v>
      </c>
      <c r="G84" s="32">
        <f t="shared" ref="G84:G92" si="69">getCCTfromXY(U84/X84,V84/X84)</f>
        <v>2864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556.25000000000034</v>
      </c>
      <c r="V84" s="50">
        <f>$J$42*$J$31*($D$43*G22+$E$43*H22+$F$43*I22)</f>
        <v>514.85000000000036</v>
      </c>
      <c r="W84" s="50">
        <f>$J$42*$J$31*($D$44*G22+$E$44*H22+$F$44*I22)</f>
        <v>154.00000000000037</v>
      </c>
      <c r="X84" s="29">
        <f>SUM(U84:W84)</f>
        <v>1225.1000000000013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1208</v>
      </c>
      <c r="E85" s="31">
        <f t="shared" si="67"/>
        <v>3859</v>
      </c>
      <c r="F85" s="31">
        <f t="shared" si="68"/>
        <v>1207.9999999999998</v>
      </c>
      <c r="G85" s="32">
        <f t="shared" si="69"/>
        <v>3859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1198.5000000000002</v>
      </c>
      <c r="V85" s="50">
        <f t="shared" ref="V85:V86" si="75">$J$42*$J$31*($D$43*G23+$E$43*H23+$F$43*I23)</f>
        <v>1207.9999999999998</v>
      </c>
      <c r="W85" s="50">
        <f t="shared" ref="W85:W86" si="76">$J$42*$J$31*($D$44*G23+$E$44*H23+$F$44*I23)</f>
        <v>649.00000000000023</v>
      </c>
      <c r="X85" s="29">
        <f t="shared" ref="X85:X92" si="77">SUM(U85:W85)</f>
        <v>3055.5</v>
      </c>
    </row>
    <row r="86" spans="1:24">
      <c r="A86" s="87"/>
      <c r="B86" s="48">
        <f t="shared" si="66"/>
        <v>0</v>
      </c>
      <c r="C86" s="93"/>
      <c r="D86" s="31">
        <f t="shared" si="71"/>
        <v>578.4</v>
      </c>
      <c r="E86" s="31">
        <f t="shared" si="67"/>
        <v>6300</v>
      </c>
      <c r="F86" s="31">
        <f t="shared" si="68"/>
        <v>578.4</v>
      </c>
      <c r="G86" s="32">
        <f t="shared" si="69"/>
        <v>6300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511.8</v>
      </c>
      <c r="V86" s="50">
        <f t="shared" si="75"/>
        <v>578.4</v>
      </c>
      <c r="W86" s="50">
        <f t="shared" si="76"/>
        <v>530.04999999999995</v>
      </c>
      <c r="X86" s="29">
        <f t="shared" si="77"/>
        <v>1620.25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514.85</v>
      </c>
      <c r="E87" s="31">
        <f t="shared" si="67"/>
        <v>2864</v>
      </c>
      <c r="F87" s="31">
        <f t="shared" si="68"/>
        <v>514.85000000000059</v>
      </c>
      <c r="G87" s="32">
        <f t="shared" si="69"/>
        <v>2864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556.25</v>
      </c>
      <c r="V87" s="50">
        <f>$J$45*$J$34*($D$46*G25+$E$46*H25+$F$46*I25)</f>
        <v>514.85000000000059</v>
      </c>
      <c r="W87" s="50">
        <f>$J$45*$J$34*($D$47*G25+$E$47*H25+$F$47*I25)</f>
        <v>154.00000000000028</v>
      </c>
      <c r="X87" s="29">
        <f t="shared" si="77"/>
        <v>1225.1000000000008</v>
      </c>
    </row>
    <row r="88" spans="1:24">
      <c r="A88" s="87"/>
      <c r="B88" s="48">
        <f t="shared" si="66"/>
        <v>0</v>
      </c>
      <c r="C88" s="93"/>
      <c r="D88" s="31">
        <f t="shared" si="71"/>
        <v>1208</v>
      </c>
      <c r="E88" s="31">
        <f t="shared" si="67"/>
        <v>3859</v>
      </c>
      <c r="F88" s="31">
        <f t="shared" si="68"/>
        <v>1208</v>
      </c>
      <c r="G88" s="32">
        <f t="shared" si="69"/>
        <v>3859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1198.5</v>
      </c>
      <c r="V88" s="50">
        <f t="shared" ref="V88:V89" si="79">$J$45*$J$34*($D$46*G26+$E$46*H26+$F$46*I26)</f>
        <v>1208</v>
      </c>
      <c r="W88" s="50">
        <f t="shared" ref="W88:W89" si="80">$J$45*$J$34*($D$47*G26+$E$47*H26+$F$47*I26)</f>
        <v>649.00000000000011</v>
      </c>
      <c r="X88" s="29">
        <f t="shared" si="77"/>
        <v>3055.5</v>
      </c>
    </row>
    <row r="89" spans="1:24">
      <c r="A89" s="87"/>
      <c r="B89" s="48" t="str">
        <f t="shared" si="66"/>
        <v>A</v>
      </c>
      <c r="C89" s="93"/>
      <c r="D89" s="31">
        <f t="shared" si="71"/>
        <v>578.4</v>
      </c>
      <c r="E89" s="31">
        <f t="shared" si="67"/>
        <v>6300</v>
      </c>
      <c r="F89" s="31">
        <f t="shared" si="68"/>
        <v>578.40000000000009</v>
      </c>
      <c r="G89" s="32">
        <f t="shared" si="69"/>
        <v>6300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511.79999999999978</v>
      </c>
      <c r="V89" s="50">
        <f t="shared" si="79"/>
        <v>578.40000000000009</v>
      </c>
      <c r="W89" s="50">
        <f t="shared" si="80"/>
        <v>530.05000000000007</v>
      </c>
      <c r="X89" s="29">
        <f t="shared" si="77"/>
        <v>1620.25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514.85</v>
      </c>
      <c r="E90" s="31">
        <f t="shared" si="67"/>
        <v>2864</v>
      </c>
      <c r="F90" s="31">
        <f t="shared" si="68"/>
        <v>514.8499999999998</v>
      </c>
      <c r="G90" s="32">
        <f t="shared" si="69"/>
        <v>2864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556.24999999999989</v>
      </c>
      <c r="V90" s="50">
        <f>$J$48*$J$37*($D$49*G28+$E$49*H28+$F$49*I28)</f>
        <v>514.8499999999998</v>
      </c>
      <c r="W90" s="50">
        <f>$J$48*$J$37*($D$50*G28+$E$50*H28+$F$50*I28)</f>
        <v>154.00000000000026</v>
      </c>
      <c r="X90" s="29">
        <f t="shared" si="77"/>
        <v>1225.0999999999999</v>
      </c>
    </row>
    <row r="91" spans="1:24">
      <c r="A91" s="87"/>
      <c r="B91" s="48" t="str">
        <f t="shared" si="66"/>
        <v>D65</v>
      </c>
      <c r="C91" s="93"/>
      <c r="D91" s="31">
        <f t="shared" si="71"/>
        <v>1208</v>
      </c>
      <c r="E91" s="31">
        <f t="shared" si="67"/>
        <v>3859</v>
      </c>
      <c r="F91" s="31">
        <f t="shared" si="68"/>
        <v>1207.9999999999998</v>
      </c>
      <c r="G91" s="32">
        <f t="shared" si="69"/>
        <v>3859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1198.4999999999998</v>
      </c>
      <c r="V91" s="50">
        <f t="shared" ref="V91:V92" si="82">$J$48*$J$37*($D$49*G29+$E$49*H29+$F$49*I29)</f>
        <v>1207.9999999999998</v>
      </c>
      <c r="W91" s="50">
        <f t="shared" ref="W91:W92" si="83">$J$48*$J$37*($D$50*G29+$E$50*H29+$F$50*I29)</f>
        <v>649.00000000000023</v>
      </c>
      <c r="X91" s="29">
        <f t="shared" si="77"/>
        <v>3055.5</v>
      </c>
    </row>
    <row r="92" spans="1:24">
      <c r="A92" s="87"/>
      <c r="B92" s="48" t="str">
        <f t="shared" si="66"/>
        <v>A</v>
      </c>
      <c r="C92" s="93"/>
      <c r="D92" s="31">
        <f t="shared" si="71"/>
        <v>578.4</v>
      </c>
      <c r="E92" s="31">
        <f t="shared" si="67"/>
        <v>6300</v>
      </c>
      <c r="F92" s="31">
        <f t="shared" si="68"/>
        <v>578.39999999999986</v>
      </c>
      <c r="G92" s="32">
        <f t="shared" si="69"/>
        <v>6300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511.7999999999999</v>
      </c>
      <c r="V92" s="50">
        <f t="shared" si="82"/>
        <v>578.39999999999986</v>
      </c>
      <c r="W92" s="50">
        <f t="shared" si="83"/>
        <v>530.05000000000007</v>
      </c>
      <c r="X92" s="29">
        <f t="shared" si="77"/>
        <v>1620.25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8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1.459702896407471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100.01029253731346</v>
      </c>
      <c r="N3" s="46">
        <v>0</v>
      </c>
      <c r="O3" s="50">
        <f>G$5-N3*G$7</f>
        <v>155.87768888888891</v>
      </c>
      <c r="P3" s="50">
        <f>H$5-N3*H$7</f>
        <v>55.867396351575451</v>
      </c>
      <c r="Q3" s="50">
        <f>I$5-N3*I$7</f>
        <v>67.78621327781633</v>
      </c>
    </row>
    <row r="4" spans="1:17">
      <c r="C4" s="46" t="s">
        <v>20</v>
      </c>
      <c r="D4" s="7">
        <v>525</v>
      </c>
      <c r="E4" s="7">
        <v>1206</v>
      </c>
      <c r="F4" s="7">
        <v>576.4</v>
      </c>
      <c r="G4" s="50">
        <f>AVERAGE(D4:F4)</f>
        <v>769.13333333333333</v>
      </c>
      <c r="H4" s="50">
        <f>G4</f>
        <v>769.13333333333333</v>
      </c>
      <c r="I4" s="50">
        <f>H4</f>
        <v>769.13333333333333</v>
      </c>
      <c r="K4" s="13" t="str">
        <f>linefmt("Compensation",B12)</f>
        <v>"Compensation",41,</v>
      </c>
      <c r="M4" s="46">
        <f t="shared" si="0"/>
        <v>97.587629094005493</v>
      </c>
      <c r="N4" s="46">
        <f>N3+1</f>
        <v>1</v>
      </c>
      <c r="O4" s="50">
        <f t="shared" ref="O4:O66" si="1">G$5-N4*G$7</f>
        <v>153.33302001380264</v>
      </c>
      <c r="P4" s="50">
        <f t="shared" ref="P4:P66" si="2">H$5-N4*H$7</f>
        <v>55.745390919797146</v>
      </c>
      <c r="Q4" s="50">
        <f t="shared" ref="Q4:Q66" si="3">I$5-N4*I$7</f>
        <v>67.409107503846968</v>
      </c>
    </row>
    <row r="5" spans="1:17">
      <c r="C5" s="46">
        <v>0</v>
      </c>
      <c r="D5" s="9">
        <v>106.4</v>
      </c>
      <c r="E5" s="9">
        <v>87.6</v>
      </c>
      <c r="F5" s="9">
        <v>50.8</v>
      </c>
      <c r="G5" s="50">
        <f>G$4/D$4*D5</f>
        <v>155.87768888888891</v>
      </c>
      <c r="H5" s="50">
        <f t="shared" ref="H5:I6" si="4">H$4/E$4*E5</f>
        <v>55.867396351575451</v>
      </c>
      <c r="I5" s="50">
        <f t="shared" si="4"/>
        <v>67.78621327781633</v>
      </c>
      <c r="K5" s="14" t="str">
        <f>linefmt("CardGain",J54)</f>
        <v>"CardGain",14.59346,</v>
      </c>
      <c r="M5" s="46">
        <f t="shared" si="0"/>
        <v>95.164965650697525</v>
      </c>
      <c r="N5" s="46">
        <f t="shared" ref="N5:N66" si="5">N4+1</f>
        <v>2</v>
      </c>
      <c r="O5" s="50">
        <f t="shared" si="1"/>
        <v>150.78835113871637</v>
      </c>
      <c r="P5" s="50">
        <f t="shared" si="2"/>
        <v>55.62338548801884</v>
      </c>
      <c r="Q5" s="50">
        <f t="shared" si="3"/>
        <v>67.032001729877607</v>
      </c>
    </row>
    <row r="6" spans="1:17">
      <c r="B6" s="50">
        <f>D5/4</f>
        <v>26.6</v>
      </c>
      <c r="C6" s="7">
        <v>46</v>
      </c>
      <c r="D6" s="9">
        <v>26.5</v>
      </c>
      <c r="E6" s="9">
        <v>78.8</v>
      </c>
      <c r="F6" s="9">
        <v>37.799999999999997</v>
      </c>
      <c r="G6" s="50">
        <f>G$4/D$4*D6</f>
        <v>38.822920634920635</v>
      </c>
      <c r="H6" s="50">
        <f t="shared" si="4"/>
        <v>50.255146489773352</v>
      </c>
      <c r="I6" s="50">
        <f t="shared" si="4"/>
        <v>50.439347675225534</v>
      </c>
      <c r="K6" s="14" t="str">
        <f>linefmt("Range",1,J34,J37)</f>
        <v>"Range",1,0.9885714,0.8705536,</v>
      </c>
      <c r="M6" s="46">
        <f t="shared" si="0"/>
        <v>92.742302207389599</v>
      </c>
      <c r="N6" s="46">
        <f t="shared" si="5"/>
        <v>3</v>
      </c>
      <c r="O6" s="50">
        <f t="shared" si="1"/>
        <v>148.24368226363012</v>
      </c>
      <c r="P6" s="50">
        <f t="shared" si="2"/>
        <v>55.501380056240528</v>
      </c>
      <c r="Q6" s="50">
        <f t="shared" si="3"/>
        <v>66.654895955908231</v>
      </c>
    </row>
    <row r="7" spans="1:17">
      <c r="C7" s="46">
        <f>C5</f>
        <v>0</v>
      </c>
      <c r="D7" s="46">
        <f t="shared" ref="D7:F8" si="6">D$4/D5</f>
        <v>4.9342105263157894</v>
      </c>
      <c r="E7" s="46">
        <f t="shared" si="6"/>
        <v>13.767123287671234</v>
      </c>
      <c r="F7" s="46">
        <f t="shared" si="6"/>
        <v>11.346456692913385</v>
      </c>
      <c r="G7" s="49">
        <f>(G5-G6)/($C6-$C5)</f>
        <v>2.5446688750862667</v>
      </c>
      <c r="H7" s="49">
        <f t="shared" ref="H7:I7" si="7">(H5-H6)/($C6-$C5)</f>
        <v>0.12200543177830649</v>
      </c>
      <c r="I7" s="49">
        <f t="shared" si="7"/>
        <v>0.37710577396936512</v>
      </c>
      <c r="K7" s="14" t="str">
        <f>linefmt("CCM" )</f>
        <v>"CCM",</v>
      </c>
      <c r="M7" s="46">
        <f t="shared" si="0"/>
        <v>90.319638764081617</v>
      </c>
      <c r="N7" s="46">
        <f t="shared" si="5"/>
        <v>4</v>
      </c>
      <c r="O7" s="50">
        <f t="shared" si="1"/>
        <v>145.69901338854385</v>
      </c>
      <c r="P7" s="50">
        <f t="shared" si="2"/>
        <v>55.379374624462223</v>
      </c>
      <c r="Q7" s="50">
        <f t="shared" si="3"/>
        <v>66.277790181938869</v>
      </c>
    </row>
    <row r="8" spans="1:17">
      <c r="C8" s="46">
        <f>C6</f>
        <v>46</v>
      </c>
      <c r="D8" s="46">
        <f t="shared" si="6"/>
        <v>19.811320754716981</v>
      </c>
      <c r="E8" s="46">
        <f t="shared" si="6"/>
        <v>15.304568527918782</v>
      </c>
      <c r="F8" s="46">
        <f t="shared" si="6"/>
        <v>15.248677248677248</v>
      </c>
      <c r="K8" s="15" t="str">
        <f>linefmt("",D54,E54,F54)</f>
        <v>0.1482432,1.026707,-0.2635685,</v>
      </c>
      <c r="M8" s="46">
        <f t="shared" si="0"/>
        <v>87.896975320773663</v>
      </c>
      <c r="N8" s="46">
        <f t="shared" si="5"/>
        <v>5</v>
      </c>
      <c r="O8" s="50">
        <f t="shared" si="1"/>
        <v>143.15434451345757</v>
      </c>
      <c r="P8" s="50">
        <f t="shared" si="2"/>
        <v>55.257369192683917</v>
      </c>
      <c r="Q8" s="50">
        <f t="shared" si="3"/>
        <v>65.900684407969507</v>
      </c>
    </row>
    <row r="9" spans="1:17">
      <c r="C9" s="46" t="s">
        <v>23</v>
      </c>
      <c r="D9" s="46">
        <f>(D8-D7)/($C8-$C7)</f>
        <v>0.32341543974785197</v>
      </c>
      <c r="E9" s="46">
        <f>(E8-E7)/($C8-$C7)</f>
        <v>3.3422722614077131E-2</v>
      </c>
      <c r="F9" s="46">
        <f>(F8-F7)/($C8-$C7)</f>
        <v>8.4830881647040501E-2</v>
      </c>
      <c r="K9" s="15" t="str">
        <f>linefmt("",D55,E55,F55)</f>
        <v>2.916585E-02,1,-1.569635E-02,</v>
      </c>
      <c r="M9" s="46">
        <f t="shared" si="0"/>
        <v>85.474311877465681</v>
      </c>
      <c r="N9" s="46">
        <f t="shared" si="5"/>
        <v>6</v>
      </c>
      <c r="O9" s="50">
        <f t="shared" si="1"/>
        <v>140.6096756383713</v>
      </c>
      <c r="P9" s="50">
        <f t="shared" si="2"/>
        <v>55.135363760905612</v>
      </c>
      <c r="Q9" s="50">
        <f t="shared" si="3"/>
        <v>65.523578634000145</v>
      </c>
    </row>
    <row r="10" spans="1:17">
      <c r="K10" s="16" t="str">
        <f>linefmt("",D56,E56,F56)</f>
        <v>-0.3793942,0.3945487,0.870231,</v>
      </c>
      <c r="M10" s="46">
        <f t="shared" si="0"/>
        <v>83.051648434157755</v>
      </c>
      <c r="N10" s="46">
        <f t="shared" si="5"/>
        <v>7</v>
      </c>
      <c r="O10" s="50">
        <f t="shared" si="1"/>
        <v>138.06500676328506</v>
      </c>
      <c r="P10" s="50">
        <f t="shared" si="2"/>
        <v>55.013358329127307</v>
      </c>
      <c r="Q10" s="50">
        <f t="shared" si="3"/>
        <v>65.146472860030769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80.628984990849773</v>
      </c>
      <c r="N11" s="46">
        <f t="shared" si="5"/>
        <v>8</v>
      </c>
      <c r="O11" s="50">
        <f t="shared" si="1"/>
        <v>135.52033788819878</v>
      </c>
      <c r="P11" s="50">
        <f t="shared" si="2"/>
        <v>54.891352897349002</v>
      </c>
      <c r="Q11" s="50">
        <f t="shared" si="3"/>
        <v>64.769367086061408</v>
      </c>
    </row>
    <row r="12" spans="1:17">
      <c r="A12" s="46" t="s">
        <v>16</v>
      </c>
      <c r="B12" s="10">
        <f>MATCH(M2,M3:M66,0)-1</f>
        <v>41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Compensation=41</v>
      </c>
      <c r="M12" s="46">
        <f t="shared" si="0"/>
        <v>78.206321547541819</v>
      </c>
      <c r="N12" s="46">
        <f t="shared" si="5"/>
        <v>9</v>
      </c>
      <c r="O12" s="50">
        <f t="shared" si="1"/>
        <v>132.97566901311251</v>
      </c>
      <c r="P12" s="50">
        <f t="shared" si="2"/>
        <v>54.769347465570689</v>
      </c>
      <c r="Q12" s="50">
        <f t="shared" si="3"/>
        <v>64.392261312092046</v>
      </c>
    </row>
    <row r="13" spans="1:17">
      <c r="A13" s="78" t="s">
        <v>12</v>
      </c>
      <c r="B13" s="79" t="s">
        <v>0</v>
      </c>
      <c r="C13" s="46">
        <v>0</v>
      </c>
      <c r="D13" s="7">
        <v>552</v>
      </c>
      <c r="E13" s="7">
        <v>510.8</v>
      </c>
      <c r="F13" s="7">
        <v>153.80000000000001</v>
      </c>
      <c r="G13" s="8">
        <v>110.9</v>
      </c>
      <c r="H13" s="8">
        <v>33.700000000000003</v>
      </c>
      <c r="I13" s="8">
        <v>51.3</v>
      </c>
      <c r="M13" s="46">
        <f t="shared" si="0"/>
        <v>75.783658104233851</v>
      </c>
      <c r="N13" s="46">
        <f t="shared" si="5"/>
        <v>10</v>
      </c>
      <c r="O13" s="50">
        <f t="shared" si="1"/>
        <v>130.43100013802623</v>
      </c>
      <c r="P13" s="50">
        <f t="shared" si="2"/>
        <v>54.647342033792384</v>
      </c>
      <c r="Q13" s="50">
        <f t="shared" si="3"/>
        <v>64.015155538122684</v>
      </c>
    </row>
    <row r="14" spans="1:17">
      <c r="A14" s="78"/>
      <c r="B14" s="79"/>
      <c r="C14" s="46">
        <f>C13+1</f>
        <v>1</v>
      </c>
      <c r="D14" s="7">
        <v>557.9</v>
      </c>
      <c r="E14" s="7">
        <v>516.29999999999995</v>
      </c>
      <c r="F14" s="7">
        <v>153.69999999999999</v>
      </c>
      <c r="G14" s="8">
        <v>108.9</v>
      </c>
      <c r="H14" s="8">
        <v>34.9</v>
      </c>
      <c r="I14" s="8">
        <v>52.6</v>
      </c>
      <c r="M14" s="46">
        <f t="shared" si="0"/>
        <v>73.360994660925897</v>
      </c>
      <c r="N14" s="46">
        <f t="shared" si="5"/>
        <v>11</v>
      </c>
      <c r="O14" s="50">
        <f t="shared" si="1"/>
        <v>127.88633126293998</v>
      </c>
      <c r="P14" s="50">
        <f t="shared" si="2"/>
        <v>54.525336602014079</v>
      </c>
      <c r="Q14" s="50">
        <f t="shared" si="3"/>
        <v>63.638049764153315</v>
      </c>
    </row>
    <row r="15" spans="1:17">
      <c r="A15" s="78"/>
      <c r="B15" s="79"/>
      <c r="C15" s="46">
        <f>C14+1</f>
        <v>2</v>
      </c>
      <c r="D15" s="6">
        <f>2*(D13-D14)/(D13+D14)</f>
        <v>-1.0631588431390173E-2</v>
      </c>
      <c r="E15" s="6">
        <f t="shared" ref="E15:F15" si="8">2*(E13-E14)/(E13+E14)</f>
        <v>-1.070976535877703E-2</v>
      </c>
      <c r="F15" s="6">
        <f t="shared" si="8"/>
        <v>6.5040650406518854E-4</v>
      </c>
      <c r="G15" s="8">
        <v>154.9</v>
      </c>
      <c r="H15" s="8">
        <v>35.200000000000003</v>
      </c>
      <c r="I15" s="8">
        <v>53.5</v>
      </c>
      <c r="M15" s="46">
        <f t="shared" si="0"/>
        <v>70.938331217617943</v>
      </c>
      <c r="N15" s="46">
        <f t="shared" si="5"/>
        <v>12</v>
      </c>
      <c r="O15" s="50">
        <f t="shared" si="1"/>
        <v>125.34166238785372</v>
      </c>
      <c r="P15" s="50">
        <f t="shared" si="2"/>
        <v>54.403331170235774</v>
      </c>
      <c r="Q15" s="50">
        <f t="shared" si="3"/>
        <v>63.260943990183947</v>
      </c>
    </row>
    <row r="16" spans="1:17">
      <c r="A16" s="78"/>
      <c r="B16" s="79" t="s">
        <v>1</v>
      </c>
      <c r="C16" s="46">
        <f>C13</f>
        <v>0</v>
      </c>
      <c r="D16" s="7">
        <v>1199</v>
      </c>
      <c r="E16" s="7">
        <v>1208</v>
      </c>
      <c r="F16" s="7">
        <v>649</v>
      </c>
      <c r="G16" s="8">
        <v>73</v>
      </c>
      <c r="H16" s="8">
        <v>79.8</v>
      </c>
      <c r="I16" s="8">
        <v>45.8</v>
      </c>
      <c r="M16" s="46">
        <f t="shared" si="0"/>
        <v>68.515667774309975</v>
      </c>
      <c r="N16" s="46">
        <f t="shared" si="5"/>
        <v>13</v>
      </c>
      <c r="O16" s="50">
        <f t="shared" si="1"/>
        <v>122.79699351276744</v>
      </c>
      <c r="P16" s="50">
        <f t="shared" si="2"/>
        <v>54.281325738457468</v>
      </c>
      <c r="Q16" s="50">
        <f t="shared" si="3"/>
        <v>62.883838216214585</v>
      </c>
    </row>
    <row r="17" spans="1:21">
      <c r="A17" s="78"/>
      <c r="B17" s="79"/>
      <c r="C17" s="46">
        <f t="shared" ref="C17:C21" si="9">C14</f>
        <v>1</v>
      </c>
      <c r="D17" s="7">
        <v>1200</v>
      </c>
      <c r="E17" s="7">
        <v>1207</v>
      </c>
      <c r="F17" s="7">
        <v>647</v>
      </c>
      <c r="G17" s="8">
        <v>73.400000000000006</v>
      </c>
      <c r="H17" s="8">
        <v>79.8</v>
      </c>
      <c r="I17" s="8">
        <v>47.2</v>
      </c>
      <c r="M17" s="46">
        <f t="shared" si="0"/>
        <v>66.093004331002007</v>
      </c>
      <c r="N17" s="46">
        <f t="shared" si="5"/>
        <v>14</v>
      </c>
      <c r="O17" s="50">
        <f t="shared" si="1"/>
        <v>120.25232463768117</v>
      </c>
      <c r="P17" s="50">
        <f t="shared" si="2"/>
        <v>54.159320306679163</v>
      </c>
      <c r="Q17" s="50">
        <f t="shared" si="3"/>
        <v>62.506732442245216</v>
      </c>
    </row>
    <row r="18" spans="1:21">
      <c r="A18" s="78"/>
      <c r="B18" s="79"/>
      <c r="C18" s="46">
        <f t="shared" si="9"/>
        <v>2</v>
      </c>
      <c r="D18" s="6">
        <f>2*(D16-D17)/(D16+D17)</f>
        <v>-8.3368070029178826E-4</v>
      </c>
      <c r="E18" s="6">
        <f t="shared" ref="E18:F18" si="10">2*(E16-E17)/(E16+E17)</f>
        <v>8.2815734989648033E-4</v>
      </c>
      <c r="F18" s="6">
        <f t="shared" si="10"/>
        <v>3.0864197530864196E-3</v>
      </c>
      <c r="G18" s="8">
        <v>71.8</v>
      </c>
      <c r="H18" s="8">
        <v>98.3</v>
      </c>
      <c r="I18" s="8">
        <v>50.5</v>
      </c>
      <c r="M18" s="46">
        <f t="shared" si="0"/>
        <v>63.67034088769406</v>
      </c>
      <c r="N18" s="46">
        <f t="shared" si="5"/>
        <v>15</v>
      </c>
      <c r="O18" s="50">
        <f t="shared" si="1"/>
        <v>117.70765576259491</v>
      </c>
      <c r="P18" s="50">
        <f t="shared" si="2"/>
        <v>54.037314874900851</v>
      </c>
      <c r="Q18" s="50">
        <f t="shared" si="3"/>
        <v>62.129626668275854</v>
      </c>
    </row>
    <row r="19" spans="1:21">
      <c r="A19" s="78"/>
      <c r="B19" s="79" t="s">
        <v>2</v>
      </c>
      <c r="C19" s="46">
        <f t="shared" si="9"/>
        <v>0</v>
      </c>
      <c r="D19" s="7">
        <v>510.4</v>
      </c>
      <c r="E19" s="7">
        <v>577.1</v>
      </c>
      <c r="F19" s="7">
        <v>529.20000000000005</v>
      </c>
      <c r="G19" s="8">
        <v>33.1</v>
      </c>
      <c r="H19" s="8">
        <v>39.200000000000003</v>
      </c>
      <c r="I19" s="8">
        <v>34.9</v>
      </c>
      <c r="M19" s="46">
        <f t="shared" si="0"/>
        <v>61.247677444386106</v>
      </c>
      <c r="N19" s="46">
        <f t="shared" si="5"/>
        <v>16</v>
      </c>
      <c r="O19" s="50">
        <f t="shared" si="1"/>
        <v>115.16298688750865</v>
      </c>
      <c r="P19" s="50">
        <f t="shared" si="2"/>
        <v>53.915309443122545</v>
      </c>
      <c r="Q19" s="50">
        <f t="shared" si="3"/>
        <v>61.752520894306485</v>
      </c>
    </row>
    <row r="20" spans="1:21">
      <c r="A20" s="78"/>
      <c r="B20" s="79"/>
      <c r="C20" s="46">
        <f t="shared" si="9"/>
        <v>1</v>
      </c>
      <c r="D20" s="7">
        <v>511.7</v>
      </c>
      <c r="E20" s="7">
        <v>578.20000000000005</v>
      </c>
      <c r="F20" s="7">
        <v>529.29999999999995</v>
      </c>
      <c r="G20" s="8">
        <v>34.200000000000003</v>
      </c>
      <c r="H20" s="8">
        <v>40.5</v>
      </c>
      <c r="I20" s="8">
        <v>36</v>
      </c>
      <c r="M20" s="46">
        <f t="shared" si="0"/>
        <v>58.825014001078138</v>
      </c>
      <c r="N20" s="46">
        <f t="shared" si="5"/>
        <v>17</v>
      </c>
      <c r="O20" s="50">
        <f t="shared" si="1"/>
        <v>112.61831801242238</v>
      </c>
      <c r="P20" s="50">
        <f t="shared" si="2"/>
        <v>53.79330401134424</v>
      </c>
      <c r="Q20" s="50">
        <f t="shared" si="3"/>
        <v>61.375415120337124</v>
      </c>
    </row>
    <row r="21" spans="1:21">
      <c r="A21" s="78"/>
      <c r="B21" s="79"/>
      <c r="C21" s="46">
        <f t="shared" si="9"/>
        <v>2</v>
      </c>
      <c r="D21" s="6">
        <f>2*(D19-D20)/(D19+D20)</f>
        <v>-2.5437824087662878E-3</v>
      </c>
      <c r="E21" s="6">
        <f t="shared" ref="E21:F21" si="11">2*(E19-E20)/(E19+E20)</f>
        <v>-1.9042672898814551E-3</v>
      </c>
      <c r="F21" s="6">
        <f t="shared" si="11"/>
        <v>-1.8894662257894955E-4</v>
      </c>
      <c r="G21" s="8">
        <v>34.1</v>
      </c>
      <c r="H21" s="8">
        <v>41.7</v>
      </c>
      <c r="I21" s="8">
        <v>36.299999999999997</v>
      </c>
      <c r="M21" s="46">
        <f t="shared" si="0"/>
        <v>56.40235055777017</v>
      </c>
      <c r="N21" s="46">
        <f t="shared" si="5"/>
        <v>18</v>
      </c>
      <c r="O21" s="50">
        <f t="shared" si="1"/>
        <v>110.0736491373361</v>
      </c>
      <c r="P21" s="50">
        <f t="shared" si="2"/>
        <v>53.671298579565935</v>
      </c>
      <c r="Q21" s="50">
        <f t="shared" si="3"/>
        <v>60.998309346367755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554.95000000000005</v>
      </c>
      <c r="E22" s="46">
        <f t="shared" ref="E22:F22" si="12">(E13+E14)/2</f>
        <v>513.54999999999995</v>
      </c>
      <c r="F22" s="46">
        <f t="shared" si="12"/>
        <v>153.75</v>
      </c>
      <c r="G22" s="5">
        <f>G13</f>
        <v>110.9</v>
      </c>
      <c r="H22" s="5">
        <f t="shared" ref="H22:I22" si="13">H13</f>
        <v>33.700000000000003</v>
      </c>
      <c r="I22" s="5">
        <f t="shared" si="13"/>
        <v>51.3</v>
      </c>
      <c r="J22" s="99">
        <f>AVERAGE(G22:I24)</f>
        <v>55.744444444444447</v>
      </c>
      <c r="M22" s="46">
        <f t="shared" si="0"/>
        <v>53.979687114462216</v>
      </c>
      <c r="N22" s="46">
        <f t="shared" si="5"/>
        <v>19</v>
      </c>
      <c r="O22" s="50">
        <f t="shared" si="1"/>
        <v>107.52898026224985</v>
      </c>
      <c r="P22" s="50">
        <f t="shared" si="2"/>
        <v>53.54929314778763</v>
      </c>
      <c r="Q22" s="50">
        <f t="shared" si="3"/>
        <v>60.621203572398393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1199.5</v>
      </c>
      <c r="E23" s="46">
        <f>(E16+E17)/2</f>
        <v>1207.5</v>
      </c>
      <c r="F23" s="46">
        <f>(F16+F17)/2</f>
        <v>648</v>
      </c>
      <c r="G23" s="5">
        <f>G16</f>
        <v>73</v>
      </c>
      <c r="H23" s="5">
        <f>H16</f>
        <v>79.8</v>
      </c>
      <c r="I23" s="5">
        <f>I16</f>
        <v>45.8</v>
      </c>
      <c r="J23" s="99"/>
      <c r="M23" s="46">
        <f t="shared" si="0"/>
        <v>51.557023671154269</v>
      </c>
      <c r="N23" s="46">
        <f t="shared" si="5"/>
        <v>20</v>
      </c>
      <c r="O23" s="50">
        <f t="shared" si="1"/>
        <v>104.98431138716359</v>
      </c>
      <c r="P23" s="50">
        <f t="shared" si="2"/>
        <v>53.427287716009317</v>
      </c>
      <c r="Q23" s="50">
        <f t="shared" si="3"/>
        <v>60.244097798429024</v>
      </c>
    </row>
    <row r="24" spans="1:21">
      <c r="A24" s="78"/>
      <c r="B24" s="46" t="str">
        <f>B19</f>
        <v>D65</v>
      </c>
      <c r="C24" s="79"/>
      <c r="D24" s="46">
        <f>(D19+D20)/2</f>
        <v>511.04999999999995</v>
      </c>
      <c r="E24" s="46">
        <f>(E19+E20)/2</f>
        <v>577.65000000000009</v>
      </c>
      <c r="F24" s="46">
        <f>(F19+F20)/2</f>
        <v>529.25</v>
      </c>
      <c r="G24" s="5">
        <f>G19</f>
        <v>33.1</v>
      </c>
      <c r="H24" s="5">
        <f>H19</f>
        <v>39.200000000000003</v>
      </c>
      <c r="I24" s="5">
        <f>I19</f>
        <v>34.9</v>
      </c>
      <c r="J24" s="99"/>
      <c r="M24" s="46">
        <f t="shared" si="0"/>
        <v>49.134360227846301</v>
      </c>
      <c r="N24" s="46">
        <f t="shared" si="5"/>
        <v>21</v>
      </c>
      <c r="O24" s="50">
        <f t="shared" si="1"/>
        <v>102.43964251207731</v>
      </c>
      <c r="P24" s="50">
        <f t="shared" si="2"/>
        <v>53.305282284231012</v>
      </c>
      <c r="Q24" s="50">
        <f t="shared" si="3"/>
        <v>59.866992024459663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554.95000000000005</v>
      </c>
      <c r="E25" s="46">
        <f t="shared" ref="E25:F25" si="15">(E13+E14)/2</f>
        <v>513.54999999999995</v>
      </c>
      <c r="F25" s="46">
        <f t="shared" si="15"/>
        <v>153.75</v>
      </c>
      <c r="G25" s="5">
        <f t="shared" ref="G25:I25" si="16">G14</f>
        <v>108.9</v>
      </c>
      <c r="H25" s="5">
        <f t="shared" si="16"/>
        <v>34.9</v>
      </c>
      <c r="I25" s="5">
        <f t="shared" si="16"/>
        <v>52.6</v>
      </c>
      <c r="J25" s="99">
        <f>AVERAGE(G25:I27)</f>
        <v>56.388888888888886</v>
      </c>
      <c r="M25" s="46">
        <f t="shared" si="0"/>
        <v>46.711696784538333</v>
      </c>
      <c r="N25" s="46">
        <f t="shared" si="5"/>
        <v>22</v>
      </c>
      <c r="O25" s="50">
        <f t="shared" si="1"/>
        <v>99.89497363699104</v>
      </c>
      <c r="P25" s="50">
        <f t="shared" si="2"/>
        <v>53.183276852452707</v>
      </c>
      <c r="Q25" s="50">
        <f t="shared" si="3"/>
        <v>59.489886250490301</v>
      </c>
    </row>
    <row r="26" spans="1:21">
      <c r="A26" s="78"/>
      <c r="B26" s="46" t="str">
        <f>B16</f>
        <v>CWF</v>
      </c>
      <c r="C26" s="79"/>
      <c r="D26" s="46">
        <f>(D16+D17)/2</f>
        <v>1199.5</v>
      </c>
      <c r="E26" s="46">
        <f>(E16+E17)/2</f>
        <v>1207.5</v>
      </c>
      <c r="F26" s="46">
        <f>(F16+F17)/2</f>
        <v>648</v>
      </c>
      <c r="G26" s="5">
        <f>G17</f>
        <v>73.400000000000006</v>
      </c>
      <c r="H26" s="5">
        <f>H17</f>
        <v>79.8</v>
      </c>
      <c r="I26" s="5">
        <f>I17</f>
        <v>47.2</v>
      </c>
      <c r="J26" s="99"/>
      <c r="M26" s="46">
        <f t="shared" si="0"/>
        <v>44.289033341230379</v>
      </c>
      <c r="N26" s="46">
        <f t="shared" si="5"/>
        <v>23</v>
      </c>
      <c r="O26" s="50">
        <f t="shared" si="1"/>
        <v>97.350304761904781</v>
      </c>
      <c r="P26" s="50">
        <f t="shared" si="2"/>
        <v>53.061271420674402</v>
      </c>
      <c r="Q26" s="50">
        <f t="shared" si="3"/>
        <v>59.112780476520932</v>
      </c>
    </row>
    <row r="27" spans="1:21">
      <c r="A27" s="78"/>
      <c r="B27" s="46" t="str">
        <f>B19</f>
        <v>D65</v>
      </c>
      <c r="C27" s="79"/>
      <c r="D27" s="46">
        <f>(D19+D20)/2</f>
        <v>511.04999999999995</v>
      </c>
      <c r="E27" s="46">
        <f>(E19+E20)/2</f>
        <v>577.65000000000009</v>
      </c>
      <c r="F27" s="46">
        <f>(F19+F20)/2</f>
        <v>529.25</v>
      </c>
      <c r="G27" s="5">
        <f>G20</f>
        <v>34.200000000000003</v>
      </c>
      <c r="H27" s="5">
        <f>H20</f>
        <v>40.5</v>
      </c>
      <c r="I27" s="5">
        <f>I20</f>
        <v>36</v>
      </c>
      <c r="J27" s="99"/>
      <c r="M27" s="46">
        <f t="shared" si="0"/>
        <v>41.866369897922411</v>
      </c>
      <c r="N27" s="46">
        <f t="shared" si="5"/>
        <v>24</v>
      </c>
      <c r="O27" s="50">
        <f t="shared" si="1"/>
        <v>94.805635886818507</v>
      </c>
      <c r="P27" s="50">
        <f t="shared" si="2"/>
        <v>52.939265988896096</v>
      </c>
      <c r="Q27" s="50">
        <f t="shared" si="3"/>
        <v>58.735674702551563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554.95000000000005</v>
      </c>
      <c r="E28" s="46">
        <f t="shared" ref="E28:F28" si="17">(E13+E14)/2</f>
        <v>513.54999999999995</v>
      </c>
      <c r="F28" s="46">
        <f t="shared" si="17"/>
        <v>153.75</v>
      </c>
      <c r="G28" s="5">
        <f t="shared" ref="G28:I28" si="18">G15</f>
        <v>154.9</v>
      </c>
      <c r="H28" s="5">
        <f t="shared" si="18"/>
        <v>35.200000000000003</v>
      </c>
      <c r="I28" s="5">
        <f t="shared" si="18"/>
        <v>53.5</v>
      </c>
      <c r="J28" s="99">
        <f>AVERAGE(G28:I30)</f>
        <v>64.033333333333346</v>
      </c>
      <c r="M28" s="46">
        <f t="shared" si="0"/>
        <v>39.443706454614457</v>
      </c>
      <c r="N28" s="46">
        <f t="shared" si="5"/>
        <v>25</v>
      </c>
      <c r="O28" s="50">
        <f t="shared" si="1"/>
        <v>92.260967011732248</v>
      </c>
      <c r="P28" s="50">
        <f t="shared" si="2"/>
        <v>52.817260557117791</v>
      </c>
      <c r="Q28" s="50">
        <f t="shared" si="3"/>
        <v>58.358568928582201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1199.5</v>
      </c>
      <c r="E29" s="46">
        <f t="shared" si="20"/>
        <v>1207.5</v>
      </c>
      <c r="F29" s="46">
        <f t="shared" si="20"/>
        <v>648</v>
      </c>
      <c r="G29" s="5">
        <f t="shared" ref="G29:I29" si="21">G18</f>
        <v>71.8</v>
      </c>
      <c r="H29" s="5">
        <f t="shared" si="21"/>
        <v>98.3</v>
      </c>
      <c r="I29" s="5">
        <f t="shared" si="21"/>
        <v>50.5</v>
      </c>
      <c r="J29" s="99"/>
      <c r="M29" s="46">
        <f t="shared" si="0"/>
        <v>37.021043011306489</v>
      </c>
      <c r="N29" s="46">
        <f t="shared" si="5"/>
        <v>26</v>
      </c>
      <c r="O29" s="50">
        <f t="shared" si="1"/>
        <v>89.716298136645975</v>
      </c>
      <c r="P29" s="50">
        <f t="shared" si="2"/>
        <v>52.695255125339486</v>
      </c>
      <c r="Q29" s="50">
        <f t="shared" si="3"/>
        <v>57.98146315461284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511.04999999999995</v>
      </c>
      <c r="E30" s="46">
        <f t="shared" si="23"/>
        <v>577.65000000000009</v>
      </c>
      <c r="F30" s="46">
        <f t="shared" si="23"/>
        <v>529.25</v>
      </c>
      <c r="G30" s="5">
        <f t="shared" ref="G30:I30" si="24">G21</f>
        <v>34.1</v>
      </c>
      <c r="H30" s="5">
        <f t="shared" si="24"/>
        <v>41.7</v>
      </c>
      <c r="I30" s="5">
        <f t="shared" si="24"/>
        <v>36.299999999999997</v>
      </c>
      <c r="J30" s="99"/>
      <c r="M30" s="46">
        <f t="shared" si="0"/>
        <v>34.598379567998542</v>
      </c>
      <c r="N30" s="46">
        <f t="shared" si="5"/>
        <v>27</v>
      </c>
      <c r="O30" s="50">
        <f t="shared" si="1"/>
        <v>87.171629261559715</v>
      </c>
      <c r="P30" s="50">
        <f t="shared" si="2"/>
        <v>52.573249693561174</v>
      </c>
      <c r="Q30" s="50">
        <f t="shared" si="3"/>
        <v>57.604357380643471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554.95000000000005</v>
      </c>
      <c r="E31" s="46">
        <f t="shared" si="25"/>
        <v>513.54999999999995</v>
      </c>
      <c r="F31" s="46">
        <f t="shared" si="25"/>
        <v>153.75</v>
      </c>
      <c r="G31" s="5">
        <f t="shared" ref="G31:I33" si="26">G22*$J$31</f>
        <v>110.9</v>
      </c>
      <c r="H31" s="5">
        <f t="shared" si="26"/>
        <v>33.700000000000003</v>
      </c>
      <c r="I31" s="5">
        <f t="shared" si="26"/>
        <v>51.3</v>
      </c>
      <c r="J31" s="96">
        <f>J$22/J22</f>
        <v>1</v>
      </c>
      <c r="M31" s="46">
        <f t="shared" si="0"/>
        <v>32.175716124690574</v>
      </c>
      <c r="N31" s="46">
        <f t="shared" si="5"/>
        <v>28</v>
      </c>
      <c r="O31" s="50">
        <f t="shared" si="1"/>
        <v>84.626960386473442</v>
      </c>
      <c r="P31" s="50">
        <f t="shared" si="2"/>
        <v>52.451244261782868</v>
      </c>
      <c r="Q31" s="50">
        <f t="shared" si="3"/>
        <v>57.227251606674109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1199.5</v>
      </c>
      <c r="E32" s="46">
        <f t="shared" si="27"/>
        <v>1207.5</v>
      </c>
      <c r="F32" s="46">
        <f t="shared" si="27"/>
        <v>648</v>
      </c>
      <c r="G32" s="5">
        <f t="shared" si="26"/>
        <v>73</v>
      </c>
      <c r="H32" s="5">
        <f t="shared" si="26"/>
        <v>79.8</v>
      </c>
      <c r="I32" s="5">
        <f t="shared" si="26"/>
        <v>45.8</v>
      </c>
      <c r="J32" s="96"/>
      <c r="M32" s="46">
        <f t="shared" si="0"/>
        <v>29.75305268138262</v>
      </c>
      <c r="N32" s="46">
        <f t="shared" si="5"/>
        <v>29</v>
      </c>
      <c r="O32" s="50">
        <f t="shared" si="1"/>
        <v>82.082291511387183</v>
      </c>
      <c r="P32" s="50">
        <f t="shared" si="2"/>
        <v>52.329238830004563</v>
      </c>
      <c r="Q32" s="50">
        <f t="shared" si="3"/>
        <v>56.85014583270474</v>
      </c>
    </row>
    <row r="33" spans="1:17">
      <c r="A33" s="78"/>
      <c r="B33" s="46" t="str">
        <f t="shared" si="27"/>
        <v>D65</v>
      </c>
      <c r="C33" s="79"/>
      <c r="D33" s="46">
        <f t="shared" si="27"/>
        <v>511.04999999999995</v>
      </c>
      <c r="E33" s="46">
        <f t="shared" si="27"/>
        <v>577.65000000000009</v>
      </c>
      <c r="F33" s="46">
        <f t="shared" si="27"/>
        <v>529.25</v>
      </c>
      <c r="G33" s="5">
        <f t="shared" si="26"/>
        <v>33.1</v>
      </c>
      <c r="H33" s="5">
        <f t="shared" si="26"/>
        <v>39.200000000000003</v>
      </c>
      <c r="I33" s="5">
        <f t="shared" si="26"/>
        <v>34.9</v>
      </c>
      <c r="J33" s="96"/>
      <c r="M33" s="46">
        <f t="shared" si="0"/>
        <v>27.330389238074652</v>
      </c>
      <c r="N33" s="46">
        <f t="shared" si="5"/>
        <v>30</v>
      </c>
      <c r="O33" s="50">
        <f t="shared" si="1"/>
        <v>79.53762263630091</v>
      </c>
      <c r="P33" s="50">
        <f t="shared" si="2"/>
        <v>52.207233398226258</v>
      </c>
      <c r="Q33" s="50">
        <f t="shared" si="3"/>
        <v>56.473040058735378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554.95000000000005</v>
      </c>
      <c r="E34" s="46">
        <f t="shared" si="27"/>
        <v>513.54999999999995</v>
      </c>
      <c r="F34" s="46">
        <f t="shared" si="27"/>
        <v>153.75</v>
      </c>
      <c r="G34" s="5">
        <f t="shared" ref="G34:I36" si="28">G25*$J$34</f>
        <v>107.65542857142859</v>
      </c>
      <c r="H34" s="5">
        <f t="shared" si="28"/>
        <v>34.50114285714286</v>
      </c>
      <c r="I34" s="5">
        <f t="shared" si="28"/>
        <v>51.998857142857148</v>
      </c>
      <c r="J34" s="96">
        <f>J$22/J25</f>
        <v>0.98857142857142866</v>
      </c>
      <c r="M34" s="46">
        <f t="shared" si="0"/>
        <v>24.907725794766698</v>
      </c>
      <c r="N34" s="46">
        <f t="shared" si="5"/>
        <v>31</v>
      </c>
      <c r="O34" s="50">
        <f t="shared" si="1"/>
        <v>76.99295376121465</v>
      </c>
      <c r="P34" s="50">
        <f t="shared" si="2"/>
        <v>52.085227966447952</v>
      </c>
      <c r="Q34" s="50">
        <f t="shared" si="3"/>
        <v>56.09593428476601</v>
      </c>
    </row>
    <row r="35" spans="1:17">
      <c r="A35" s="78"/>
      <c r="B35" s="46" t="str">
        <f t="shared" si="27"/>
        <v>CWF</v>
      </c>
      <c r="C35" s="79"/>
      <c r="D35" s="46">
        <f t="shared" si="27"/>
        <v>1199.5</v>
      </c>
      <c r="E35" s="46">
        <f t="shared" si="27"/>
        <v>1207.5</v>
      </c>
      <c r="F35" s="46">
        <f t="shared" si="27"/>
        <v>648</v>
      </c>
      <c r="G35" s="5">
        <f t="shared" si="28"/>
        <v>72.561142857142869</v>
      </c>
      <c r="H35" s="5">
        <f t="shared" si="28"/>
        <v>78.888000000000005</v>
      </c>
      <c r="I35" s="5">
        <f t="shared" si="28"/>
        <v>46.660571428571437</v>
      </c>
      <c r="J35" s="96"/>
      <c r="M35" s="46">
        <f t="shared" si="0"/>
        <v>22.485062351458737</v>
      </c>
      <c r="N35" s="46">
        <f t="shared" si="5"/>
        <v>32</v>
      </c>
      <c r="O35" s="50">
        <f t="shared" si="1"/>
        <v>74.448284886128377</v>
      </c>
      <c r="P35" s="50">
        <f t="shared" si="2"/>
        <v>51.96322253466964</v>
      </c>
      <c r="Q35" s="50">
        <f t="shared" si="3"/>
        <v>55.718828510796648</v>
      </c>
    </row>
    <row r="36" spans="1:17">
      <c r="A36" s="78"/>
      <c r="B36" s="46" t="str">
        <f t="shared" si="27"/>
        <v>D65</v>
      </c>
      <c r="C36" s="79"/>
      <c r="D36" s="46">
        <f t="shared" si="27"/>
        <v>511.04999999999995</v>
      </c>
      <c r="E36" s="46">
        <f t="shared" si="27"/>
        <v>577.65000000000009</v>
      </c>
      <c r="F36" s="46">
        <f t="shared" si="27"/>
        <v>529.25</v>
      </c>
      <c r="G36" s="5">
        <f t="shared" si="28"/>
        <v>33.809142857142859</v>
      </c>
      <c r="H36" s="5">
        <f t="shared" si="28"/>
        <v>40.037142857142861</v>
      </c>
      <c r="I36" s="5">
        <f t="shared" si="28"/>
        <v>35.588571428571434</v>
      </c>
      <c r="J36" s="96"/>
      <c r="M36" s="46">
        <f t="shared" si="0"/>
        <v>20.062398908150769</v>
      </c>
      <c r="N36" s="46">
        <f t="shared" si="5"/>
        <v>33</v>
      </c>
      <c r="O36" s="50">
        <f t="shared" si="1"/>
        <v>71.903616011042104</v>
      </c>
      <c r="P36" s="50">
        <f t="shared" si="2"/>
        <v>51.841217102891335</v>
      </c>
      <c r="Q36" s="50">
        <f t="shared" si="3"/>
        <v>55.341722736827279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554.95000000000005</v>
      </c>
      <c r="E37" s="46">
        <f t="shared" si="27"/>
        <v>513.54999999999995</v>
      </c>
      <c r="F37" s="46">
        <f t="shared" si="27"/>
        <v>153.75</v>
      </c>
      <c r="G37" s="5">
        <f t="shared" ref="G37:I39" si="29">G28*$J$37</f>
        <v>134.84874197466596</v>
      </c>
      <c r="H37" s="5">
        <f t="shared" si="29"/>
        <v>30.643484296373416</v>
      </c>
      <c r="I37" s="5">
        <f t="shared" si="29"/>
        <v>46.574613916362999</v>
      </c>
      <c r="J37" s="96">
        <f>J$22/J28</f>
        <v>0.87055353114697198</v>
      </c>
      <c r="K37" s="51" t="str">
        <f>CHAR(34) &amp; "EEpromVersion" &amp;CHAR(34)  &amp; ",3,"</f>
        <v>"EEpromVersion",3,</v>
      </c>
      <c r="M37" s="46">
        <f t="shared" si="0"/>
        <v>17.639735464842815</v>
      </c>
      <c r="N37" s="46">
        <f t="shared" si="5"/>
        <v>34</v>
      </c>
      <c r="O37" s="50">
        <f t="shared" si="1"/>
        <v>69.358947135955844</v>
      </c>
      <c r="P37" s="50">
        <f t="shared" si="2"/>
        <v>51.71921167111303</v>
      </c>
      <c r="Q37" s="50">
        <f t="shared" si="3"/>
        <v>54.964616962857917</v>
      </c>
    </row>
    <row r="38" spans="1:17">
      <c r="A38" s="78"/>
      <c r="B38" s="46" t="str">
        <f t="shared" si="27"/>
        <v>CWF</v>
      </c>
      <c r="C38" s="79"/>
      <c r="D38" s="46">
        <f t="shared" si="27"/>
        <v>1199.5</v>
      </c>
      <c r="E38" s="46">
        <f t="shared" si="27"/>
        <v>1207.5</v>
      </c>
      <c r="F38" s="46">
        <f t="shared" si="27"/>
        <v>648</v>
      </c>
      <c r="G38" s="5">
        <f t="shared" si="29"/>
        <v>62.505743536352583</v>
      </c>
      <c r="H38" s="5">
        <f t="shared" si="29"/>
        <v>85.57541211174734</v>
      </c>
      <c r="I38" s="5">
        <f t="shared" si="29"/>
        <v>43.962953322922083</v>
      </c>
      <c r="J38" s="96"/>
      <c r="K38" s="52" t="str">
        <f>K4</f>
        <v>"Compensation",41,</v>
      </c>
      <c r="M38" s="46">
        <f t="shared" si="0"/>
        <v>15.217072021534847</v>
      </c>
      <c r="N38" s="46">
        <f t="shared" si="5"/>
        <v>35</v>
      </c>
      <c r="O38" s="50">
        <f t="shared" si="1"/>
        <v>66.814278260869571</v>
      </c>
      <c r="P38" s="50">
        <f t="shared" si="2"/>
        <v>51.597206239334724</v>
      </c>
      <c r="Q38" s="50">
        <f t="shared" si="3"/>
        <v>54.587511188888548</v>
      </c>
    </row>
    <row r="39" spans="1:17">
      <c r="A39" s="78"/>
      <c r="B39" s="46" t="str">
        <f t="shared" si="27"/>
        <v>D65</v>
      </c>
      <c r="C39" s="79"/>
      <c r="D39" s="46">
        <f t="shared" si="27"/>
        <v>511.04999999999995</v>
      </c>
      <c r="E39" s="46">
        <f t="shared" si="27"/>
        <v>577.65000000000009</v>
      </c>
      <c r="F39" s="46">
        <f t="shared" si="27"/>
        <v>529.25</v>
      </c>
      <c r="G39" s="5">
        <f t="shared" si="29"/>
        <v>29.685875412111745</v>
      </c>
      <c r="H39" s="5">
        <f t="shared" si="29"/>
        <v>36.302082248828732</v>
      </c>
      <c r="I39" s="5">
        <f t="shared" si="29"/>
        <v>31.601093180635079</v>
      </c>
      <c r="J39" s="96"/>
      <c r="K39" s="53" t="str">
        <f>linefmt("CardGain",J42,J45,J48)</f>
        <v>"CardGain",15.32817,16.04972,11.94536,</v>
      </c>
      <c r="M39" s="46">
        <f t="shared" si="0"/>
        <v>12.794408578226893</v>
      </c>
      <c r="N39" s="46">
        <f t="shared" si="5"/>
        <v>36</v>
      </c>
      <c r="O39" s="50">
        <f t="shared" si="1"/>
        <v>64.269609385783312</v>
      </c>
      <c r="P39" s="50">
        <f t="shared" si="2"/>
        <v>51.475200807556419</v>
      </c>
      <c r="Q39" s="50">
        <f t="shared" si="3"/>
        <v>54.210405414919187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"Range",1,0.9885714,0.8705536,</v>
      </c>
      <c r="M40" s="46">
        <f t="shared" si="0"/>
        <v>10.371745134918925</v>
      </c>
      <c r="N40" s="46">
        <f t="shared" si="5"/>
        <v>37</v>
      </c>
      <c r="O40" s="50">
        <f t="shared" si="1"/>
        <v>61.724940510697039</v>
      </c>
      <c r="P40" s="50">
        <f t="shared" si="2"/>
        <v>51.353195375778114</v>
      </c>
      <c r="Q40" s="50">
        <f t="shared" si="3"/>
        <v>53.833299640949818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7.9490816916109779</v>
      </c>
      <c r="N41" s="46">
        <f t="shared" si="5"/>
        <v>38</v>
      </c>
      <c r="O41" s="50">
        <f t="shared" si="1"/>
        <v>59.180271635610779</v>
      </c>
      <c r="P41" s="50">
        <f t="shared" si="2"/>
        <v>51.231189943999802</v>
      </c>
      <c r="Q41" s="50">
        <f t="shared" si="3"/>
        <v>53.456193866980456</v>
      </c>
    </row>
    <row r="42" spans="1:17">
      <c r="A42" s="4"/>
      <c r="B42" s="46" t="s">
        <v>3</v>
      </c>
      <c r="C42" s="79">
        <f>C31</f>
        <v>0</v>
      </c>
      <c r="D42" s="46">
        <f>I42/$H$43</f>
        <v>0.1869659723087688</v>
      </c>
      <c r="E42" s="46">
        <f>H42/$H$43</f>
        <v>1.0217562294279428</v>
      </c>
      <c r="F42" s="46">
        <f>G42/$H$43</f>
        <v>-0.36965152975712134</v>
      </c>
      <c r="G42" s="46">
        <f t="array" ref="G42:I42">LINEST($D31:$D33,$G31:$I33,FALSE)</f>
        <v>-5.666080709475823</v>
      </c>
      <c r="H42" s="46">
        <v>15.661651028881984</v>
      </c>
      <c r="I42" s="46">
        <v>2.8658458135508287</v>
      </c>
      <c r="J42" s="97">
        <f>H43</f>
        <v>15.328167891523965</v>
      </c>
      <c r="K42" s="53" t="str">
        <f t="shared" ref="K42:K50" si="30">linefmt("",D42,E42,F42)</f>
        <v>0.186966,1.021756,-0.3696515,</v>
      </c>
      <c r="M42" s="46">
        <f t="shared" si="0"/>
        <v>5.5264182483030098</v>
      </c>
      <c r="N42" s="46">
        <f t="shared" si="5"/>
        <v>39</v>
      </c>
      <c r="O42" s="50">
        <f t="shared" si="1"/>
        <v>56.635602760524506</v>
      </c>
      <c r="P42" s="50">
        <f t="shared" si="2"/>
        <v>51.109184512221496</v>
      </c>
      <c r="Q42" s="50">
        <f t="shared" si="3"/>
        <v>53.079088093011094</v>
      </c>
    </row>
    <row r="43" spans="1:17">
      <c r="A43" s="4"/>
      <c r="B43" s="46" t="s">
        <v>4</v>
      </c>
      <c r="C43" s="79"/>
      <c r="D43" s="46">
        <f>I43/$H$43</f>
        <v>3.2609906301022965E-2</v>
      </c>
      <c r="E43" s="46">
        <f>H43/$H$43</f>
        <v>1</v>
      </c>
      <c r="F43" s="46">
        <f>G43/$H$43</f>
        <v>-7.4322820623821964E-2</v>
      </c>
      <c r="G43" s="46">
        <f t="array" ref="G43:I43">LINEST($E31:$E33,$G31:$I33,FALSE)</f>
        <v>-1.1392326726935629</v>
      </c>
      <c r="H43" s="46">
        <v>15.328167891523965</v>
      </c>
      <c r="I43" s="46">
        <v>0.49985011870894519</v>
      </c>
      <c r="J43" s="97"/>
      <c r="K43" s="53" t="str">
        <f t="shared" si="30"/>
        <v>3.260991E-02,1,-7.432282E-02,</v>
      </c>
      <c r="M43" s="46">
        <f t="shared" si="0"/>
        <v>3.1037548049950558</v>
      </c>
      <c r="N43" s="46">
        <f t="shared" si="5"/>
        <v>40</v>
      </c>
      <c r="O43" s="50">
        <f t="shared" si="1"/>
        <v>54.090933885438247</v>
      </c>
      <c r="P43" s="50">
        <f t="shared" si="2"/>
        <v>50.987179080443191</v>
      </c>
      <c r="Q43" s="50">
        <f t="shared" si="3"/>
        <v>52.701982319041726</v>
      </c>
    </row>
    <row r="44" spans="1:17">
      <c r="A44" s="4"/>
      <c r="B44" s="46" t="s">
        <v>5</v>
      </c>
      <c r="C44" s="79"/>
      <c r="D44" s="46">
        <f>I44/$H$43</f>
        <v>-0.49647350840961402</v>
      </c>
      <c r="E44" s="46">
        <f>H44/$H$43</f>
        <v>0.41048800118042017</v>
      </c>
      <c r="F44" s="46">
        <f>G44/$H$43</f>
        <v>0.99914267865242701</v>
      </c>
      <c r="G44" s="46">
        <f t="array" ref="G44:I44">LINEST($F$31:$F$33,$G31:$I33,FALSE)</f>
        <v>15.315026725971379</v>
      </c>
      <c r="H44" s="46">
        <v>6.2920289995495677</v>
      </c>
      <c r="I44" s="46">
        <v>-7.6100292905964988</v>
      </c>
      <c r="J44" s="97"/>
      <c r="K44" s="53" t="str">
        <f t="shared" si="30"/>
        <v>-0.4964735,0.410488,0.9991427,</v>
      </c>
      <c r="M44" s="46">
        <f t="shared" si="0"/>
        <v>1.459702896407471</v>
      </c>
      <c r="N44" s="46">
        <f t="shared" si="5"/>
        <v>41</v>
      </c>
      <c r="O44" s="50">
        <f t="shared" si="1"/>
        <v>51.546265010351974</v>
      </c>
      <c r="P44" s="50">
        <f t="shared" si="2"/>
        <v>50.865173648664886</v>
      </c>
      <c r="Q44" s="50">
        <f t="shared" si="3"/>
        <v>52.324876545072357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0.21501230581026767</v>
      </c>
      <c r="E45" s="46">
        <f>H45/$H$46</f>
        <v>1.019818701759134</v>
      </c>
      <c r="F45" s="46">
        <f>G45/$H$46</f>
        <v>-0.4568410860128797</v>
      </c>
      <c r="G45" s="46">
        <f t="array" ref="G45:I45">LINEST($D34:$D36,$G34:$I36,FALSE)</f>
        <v>-7.3321691653166647</v>
      </c>
      <c r="H45" s="46">
        <v>16.367799368730118</v>
      </c>
      <c r="I45" s="46">
        <v>3.4508861989292168</v>
      </c>
      <c r="J45" s="97">
        <f>H46</f>
        <v>16.0497148566667</v>
      </c>
      <c r="K45" s="53" t="str">
        <f t="shared" si="30"/>
        <v>0.2150123,1.019819,-0.4568411,</v>
      </c>
      <c r="M45" s="46">
        <f t="shared" si="0"/>
        <v>2.9461746358372807</v>
      </c>
      <c r="N45" s="46">
        <f t="shared" si="5"/>
        <v>42</v>
      </c>
      <c r="O45" s="50">
        <f t="shared" si="1"/>
        <v>49.001596135265714</v>
      </c>
      <c r="P45" s="50">
        <f t="shared" si="2"/>
        <v>50.743168216886581</v>
      </c>
      <c r="Q45" s="50">
        <f t="shared" si="3"/>
        <v>51.947770771102995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5.8495528817337467E-2</v>
      </c>
      <c r="E46" s="46">
        <f>H46/$H$46</f>
        <v>1</v>
      </c>
      <c r="F46" s="46">
        <f>G46/$H$46</f>
        <v>-0.16925469837303581</v>
      </c>
      <c r="G46" s="46">
        <f t="array" ref="G46:I46">LINEST($E34:$E36,$G34:$I36,FALSE)</f>
        <v>-2.7164896470383537</v>
      </c>
      <c r="H46" s="46">
        <v>16.0497148566667</v>
      </c>
      <c r="I46" s="46">
        <v>0.9388365579081962</v>
      </c>
      <c r="J46" s="97"/>
      <c r="K46" s="53" t="str">
        <f t="shared" si="30"/>
        <v>5.849553E-02,1,-0.1692547,</v>
      </c>
      <c r="M46" s="46">
        <f t="shared" si="0"/>
        <v>5.1137377369541923</v>
      </c>
      <c r="N46" s="46">
        <f t="shared" si="5"/>
        <v>43</v>
      </c>
      <c r="O46" s="50">
        <f t="shared" si="1"/>
        <v>46.456927260179441</v>
      </c>
      <c r="P46" s="50">
        <f t="shared" si="2"/>
        <v>50.621162785108268</v>
      </c>
      <c r="Q46" s="50">
        <f t="shared" si="3"/>
        <v>51.570664997133633</v>
      </c>
    </row>
    <row r="47" spans="1:17">
      <c r="A47" s="4"/>
      <c r="B47" s="46" t="str">
        <f t="shared" si="31"/>
        <v>Z</v>
      </c>
      <c r="C47" s="79"/>
      <c r="D47" s="46">
        <f>I47/$H$46</f>
        <v>-0.49093271138571831</v>
      </c>
      <c r="E47" s="46">
        <f>H47/$H$46</f>
        <v>0.41677011933335106</v>
      </c>
      <c r="F47" s="46">
        <f>G47/$H$46</f>
        <v>0.92409983798953677</v>
      </c>
      <c r="G47" s="46">
        <f t="array" ref="G47:I47">LINEST($F$31:$F$33,$G34:$I36,FALSE)</f>
        <v>14.831538898823959</v>
      </c>
      <c r="H47" s="46">
        <v>6.6890415760792381</v>
      </c>
      <c r="I47" s="46">
        <v>-7.8793300315510288</v>
      </c>
      <c r="J47" s="97"/>
      <c r="K47" s="53" t="str">
        <f t="shared" si="30"/>
        <v>-0.4909327,0.4167701,0.9240999,</v>
      </c>
      <c r="M47" s="46">
        <f t="shared" si="0"/>
        <v>7.2813008380710826</v>
      </c>
      <c r="N47" s="46">
        <f t="shared" si="5"/>
        <v>44</v>
      </c>
      <c r="O47" s="50">
        <f t="shared" si="1"/>
        <v>43.912258385093182</v>
      </c>
      <c r="P47" s="50">
        <f t="shared" si="2"/>
        <v>50.499157353329963</v>
      </c>
      <c r="Q47" s="50">
        <f t="shared" si="3"/>
        <v>51.193559223164264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9.5880794396333055E-2</v>
      </c>
      <c r="E48" s="46">
        <f>H48/$H$49</f>
        <v>1.1081071436799921</v>
      </c>
      <c r="F48" s="46">
        <f>G48/$H$49</f>
        <v>-9.1962495240672845E-3</v>
      </c>
      <c r="G48" s="46">
        <f t="array" ref="G48:I48">LINEST($D37:$D39,$G37:$I39,FALSE)</f>
        <v>-0.10985254108503366</v>
      </c>
      <c r="H48" s="46">
        <v>13.236742349057968</v>
      </c>
      <c r="I48" s="46">
        <v>1.1453309175793716</v>
      </c>
      <c r="J48" s="97">
        <f>H49</f>
        <v>11.945363248087299</v>
      </c>
      <c r="K48" s="53" t="str">
        <f t="shared" si="30"/>
        <v>9.588079E-02,1.108107,-9.19625E-03,</v>
      </c>
      <c r="M48" s="46">
        <f t="shared" si="0"/>
        <v>9.4488639391879872</v>
      </c>
      <c r="N48" s="46">
        <f t="shared" si="5"/>
        <v>45</v>
      </c>
      <c r="O48" s="50">
        <f t="shared" si="1"/>
        <v>41.367589510006908</v>
      </c>
      <c r="P48" s="50">
        <f t="shared" si="2"/>
        <v>50.377151921551658</v>
      </c>
      <c r="Q48" s="50">
        <f t="shared" si="3"/>
        <v>50.816453449194896</v>
      </c>
    </row>
    <row r="49" spans="1:24">
      <c r="A49" s="4"/>
      <c r="B49" s="46" t="str">
        <f t="shared" si="31"/>
        <v>Y</v>
      </c>
      <c r="C49" s="79"/>
      <c r="D49" s="46">
        <f>I49/$H$49</f>
        <v>-5.9494857452794432E-2</v>
      </c>
      <c r="E49" s="46">
        <f>H49/$H$49</f>
        <v>1</v>
      </c>
      <c r="F49" s="46">
        <f>G49/$H$49</f>
        <v>0.43738202741612492</v>
      </c>
      <c r="G49" s="46">
        <f t="array" ref="G49:I49">LINEST($E37:$E39,$G37:$I39,FALSE)</f>
        <v>5.2246871956704899</v>
      </c>
      <c r="H49" s="46">
        <v>11.945363248087299</v>
      </c>
      <c r="I49" s="46">
        <v>-0.71068768366680335</v>
      </c>
      <c r="J49" s="97"/>
      <c r="K49" s="53" t="str">
        <f t="shared" si="30"/>
        <v>-5.949486E-02,1,0.437382,</v>
      </c>
      <c r="M49" s="46">
        <f t="shared" si="0"/>
        <v>11.616427040304885</v>
      </c>
      <c r="N49" s="46">
        <f t="shared" si="5"/>
        <v>46</v>
      </c>
      <c r="O49" s="50">
        <f t="shared" si="1"/>
        <v>38.822920634920649</v>
      </c>
      <c r="P49" s="50">
        <f t="shared" si="2"/>
        <v>50.255146489773352</v>
      </c>
      <c r="Q49" s="50">
        <f t="shared" si="3"/>
        <v>50.439347675225534</v>
      </c>
    </row>
    <row r="50" spans="1:24">
      <c r="A50" s="4"/>
      <c r="B50" s="46" t="str">
        <f t="shared" si="31"/>
        <v>Z</v>
      </c>
      <c r="C50" s="79"/>
      <c r="D50" s="46">
        <f>I50/$H$49</f>
        <v>-0.54561300145293701</v>
      </c>
      <c r="E50" s="46">
        <f>H50/$H$49</f>
        <v>0.11918859595574724</v>
      </c>
      <c r="F50" s="46">
        <f>G50/$H$49</f>
        <v>1.7776631722449658</v>
      </c>
      <c r="G50" s="46">
        <f t="array" ref="G50:I50">LINEST($F$31:$F$33,$G37:$I39,FALSE)</f>
        <v>21.234832325213297</v>
      </c>
      <c r="H50" s="46">
        <v>1.4237510737209096</v>
      </c>
      <c r="I50" s="46">
        <v>-6.5175454952345158</v>
      </c>
      <c r="J50" s="97"/>
      <c r="K50" s="54" t="str">
        <f t="shared" si="30"/>
        <v>-0.545613,0.1191886,1.777663,</v>
      </c>
      <c r="M50" s="46">
        <f t="shared" si="0"/>
        <v>13.854889298160671</v>
      </c>
      <c r="N50" s="46">
        <f t="shared" si="5"/>
        <v>47</v>
      </c>
      <c r="O50" s="50">
        <f t="shared" si="1"/>
        <v>36.278251759834376</v>
      </c>
      <c r="P50" s="50">
        <f t="shared" si="2"/>
        <v>50.133141057995047</v>
      </c>
      <c r="Q50" s="50">
        <f t="shared" si="3"/>
        <v>50.062241901256172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0.16595302417178984</v>
      </c>
      <c r="E51" s="46">
        <f t="shared" ref="E51:F51" si="32">(E42+E45+E48)/3</f>
        <v>1.0498940249556894</v>
      </c>
      <c r="F51" s="46">
        <f t="shared" si="32"/>
        <v>-0.27856295509802276</v>
      </c>
      <c r="J51" s="97">
        <f>(J42+J45+J48)/3</f>
        <v>14.441081998759321</v>
      </c>
      <c r="M51" s="46">
        <f t="shared" si="0"/>
        <v>16.277552741468639</v>
      </c>
      <c r="N51" s="46">
        <f t="shared" si="5"/>
        <v>48</v>
      </c>
      <c r="O51" s="50">
        <f t="shared" si="1"/>
        <v>33.733582884748103</v>
      </c>
      <c r="P51" s="50">
        <f t="shared" si="2"/>
        <v>50.011135626216742</v>
      </c>
      <c r="Q51" s="50">
        <f t="shared" si="3"/>
        <v>49.685136127286803</v>
      </c>
    </row>
    <row r="52" spans="1:24">
      <c r="B52" s="46" t="str">
        <f t="shared" si="31"/>
        <v>Y</v>
      </c>
      <c r="C52" s="79"/>
      <c r="D52" s="46">
        <f t="shared" ref="D52:F53" si="33">(D43+D46+D49)/3</f>
        <v>1.0536859221855334E-2</v>
      </c>
      <c r="E52" s="46">
        <f t="shared" si="33"/>
        <v>1</v>
      </c>
      <c r="F52" s="46">
        <f t="shared" si="33"/>
        <v>6.4601502806422392E-2</v>
      </c>
      <c r="J52" s="97"/>
      <c r="M52" s="46">
        <f t="shared" si="0"/>
        <v>18.700216184776593</v>
      </c>
      <c r="N52" s="46">
        <f t="shared" si="5"/>
        <v>49</v>
      </c>
      <c r="O52" s="50">
        <f t="shared" si="1"/>
        <v>31.188914009661843</v>
      </c>
      <c r="P52" s="50">
        <f t="shared" si="2"/>
        <v>49.889130194438437</v>
      </c>
      <c r="Q52" s="50">
        <f t="shared" si="3"/>
        <v>49.308030353317434</v>
      </c>
    </row>
    <row r="53" spans="1:24" ht="15.75" thickBot="1">
      <c r="B53" s="46" t="str">
        <f t="shared" si="31"/>
        <v>Z</v>
      </c>
      <c r="C53" s="79"/>
      <c r="D53" s="46">
        <f t="shared" si="33"/>
        <v>-0.51100640708275646</v>
      </c>
      <c r="E53" s="46">
        <f t="shared" si="33"/>
        <v>0.31548223882317283</v>
      </c>
      <c r="F53" s="46">
        <f t="shared" si="33"/>
        <v>1.2336352296289765</v>
      </c>
      <c r="J53" s="100"/>
      <c r="M53" s="46">
        <f t="shared" si="0"/>
        <v>21.122879628084554</v>
      </c>
      <c r="N53" s="46">
        <f t="shared" si="5"/>
        <v>50</v>
      </c>
      <c r="O53" s="50">
        <f t="shared" si="1"/>
        <v>28.64424513457557</v>
      </c>
      <c r="P53" s="50">
        <f t="shared" si="2"/>
        <v>49.767124762660124</v>
      </c>
      <c r="Q53" s="50">
        <f t="shared" si="3"/>
        <v>48.930924579348073</v>
      </c>
    </row>
    <row r="54" spans="1:24">
      <c r="B54" s="79" t="s">
        <v>14</v>
      </c>
      <c r="C54" s="79"/>
      <c r="D54" s="19">
        <f>I54/$H$55</f>
        <v>0.14824321199924564</v>
      </c>
      <c r="E54" s="20">
        <f>H54/$H$55</f>
        <v>1.0267069252394587</v>
      </c>
      <c r="F54" s="21">
        <f>G54/$H$55</f>
        <v>-0.26356844711223226</v>
      </c>
      <c r="G54" s="46">
        <f t="array" ref="G54:I54">LINEST(D$31:D$39,$G$31:$I$39,FALSE)</f>
        <v>-3.8463751706533116</v>
      </c>
      <c r="H54" s="46">
        <v>14.983204810920563</v>
      </c>
      <c r="I54" s="46">
        <v>2.1633811486129537</v>
      </c>
      <c r="J54" s="98">
        <f>H55</f>
        <v>14.593458408226896</v>
      </c>
      <c r="M54" s="46">
        <f t="shared" si="0"/>
        <v>23.545543071392508</v>
      </c>
      <c r="N54" s="46">
        <f t="shared" si="5"/>
        <v>51</v>
      </c>
      <c r="O54" s="50">
        <f t="shared" si="1"/>
        <v>26.099576259489311</v>
      </c>
      <c r="P54" s="50">
        <f t="shared" si="2"/>
        <v>49.645119330881819</v>
      </c>
      <c r="Q54" s="50">
        <f t="shared" si="3"/>
        <v>48.553818805378711</v>
      </c>
    </row>
    <row r="55" spans="1:24" ht="15" customHeight="1">
      <c r="B55" s="79"/>
      <c r="C55" s="79"/>
      <c r="D55" s="22">
        <f>I55/$H$55</f>
        <v>2.9165852725412122E-2</v>
      </c>
      <c r="E55" s="18">
        <f>H55/$H$55</f>
        <v>1</v>
      </c>
      <c r="F55" s="23">
        <f>G55/$H$55</f>
        <v>-1.569635176513394E-2</v>
      </c>
      <c r="G55" s="46">
        <f t="array" ref="G55:I55">LINEST(E$31:E$39,$G$31:$I$39,FALSE)</f>
        <v>-0.22906405664538099</v>
      </c>
      <c r="H55" s="46">
        <v>14.593458408226896</v>
      </c>
      <c r="I55" s="46">
        <v>0.42563065868877287</v>
      </c>
      <c r="J55" s="98"/>
      <c r="M55" s="46">
        <f t="shared" si="0"/>
        <v>25.968206514700476</v>
      </c>
      <c r="N55" s="46">
        <f t="shared" si="5"/>
        <v>52</v>
      </c>
      <c r="O55" s="50">
        <f t="shared" si="1"/>
        <v>23.554907384403037</v>
      </c>
      <c r="P55" s="50">
        <f t="shared" si="2"/>
        <v>49.523113899103514</v>
      </c>
      <c r="Q55" s="50">
        <f t="shared" si="3"/>
        <v>48.176713031409342</v>
      </c>
    </row>
    <row r="56" spans="1:24" ht="15" customHeight="1" thickBot="1">
      <c r="B56" s="79"/>
      <c r="C56" s="79"/>
      <c r="D56" s="24">
        <f>I56/$H$55</f>
        <v>-0.37939418825863264</v>
      </c>
      <c r="E56" s="25">
        <f>H56/$H$55</f>
        <v>0.39454870709475154</v>
      </c>
      <c r="F56" s="26">
        <f>G56/$H$55</f>
        <v>0.8702310347014468</v>
      </c>
      <c r="G56" s="46">
        <f t="array" ref="G56:I56">LINEST(F$31:F$39,$G$31:$I$39,FALSE)</f>
        <v>12.69968041046382</v>
      </c>
      <c r="H56" s="46">
        <v>5.7578301470069526</v>
      </c>
      <c r="I56" s="46">
        <v>-5.5366733066753602</v>
      </c>
      <c r="J56" s="98"/>
      <c r="M56" s="46">
        <f t="shared" si="0"/>
        <v>28.390869958008444</v>
      </c>
      <c r="N56" s="46">
        <f t="shared" si="5"/>
        <v>53</v>
      </c>
      <c r="O56" s="50">
        <f t="shared" si="1"/>
        <v>21.010238509316764</v>
      </c>
      <c r="P56" s="50">
        <f t="shared" si="2"/>
        <v>49.401108467325209</v>
      </c>
      <c r="Q56" s="50">
        <f t="shared" si="3"/>
        <v>47.799607257439973</v>
      </c>
    </row>
    <row r="57" spans="1:24">
      <c r="M57" s="46">
        <f t="shared" si="0"/>
        <v>30.813533401316384</v>
      </c>
      <c r="N57" s="46">
        <f t="shared" si="5"/>
        <v>54</v>
      </c>
      <c r="O57" s="50">
        <f t="shared" si="1"/>
        <v>18.465569634230519</v>
      </c>
      <c r="P57" s="50">
        <f t="shared" si="2"/>
        <v>49.279103035546903</v>
      </c>
      <c r="Q57" s="50">
        <f t="shared" si="3"/>
        <v>47.422501483470612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33.236196844624345</v>
      </c>
      <c r="N58" s="46">
        <f t="shared" si="5"/>
        <v>55</v>
      </c>
      <c r="O58" s="50">
        <f t="shared" si="1"/>
        <v>15.920900759144246</v>
      </c>
      <c r="P58" s="50">
        <f t="shared" si="2"/>
        <v>49.157097603768591</v>
      </c>
      <c r="Q58" s="50">
        <f t="shared" si="3"/>
        <v>47.04539570950125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35.658860287932313</v>
      </c>
      <c r="N59" s="46">
        <f t="shared" si="5"/>
        <v>56</v>
      </c>
      <c r="O59" s="50">
        <f t="shared" si="1"/>
        <v>13.376231884057972</v>
      </c>
      <c r="P59" s="50">
        <f t="shared" si="2"/>
        <v>49.035092171990286</v>
      </c>
      <c r="Q59" s="50">
        <f t="shared" si="3"/>
        <v>46.668289935531888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513.54999999999995</v>
      </c>
      <c r="E60" s="32">
        <f t="shared" ref="E60:E68" si="37">getCCTfromXY(D22/SUM(D22:F22),E22/SUM(D22:F22))</f>
        <v>2864</v>
      </c>
      <c r="F60" s="31">
        <f t="shared" ref="F60:F68" si="38">V60</f>
        <v>527.25100229992324</v>
      </c>
      <c r="G60" s="32">
        <f t="shared" ref="G60:G68" si="39">getCCTfromXY(U60/X60,V60/X60)</f>
        <v>3332</v>
      </c>
      <c r="H60" s="33">
        <f>F60/D60-1</f>
        <v>2.6679003602226192E-2</v>
      </c>
      <c r="I60" s="34">
        <f t="shared" ref="I60:I68" si="40">G60/E60-1</f>
        <v>0.16340782122905018</v>
      </c>
      <c r="M60" s="46">
        <f t="shared" si="0"/>
        <v>38.081523731240281</v>
      </c>
      <c r="N60" s="46">
        <f t="shared" si="5"/>
        <v>57</v>
      </c>
      <c r="O60" s="50">
        <f t="shared" si="1"/>
        <v>10.831563008971699</v>
      </c>
      <c r="P60" s="50">
        <f t="shared" si="2"/>
        <v>48.91308674021198</v>
      </c>
      <c r="Q60" s="50">
        <f t="shared" si="3"/>
        <v>46.291184161562519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547.53392525468473</v>
      </c>
      <c r="V60" s="50">
        <f>$J$54*$J$31*($D$55*G22+$E$55*H22+$F$55*I22)</f>
        <v>527.25100229992324</v>
      </c>
      <c r="W60" s="50">
        <f>$J$54*$J$31*($D$56*G22+$E$56*H22+$F$56*I22)</f>
        <v>231.5154113006308</v>
      </c>
      <c r="X60" s="29">
        <f>SUM(U60:W60)</f>
        <v>1306.3003388552388</v>
      </c>
    </row>
    <row r="61" spans="1:24">
      <c r="A61" s="87"/>
      <c r="B61" s="48" t="str">
        <f t="shared" si="35"/>
        <v>CWF</v>
      </c>
      <c r="C61" s="93"/>
      <c r="D61" s="31">
        <f t="shared" si="36"/>
        <v>1207.5</v>
      </c>
      <c r="E61" s="32">
        <f t="shared" si="37"/>
        <v>3849</v>
      </c>
      <c r="F61" s="31">
        <f t="shared" si="38"/>
        <v>1185.1378852664282</v>
      </c>
      <c r="G61" s="32">
        <f t="shared" si="39"/>
        <v>3850</v>
      </c>
      <c r="H61" s="33">
        <f t="shared" ref="H61:H68" si="41">F61/D61-1</f>
        <v>-1.8519349675835906E-2</v>
      </c>
      <c r="I61" s="34">
        <f t="shared" si="40"/>
        <v>2.5980774227063463E-4</v>
      </c>
      <c r="M61" s="46">
        <f t="shared" si="0"/>
        <v>40.504187174548221</v>
      </c>
      <c r="N61" s="46">
        <f t="shared" si="5"/>
        <v>58</v>
      </c>
      <c r="O61" s="50">
        <f t="shared" si="1"/>
        <v>8.286894133885454</v>
      </c>
      <c r="P61" s="50">
        <f t="shared" si="2"/>
        <v>48.791081308433675</v>
      </c>
      <c r="Q61" s="50">
        <f t="shared" si="3"/>
        <v>45.91407838759315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1177.4225849442848</v>
      </c>
      <c r="V61" s="50">
        <f>$J$54*$J$31*($D$55*G23+$E$55*H23+$F$55*I23)</f>
        <v>1185.1378852664282</v>
      </c>
      <c r="W61" s="50">
        <f>$J$54*$J$31*($D$56*G23+$E$56*H23+$F$56*I23)</f>
        <v>636.94305714309644</v>
      </c>
      <c r="X61" s="29">
        <f t="shared" ref="X61:X68" si="43">SUM(U61:W61)</f>
        <v>2999.5035273538097</v>
      </c>
    </row>
    <row r="62" spans="1:24">
      <c r="A62" s="87"/>
      <c r="B62" s="48" t="str">
        <f t="shared" si="35"/>
        <v>D65</v>
      </c>
      <c r="C62" s="93"/>
      <c r="D62" s="31">
        <f t="shared" si="36"/>
        <v>577.65000000000009</v>
      </c>
      <c r="E62" s="32">
        <f t="shared" si="37"/>
        <v>6300</v>
      </c>
      <c r="F62" s="31">
        <f t="shared" si="38"/>
        <v>578.15760882816892</v>
      </c>
      <c r="G62" s="32">
        <f t="shared" si="39"/>
        <v>5667</v>
      </c>
      <c r="H62" s="33">
        <f t="shared" si="41"/>
        <v>8.7874807957910583E-4</v>
      </c>
      <c r="I62" s="34">
        <f t="shared" si="40"/>
        <v>-0.1004761904761905</v>
      </c>
      <c r="M62" s="46">
        <f t="shared" si="0"/>
        <v>42.926850617856189</v>
      </c>
      <c r="N62" s="46">
        <f t="shared" si="5"/>
        <v>59</v>
      </c>
      <c r="O62" s="50">
        <f t="shared" si="1"/>
        <v>5.7422252587991807</v>
      </c>
      <c r="P62" s="50">
        <f t="shared" si="2"/>
        <v>48.66907587665537</v>
      </c>
      <c r="Q62" s="50">
        <f t="shared" si="3"/>
        <v>45.536972613623789</v>
      </c>
      <c r="R62" s="78"/>
      <c r="S62" s="46" t="str">
        <f t="shared" si="42"/>
        <v>D65</v>
      </c>
      <c r="T62" s="79"/>
      <c r="U62" s="50">
        <f>$J$54*$J$31*($D$54*G24+$E$54*H24+$F$54*I24)</f>
        <v>524.71105115137425</v>
      </c>
      <c r="V62" s="50">
        <f>$J$54*$J$31*($D$55*G24+$E$55*H24+$F$55*I24)</f>
        <v>578.15760882816892</v>
      </c>
      <c r="W62" s="50">
        <f>$J$54*$J$31*($D$56*G24+$E$56*H24+$F$56*I24)</f>
        <v>485.66190163690538</v>
      </c>
      <c r="X62" s="29">
        <f t="shared" si="43"/>
        <v>1588.5305616164487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513.54999999999995</v>
      </c>
      <c r="E63" s="32">
        <f t="shared" si="37"/>
        <v>2864</v>
      </c>
      <c r="F63" s="31">
        <f t="shared" si="38"/>
        <v>537.40137513822151</v>
      </c>
      <c r="G63" s="32">
        <f t="shared" si="39"/>
        <v>3534</v>
      </c>
      <c r="H63" s="33">
        <f t="shared" si="41"/>
        <v>4.6444114766277078E-2</v>
      </c>
      <c r="I63" s="34">
        <f t="shared" si="40"/>
        <v>0.2339385474860336</v>
      </c>
      <c r="M63" s="46">
        <f t="shared" si="0"/>
        <v>45.349514061164157</v>
      </c>
      <c r="N63" s="46">
        <f t="shared" si="5"/>
        <v>60</v>
      </c>
      <c r="O63" s="50">
        <f t="shared" si="1"/>
        <v>3.1975563837129073</v>
      </c>
      <c r="P63" s="50">
        <f t="shared" si="2"/>
        <v>48.547070444877065</v>
      </c>
      <c r="Q63" s="50">
        <f t="shared" si="3"/>
        <v>45.159866839654427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549.83030134004309</v>
      </c>
      <c r="V63" s="50">
        <f>$J$54*$J$34*($D$55*G25+$E$55*H25+$F$55*I25)</f>
        <v>537.40137513822151</v>
      </c>
      <c r="W63" s="50">
        <f>$J$54*$J$34*($D$56*G25+$E$56*H25+$F$56*I25)</f>
        <v>262.96765018257582</v>
      </c>
      <c r="X63" s="29">
        <f t="shared" si="43"/>
        <v>1350.1993266608404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1207.5</v>
      </c>
      <c r="E64" s="32">
        <f t="shared" si="37"/>
        <v>3849</v>
      </c>
      <c r="F64" s="31">
        <f t="shared" si="38"/>
        <v>1171.4447341608793</v>
      </c>
      <c r="G64" s="32">
        <f t="shared" si="39"/>
        <v>3911</v>
      </c>
      <c r="H64" s="33">
        <f t="shared" si="41"/>
        <v>-2.9859433407139258E-2</v>
      </c>
      <c r="I64" s="34">
        <f t="shared" si="40"/>
        <v>1.6108080020784676E-2</v>
      </c>
      <c r="M64" s="46">
        <f t="shared" si="0"/>
        <v>47.772177504472118</v>
      </c>
      <c r="N64" s="46">
        <f t="shared" si="5"/>
        <v>61</v>
      </c>
      <c r="O64" s="50">
        <f t="shared" si="1"/>
        <v>0.65288750862663392</v>
      </c>
      <c r="P64" s="50">
        <f t="shared" si="2"/>
        <v>48.425065013098752</v>
      </c>
      <c r="Q64" s="50">
        <f t="shared" si="3"/>
        <v>44.782761065685058</v>
      </c>
      <c r="R64" s="78"/>
      <c r="S64" s="46" t="str">
        <f t="shared" si="42"/>
        <v>CWF</v>
      </c>
      <c r="T64" s="79"/>
      <c r="U64" s="50">
        <f>$J$54*$J$34*($D$54*G26+$E$54*H26+$F$54*I26)</f>
        <v>1159.4984063115032</v>
      </c>
      <c r="V64" s="50">
        <f>$J$54*$J$34*($D$55*G26+$E$55*H26+$F$55*I26)</f>
        <v>1171.4447341608793</v>
      </c>
      <c r="W64" s="50">
        <f>$J$54*$J$34*($D$56*G26+$E$56*H26+$F$56*I26)</f>
        <v>645.05070679056064</v>
      </c>
      <c r="X64" s="29">
        <f t="shared" si="43"/>
        <v>2975.9938472629433</v>
      </c>
    </row>
    <row r="65" spans="1:24">
      <c r="A65" s="87"/>
      <c r="B65" s="48" t="str">
        <f t="shared" si="35"/>
        <v>D65</v>
      </c>
      <c r="C65" s="93"/>
      <c r="D65" s="31">
        <f t="shared" si="36"/>
        <v>577.65000000000009</v>
      </c>
      <c r="E65" s="32">
        <f t="shared" si="37"/>
        <v>6300</v>
      </c>
      <c r="F65" s="31">
        <f t="shared" si="38"/>
        <v>590.51852427229903</v>
      </c>
      <c r="G65" s="32">
        <f t="shared" si="39"/>
        <v>5657</v>
      </c>
      <c r="H65" s="33">
        <f t="shared" si="41"/>
        <v>2.227737258253093E-2</v>
      </c>
      <c r="I65" s="34">
        <f t="shared" si="40"/>
        <v>-0.10206349206349208</v>
      </c>
      <c r="M65" s="46">
        <f t="shared" si="0"/>
        <v>50.194840947780058</v>
      </c>
      <c r="N65" s="46">
        <f t="shared" si="5"/>
        <v>62</v>
      </c>
      <c r="O65" s="50">
        <f t="shared" si="1"/>
        <v>-1.891781366459611</v>
      </c>
      <c r="P65" s="50">
        <f t="shared" si="2"/>
        <v>48.303059581320447</v>
      </c>
      <c r="Q65" s="50">
        <f t="shared" si="3"/>
        <v>44.405655291715689</v>
      </c>
      <c r="R65" s="78"/>
      <c r="S65" s="46" t="str">
        <f t="shared" si="42"/>
        <v>D65</v>
      </c>
      <c r="T65" s="79"/>
      <c r="U65" s="50">
        <f>$J$54*$J$34*($D$54*G27+$E$54*H27+$F$54*I27)</f>
        <v>536.13977627868292</v>
      </c>
      <c r="V65" s="50">
        <f>$J$54*$J$34*($D$55*G27+$E$55*H27+$F$55*I27)</f>
        <v>590.51852427229903</v>
      </c>
      <c r="W65" s="50">
        <f>$J$54*$J$34*($D$56*G27+$E$56*H27+$F$56*I27)</f>
        <v>495.30037277198545</v>
      </c>
      <c r="X65" s="29">
        <f t="shared" si="43"/>
        <v>1621.9586733229673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513.54999999999995</v>
      </c>
      <c r="E66" s="32">
        <f t="shared" si="37"/>
        <v>2864</v>
      </c>
      <c r="F66" s="31">
        <f t="shared" si="38"/>
        <v>493.92160243193439</v>
      </c>
      <c r="G66" s="32">
        <f t="shared" si="39"/>
        <v>2262</v>
      </c>
      <c r="H66" s="33">
        <f t="shared" si="41"/>
        <v>-3.8221005876868053E-2</v>
      </c>
      <c r="I66" s="34">
        <f t="shared" si="40"/>
        <v>-0.21019553072625696</v>
      </c>
      <c r="M66" s="46">
        <f t="shared" si="0"/>
        <v>52.617504391088026</v>
      </c>
      <c r="N66" s="46">
        <f t="shared" si="5"/>
        <v>63</v>
      </c>
      <c r="O66" s="50">
        <f t="shared" si="1"/>
        <v>-4.4364502415458844</v>
      </c>
      <c r="P66" s="50">
        <f t="shared" si="2"/>
        <v>48.181054149542142</v>
      </c>
      <c r="Q66" s="50">
        <f t="shared" si="3"/>
        <v>44.028549517746328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571.72338908429265</v>
      </c>
      <c r="V66" s="50">
        <f>$J$54*$J$37*($D$55*G28+$E$55*H28+$F$55*I28)</f>
        <v>493.92160243193439</v>
      </c>
      <c r="W66" s="50">
        <f>$J$54*$J$37*($D$56*G28+$E$56*H28+$F$56*I28)</f>
        <v>21.309259539657614</v>
      </c>
      <c r="X66" s="29">
        <f t="shared" si="43"/>
        <v>1086.9542510558847</v>
      </c>
    </row>
    <row r="67" spans="1:24">
      <c r="A67" s="87"/>
      <c r="B67" s="48" t="str">
        <f t="shared" si="35"/>
        <v>CWF</v>
      </c>
      <c r="C67" s="93"/>
      <c r="D67" s="31">
        <f t="shared" si="36"/>
        <v>1207.5</v>
      </c>
      <c r="E67" s="32">
        <f t="shared" si="37"/>
        <v>3849</v>
      </c>
      <c r="F67" s="31">
        <f t="shared" si="38"/>
        <v>1265.3752457826104</v>
      </c>
      <c r="G67" s="32">
        <f t="shared" si="39"/>
        <v>3952</v>
      </c>
      <c r="H67" s="33">
        <f t="shared" si="41"/>
        <v>4.7929810171934095E-2</v>
      </c>
      <c r="I67" s="34">
        <f t="shared" si="40"/>
        <v>2.6760197453884027E-2</v>
      </c>
      <c r="R67" s="78"/>
      <c r="S67" s="46" t="str">
        <f t="shared" si="42"/>
        <v>CWF</v>
      </c>
      <c r="T67" s="79"/>
      <c r="U67" s="50">
        <f>$J$54*$J$37*($D$54*G29+$E$54*H29+$F$54*I29)</f>
        <v>1248.3196616059456</v>
      </c>
      <c r="V67" s="50">
        <f>$J$54*$J$37*($D$55*G29+$E$55*H29+$F$55*I29)</f>
        <v>1265.3752457826104</v>
      </c>
      <c r="W67" s="50">
        <f>$J$54*$J$37*($D$56*G29+$E$56*H29+$F$56*I29)</f>
        <v>704.97026304919234</v>
      </c>
      <c r="X67" s="29">
        <f t="shared" si="43"/>
        <v>3218.6651704377487</v>
      </c>
    </row>
    <row r="68" spans="1:24">
      <c r="A68" s="87"/>
      <c r="B68" s="48" t="str">
        <f t="shared" si="35"/>
        <v>D65</v>
      </c>
      <c r="C68" s="93"/>
      <c r="D68" s="31">
        <f t="shared" si="36"/>
        <v>577.65000000000009</v>
      </c>
      <c r="E68" s="32">
        <f t="shared" si="37"/>
        <v>6300</v>
      </c>
      <c r="F68" s="31">
        <f t="shared" si="38"/>
        <v>535.16947153733906</v>
      </c>
      <c r="G68" s="32">
        <f t="shared" si="39"/>
        <v>5618</v>
      </c>
      <c r="H68" s="33">
        <f t="shared" si="41"/>
        <v>-7.3540255280292621E-2</v>
      </c>
      <c r="I68" s="34">
        <f t="shared" si="40"/>
        <v>-0.10825396825396827</v>
      </c>
      <c r="R68" s="78"/>
      <c r="S68" s="46" t="str">
        <f t="shared" si="42"/>
        <v>D65</v>
      </c>
      <c r="T68" s="79"/>
      <c r="U68" s="50">
        <f>$J$54*$J$37*($D$54*G30+$E$54*H30+$F$54*I30)</f>
        <v>486.59373646822354</v>
      </c>
      <c r="V68" s="50">
        <f>$J$54*$J$37*($D$55*G30+$E$55*H30+$F$55*I30)</f>
        <v>535.16947153733906</v>
      </c>
      <c r="W68" s="50">
        <f>$J$54*$J$37*($D$56*G30+$E$56*H30+$F$56*I30)</f>
        <v>445.98401360725558</v>
      </c>
      <c r="X68" s="29">
        <f t="shared" si="43"/>
        <v>1467.7472216128181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7.3540255280292621E-2</v>
      </c>
      <c r="G69" s="47"/>
      <c r="H69" s="36" t="str">
        <f>I59</f>
        <v>CCT</v>
      </c>
      <c r="I69" s="38">
        <f>MAX(MAX(I60:I68,-MIN(I60:I68)))</f>
        <v>0.2339385474860336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513.54999999999995</v>
      </c>
      <c r="E72" s="31">
        <f t="shared" ref="E72:E80" si="47">E60</f>
        <v>2864</v>
      </c>
      <c r="F72" s="31">
        <f t="shared" ref="F72:F80" si="48">V72</f>
        <v>551.39798216754275</v>
      </c>
      <c r="G72" s="32">
        <f t="shared" ref="G72:G80" si="49">getCCTfromXY(U72/X72,V72/X72)</f>
        <v>3382</v>
      </c>
      <c r="H72" s="33">
        <f>F72/D72-1</f>
        <v>7.3698728785011713E-2</v>
      </c>
      <c r="I72" s="34">
        <f t="shared" ref="I72:I80" si="50">G72/E72-1</f>
        <v>0.18086592178770955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570.35543520712918</v>
      </c>
      <c r="V72" s="50">
        <f>$J$51*$J$31*($D$52*G22+$E$52*H22+$F$52*I22)</f>
        <v>551.39798216754275</v>
      </c>
      <c r="W72" s="50">
        <f>$J$51*$J$31*($D$53*G22+$E$53*H22+$F$53*I22)</f>
        <v>249.05997179035762</v>
      </c>
      <c r="X72" s="29">
        <f>SUM(U72:W72)</f>
        <v>1370.8133891650295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1207.5</v>
      </c>
      <c r="E73" s="31">
        <f t="shared" si="47"/>
        <v>3849</v>
      </c>
      <c r="F73" s="31">
        <f t="shared" si="48"/>
        <v>1206.2338242539386</v>
      </c>
      <c r="G73" s="32">
        <f t="shared" si="49"/>
        <v>3821</v>
      </c>
      <c r="H73" s="33">
        <f t="shared" ref="H73:H80" si="52">F73/D73-1</f>
        <v>-1.048592750361399E-3</v>
      </c>
      <c r="I73" s="34">
        <f t="shared" si="50"/>
        <v>-7.2746167835801012E-3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1200.601673182495</v>
      </c>
      <c r="V73" s="50">
        <f t="shared" ref="V73:V74" si="55">$J$51*$J$31*($D$52*G23+$E$52*H23+$F$52*I23)</f>
        <v>1206.2338242539386</v>
      </c>
      <c r="W73" s="50">
        <f t="shared" ref="W73:W74" si="56">$J$51*$J$31*($D$53*G23+$E$53*H23+$F$53*I23)</f>
        <v>640.78703313341509</v>
      </c>
      <c r="X73" s="29">
        <f t="shared" ref="X73:X80" si="57">SUM(U73:W73)</f>
        <v>3047.622530569849</v>
      </c>
    </row>
    <row r="74" spans="1:24">
      <c r="A74" s="87"/>
      <c r="B74" s="48" t="str">
        <f t="shared" si="46"/>
        <v>X</v>
      </c>
      <c r="C74" s="93"/>
      <c r="D74" s="31">
        <f t="shared" si="51"/>
        <v>577.65000000000009</v>
      </c>
      <c r="E74" s="31">
        <f t="shared" si="47"/>
        <v>6300</v>
      </c>
      <c r="F74" s="31">
        <f t="shared" si="48"/>
        <v>603.68578551577593</v>
      </c>
      <c r="G74" s="32">
        <f t="shared" si="49"/>
        <v>6343</v>
      </c>
      <c r="H74" s="33">
        <f t="shared" si="52"/>
        <v>4.5071904294600174E-2</v>
      </c>
      <c r="I74" s="34">
        <f t="shared" si="50"/>
        <v>6.8253968253968456E-3</v>
      </c>
      <c r="R74" s="78"/>
      <c r="S74" s="46" t="str">
        <f t="shared" si="53"/>
        <v>D65</v>
      </c>
      <c r="T74" s="79"/>
      <c r="U74" s="50">
        <f t="shared" si="54"/>
        <v>533.2664666995023</v>
      </c>
      <c r="V74" s="50">
        <f t="shared" si="55"/>
        <v>603.68578551577593</v>
      </c>
      <c r="W74" s="50">
        <f t="shared" si="56"/>
        <v>556.07496369262299</v>
      </c>
      <c r="X74" s="29">
        <f t="shared" si="57"/>
        <v>1693.0272159079013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513.54999999999995</v>
      </c>
      <c r="E75" s="31">
        <f t="shared" si="47"/>
        <v>2864</v>
      </c>
      <c r="F75" s="31">
        <f t="shared" si="48"/>
        <v>563.12562076562392</v>
      </c>
      <c r="G75" s="32">
        <f t="shared" si="49"/>
        <v>3639</v>
      </c>
      <c r="H75" s="33">
        <f t="shared" si="52"/>
        <v>9.6535139257373226E-2</v>
      </c>
      <c r="I75" s="34">
        <f t="shared" si="50"/>
        <v>0.27060055865921795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571.91497021339069</v>
      </c>
      <c r="V75" s="50">
        <f>$J$51*$J$34*($D$52*G25+$E$52*H25+$F$52*I25)</f>
        <v>563.12562076562392</v>
      </c>
      <c r="W75" s="50">
        <f>$J$51*$J$34*($D$53*G25+$E$53*H25+$F$53*I25)</f>
        <v>289.10332923931333</v>
      </c>
      <c r="X75" s="29">
        <f t="shared" si="57"/>
        <v>1424.143920218328</v>
      </c>
    </row>
    <row r="76" spans="1:24">
      <c r="A76" s="87"/>
      <c r="B76" s="48" t="str">
        <f t="shared" si="46"/>
        <v>Z</v>
      </c>
      <c r="C76" s="93"/>
      <c r="D76" s="31">
        <f t="shared" si="51"/>
        <v>1207.5</v>
      </c>
      <c r="E76" s="31">
        <f t="shared" si="47"/>
        <v>3849</v>
      </c>
      <c r="F76" s="31">
        <f t="shared" si="48"/>
        <v>1193.7996198772491</v>
      </c>
      <c r="G76" s="32">
        <f t="shared" si="49"/>
        <v>3902</v>
      </c>
      <c r="H76" s="33">
        <f t="shared" si="52"/>
        <v>-1.1346070495031779E-2</v>
      </c>
      <c r="I76" s="34">
        <f t="shared" si="50"/>
        <v>1.3769810340348076E-2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1182.2606854188982</v>
      </c>
      <c r="V76" s="50">
        <f t="shared" ref="V76:V77" si="59">$J$51*$J$34*($D$52*G26+$E$52*H26+$F$52*I26)</f>
        <v>1193.7996198772491</v>
      </c>
      <c r="W76" s="50">
        <f t="shared" ref="W76:W77" si="60">$J$51*$J$34*($D$53*G26+$E$53*H26+$F$53*I26)</f>
        <v>655.20169144520014</v>
      </c>
      <c r="X76" s="29">
        <f t="shared" si="57"/>
        <v>3031.2619967413475</v>
      </c>
    </row>
    <row r="77" spans="1:24">
      <c r="A77" s="87"/>
      <c r="B77" s="48" t="str">
        <f t="shared" si="46"/>
        <v>X</v>
      </c>
      <c r="C77" s="93"/>
      <c r="D77" s="31">
        <f t="shared" si="51"/>
        <v>577.65000000000009</v>
      </c>
      <c r="E77" s="31">
        <f t="shared" si="47"/>
        <v>6300</v>
      </c>
      <c r="F77" s="31">
        <f t="shared" si="48"/>
        <v>616.52531895149684</v>
      </c>
      <c r="G77" s="32">
        <f t="shared" si="49"/>
        <v>6329</v>
      </c>
      <c r="H77" s="33">
        <f t="shared" si="52"/>
        <v>6.7299089330038475E-2</v>
      </c>
      <c r="I77" s="34">
        <f t="shared" si="50"/>
        <v>4.603174603174498E-3</v>
      </c>
      <c r="R77" s="78"/>
      <c r="S77" s="46" t="str">
        <f t="shared" si="53"/>
        <v>D65</v>
      </c>
      <c r="T77" s="79"/>
      <c r="U77" s="50">
        <f t="shared" si="58"/>
        <v>544.8884356705463</v>
      </c>
      <c r="V77" s="50">
        <f t="shared" si="59"/>
        <v>616.52531895149684</v>
      </c>
      <c r="W77" s="50">
        <f t="shared" si="60"/>
        <v>566.9227164820594</v>
      </c>
      <c r="X77" s="29">
        <f t="shared" si="57"/>
        <v>1728.3364711041027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513.54999999999995</v>
      </c>
      <c r="E78" s="31">
        <f t="shared" si="47"/>
        <v>2864</v>
      </c>
      <c r="F78" s="31">
        <f t="shared" si="48"/>
        <v>506.49432981562143</v>
      </c>
      <c r="G78" s="32">
        <f t="shared" si="49"/>
        <v>2098</v>
      </c>
      <c r="H78" s="33">
        <f t="shared" si="52"/>
        <v>-1.3739013113384324E-2</v>
      </c>
      <c r="I78" s="34">
        <f t="shared" si="50"/>
        <v>-0.26745810055865926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600.41694594760725</v>
      </c>
      <c r="V78" s="50">
        <f>$J$51*$J$37*($D$52*G28+$E$52*H28+$F$52*I28)</f>
        <v>506.49432981562143</v>
      </c>
      <c r="W78" s="50">
        <f>$J$51*$J$37*($D$53*G28+$E$53*H28+$F$53*I28)</f>
        <v>-25.77749847056668</v>
      </c>
      <c r="X78" s="29">
        <f t="shared" si="57"/>
        <v>1081.1337772926622</v>
      </c>
    </row>
    <row r="79" spans="1:24">
      <c r="A79" s="87"/>
      <c r="B79" s="48" t="str">
        <f t="shared" si="46"/>
        <v>Z</v>
      </c>
      <c r="C79" s="93"/>
      <c r="D79" s="31">
        <f t="shared" si="51"/>
        <v>1207.5</v>
      </c>
      <c r="E79" s="31">
        <f t="shared" si="47"/>
        <v>3849</v>
      </c>
      <c r="F79" s="31">
        <f t="shared" si="48"/>
        <v>1286.3263702877816</v>
      </c>
      <c r="G79" s="32">
        <f t="shared" si="49"/>
        <v>3934</v>
      </c>
      <c r="H79" s="33">
        <f t="shared" si="52"/>
        <v>6.5280637919487905E-2</v>
      </c>
      <c r="I79" s="34">
        <f t="shared" si="50"/>
        <v>2.2083658093011271E-2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1270.406256503145</v>
      </c>
      <c r="V79" s="50">
        <f t="shared" ref="V79:V80" si="62">$J$51*$J$37*($D$52*G29+$E$52*H29+$F$52*I29)</f>
        <v>1286.3263702877816</v>
      </c>
      <c r="W79" s="50">
        <f t="shared" ref="W79:W80" si="63">$J$51*$J$37*($D$53*G29+$E$53*H29+$F$53*I29)</f>
        <v>711.81443690858885</v>
      </c>
      <c r="X79" s="29">
        <f t="shared" si="57"/>
        <v>3268.5470636995155</v>
      </c>
    </row>
    <row r="80" spans="1:24">
      <c r="A80" s="87"/>
      <c r="B80" s="48" t="str">
        <f t="shared" si="46"/>
        <v>X</v>
      </c>
      <c r="C80" s="93"/>
      <c r="D80" s="31">
        <f t="shared" si="51"/>
        <v>577.65000000000009</v>
      </c>
      <c r="E80" s="31">
        <f t="shared" si="47"/>
        <v>6300</v>
      </c>
      <c r="F80" s="31">
        <f t="shared" si="48"/>
        <v>558.23961036099615</v>
      </c>
      <c r="G80" s="32">
        <f t="shared" si="49"/>
        <v>6268</v>
      </c>
      <c r="H80" s="33">
        <f t="shared" si="52"/>
        <v>-3.3602336430371249E-2</v>
      </c>
      <c r="I80" s="34">
        <f t="shared" si="50"/>
        <v>-5.0793650793651279E-3</v>
      </c>
      <c r="R80" s="78"/>
      <c r="S80" s="46" t="str">
        <f t="shared" si="53"/>
        <v>D65</v>
      </c>
      <c r="T80" s="79"/>
      <c r="U80" s="50">
        <f t="shared" si="61"/>
        <v>494.41796903238634</v>
      </c>
      <c r="V80" s="50">
        <f t="shared" si="62"/>
        <v>558.23961036099615</v>
      </c>
      <c r="W80" s="50">
        <f t="shared" si="63"/>
        <v>509.29669297696245</v>
      </c>
      <c r="X80" s="29">
        <f t="shared" si="57"/>
        <v>1561.9542723703451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9.6535139257373226E-2</v>
      </c>
      <c r="G81" s="47"/>
      <c r="H81" s="36" t="str">
        <f>I71</f>
        <v>CCT</v>
      </c>
      <c r="I81" s="38">
        <f>MAX(MAX(I72:I80,-MIN(I72:I80)))</f>
        <v>0.27060055865921795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513.54999999999995</v>
      </c>
      <c r="E84" s="31">
        <f t="shared" ref="E84:E92" si="67">E72</f>
        <v>2864</v>
      </c>
      <c r="F84" s="31">
        <f t="shared" ref="F84:F92" si="68">V84</f>
        <v>513.54999999999995</v>
      </c>
      <c r="G84" s="32">
        <f t="shared" ref="G84:G92" si="69">getCCTfromXY(U84/X84,V84/X84)</f>
        <v>2864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554.95000000000016</v>
      </c>
      <c r="V84" s="50">
        <f>$J$42*$J$31*($D$43*G22+$E$43*H22+$F$43*I22)</f>
        <v>513.54999999999995</v>
      </c>
      <c r="W84" s="50">
        <f>$J$42*$J$31*($D$44*G22+$E$44*H22+$F$44*I22)</f>
        <v>153.75000000000034</v>
      </c>
      <c r="X84" s="29">
        <f>SUM(U84:W84)</f>
        <v>1222.2500000000005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1207.5</v>
      </c>
      <c r="E85" s="31">
        <f t="shared" si="67"/>
        <v>3849</v>
      </c>
      <c r="F85" s="31">
        <f t="shared" si="68"/>
        <v>1207.5000000000002</v>
      </c>
      <c r="G85" s="32">
        <f t="shared" si="69"/>
        <v>3849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1199.5</v>
      </c>
      <c r="V85" s="50">
        <f t="shared" ref="V85:V86" si="75">$J$42*$J$31*($D$43*G23+$E$43*H23+$F$43*I23)</f>
        <v>1207.5000000000002</v>
      </c>
      <c r="W85" s="50">
        <f t="shared" ref="W85:W86" si="76">$J$42*$J$31*($D$44*G23+$E$44*H23+$F$44*I23)</f>
        <v>648.00000000000023</v>
      </c>
      <c r="X85" s="29">
        <f t="shared" ref="X85:X92" si="77">SUM(U85:W85)</f>
        <v>3055</v>
      </c>
    </row>
    <row r="86" spans="1:24">
      <c r="A86" s="87"/>
      <c r="B86" s="48">
        <f t="shared" si="66"/>
        <v>0</v>
      </c>
      <c r="C86" s="93"/>
      <c r="D86" s="31">
        <f t="shared" si="71"/>
        <v>577.65000000000009</v>
      </c>
      <c r="E86" s="31">
        <f t="shared" si="67"/>
        <v>6300</v>
      </c>
      <c r="F86" s="31">
        <f t="shared" si="68"/>
        <v>577.65000000000009</v>
      </c>
      <c r="G86" s="32">
        <f t="shared" si="69"/>
        <v>6300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511.05000000000013</v>
      </c>
      <c r="V86" s="50">
        <f t="shared" si="75"/>
        <v>577.65000000000009</v>
      </c>
      <c r="W86" s="50">
        <f t="shared" si="76"/>
        <v>529.25</v>
      </c>
      <c r="X86" s="29">
        <f t="shared" si="77"/>
        <v>1617.9500000000003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513.54999999999995</v>
      </c>
      <c r="E87" s="31">
        <f t="shared" si="67"/>
        <v>2864</v>
      </c>
      <c r="F87" s="31">
        <f t="shared" si="68"/>
        <v>513.54999999999984</v>
      </c>
      <c r="G87" s="32">
        <f t="shared" si="69"/>
        <v>2864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554.95000000000005</v>
      </c>
      <c r="V87" s="50">
        <f>$J$45*$J$34*($D$46*G25+$E$46*H25+$F$46*I25)</f>
        <v>513.54999999999984</v>
      </c>
      <c r="W87" s="50">
        <f>$J$45*$J$34*($D$47*G25+$E$47*H25+$F$47*I25)</f>
        <v>153.74999999999986</v>
      </c>
      <c r="X87" s="29">
        <f t="shared" si="77"/>
        <v>1222.2499999999998</v>
      </c>
    </row>
    <row r="88" spans="1:24">
      <c r="A88" s="87"/>
      <c r="B88" s="48">
        <f t="shared" si="66"/>
        <v>0</v>
      </c>
      <c r="C88" s="93"/>
      <c r="D88" s="31">
        <f t="shared" si="71"/>
        <v>1207.5</v>
      </c>
      <c r="E88" s="31">
        <f t="shared" si="67"/>
        <v>3849</v>
      </c>
      <c r="F88" s="31">
        <f t="shared" si="68"/>
        <v>1207.4999999999995</v>
      </c>
      <c r="G88" s="32">
        <f t="shared" si="69"/>
        <v>3849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1199.5000000000002</v>
      </c>
      <c r="V88" s="50">
        <f t="shared" ref="V88:V89" si="79">$J$45*$J$34*($D$46*G26+$E$46*H26+$F$46*I26)</f>
        <v>1207.4999999999995</v>
      </c>
      <c r="W88" s="50">
        <f t="shared" ref="W88:W89" si="80">$J$45*$J$34*($D$47*G26+$E$47*H26+$F$47*I26)</f>
        <v>647.99999999999977</v>
      </c>
      <c r="X88" s="29">
        <f t="shared" si="77"/>
        <v>3055</v>
      </c>
    </row>
    <row r="89" spans="1:24">
      <c r="A89" s="87"/>
      <c r="B89" s="48" t="str">
        <f t="shared" si="66"/>
        <v>A</v>
      </c>
      <c r="C89" s="93"/>
      <c r="D89" s="31">
        <f t="shared" si="71"/>
        <v>577.65000000000009</v>
      </c>
      <c r="E89" s="31">
        <f t="shared" si="67"/>
        <v>6300</v>
      </c>
      <c r="F89" s="31">
        <f t="shared" si="68"/>
        <v>577.65000000000009</v>
      </c>
      <c r="G89" s="32">
        <f t="shared" si="69"/>
        <v>6300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511.05000000000007</v>
      </c>
      <c r="V89" s="50">
        <f t="shared" si="79"/>
        <v>577.65000000000009</v>
      </c>
      <c r="W89" s="50">
        <f t="shared" si="80"/>
        <v>529.24999999999989</v>
      </c>
      <c r="X89" s="29">
        <f t="shared" si="77"/>
        <v>1617.9500000000003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513.54999999999995</v>
      </c>
      <c r="E90" s="31">
        <f t="shared" si="67"/>
        <v>2864</v>
      </c>
      <c r="F90" s="31">
        <f t="shared" si="68"/>
        <v>513.54999999999984</v>
      </c>
      <c r="G90" s="32">
        <f t="shared" si="69"/>
        <v>2864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554.95000000000005</v>
      </c>
      <c r="V90" s="50">
        <f>$J$48*$J$37*($D$49*G28+$E$49*H28+$F$49*I28)</f>
        <v>513.54999999999984</v>
      </c>
      <c r="W90" s="50">
        <f>$J$48*$J$37*($D$50*G28+$E$50*H28+$F$50*I28)</f>
        <v>153.74999999999989</v>
      </c>
      <c r="X90" s="29">
        <f t="shared" si="77"/>
        <v>1222.25</v>
      </c>
    </row>
    <row r="91" spans="1:24">
      <c r="A91" s="87"/>
      <c r="B91" s="48" t="str">
        <f t="shared" si="66"/>
        <v>D65</v>
      </c>
      <c r="C91" s="93"/>
      <c r="D91" s="31">
        <f t="shared" si="71"/>
        <v>1207.5</v>
      </c>
      <c r="E91" s="31">
        <f t="shared" si="67"/>
        <v>3849</v>
      </c>
      <c r="F91" s="31">
        <f t="shared" si="68"/>
        <v>1207.5000000000002</v>
      </c>
      <c r="G91" s="32">
        <f t="shared" si="69"/>
        <v>3849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1199.5000000000002</v>
      </c>
      <c r="V91" s="50">
        <f t="shared" ref="V91:V92" si="82">$J$48*$J$37*($D$49*G29+$E$49*H29+$F$49*I29)</f>
        <v>1207.5000000000002</v>
      </c>
      <c r="W91" s="50">
        <f t="shared" ref="W91:W92" si="83">$J$48*$J$37*($D$50*G29+$E$50*H29+$F$50*I29)</f>
        <v>648</v>
      </c>
      <c r="X91" s="29">
        <f t="shared" si="77"/>
        <v>3055.0000000000005</v>
      </c>
    </row>
    <row r="92" spans="1:24">
      <c r="A92" s="87"/>
      <c r="B92" s="48" t="str">
        <f t="shared" si="66"/>
        <v>A</v>
      </c>
      <c r="C92" s="93"/>
      <c r="D92" s="31">
        <f t="shared" si="71"/>
        <v>577.65000000000009</v>
      </c>
      <c r="E92" s="31">
        <f t="shared" si="67"/>
        <v>6300</v>
      </c>
      <c r="F92" s="31">
        <f t="shared" si="68"/>
        <v>577.6500000000002</v>
      </c>
      <c r="G92" s="32">
        <f t="shared" si="69"/>
        <v>6300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511.04999999999995</v>
      </c>
      <c r="V92" s="50">
        <f t="shared" si="82"/>
        <v>577.6500000000002</v>
      </c>
      <c r="W92" s="50">
        <f t="shared" si="83"/>
        <v>529.24999999999989</v>
      </c>
      <c r="X92" s="29">
        <f t="shared" si="77"/>
        <v>1617.9500000000003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7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1.7261202356808809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76.801735772991378</v>
      </c>
      <c r="N3" s="46">
        <v>0</v>
      </c>
      <c r="O3" s="50">
        <f>G$5-N3*G$7</f>
        <v>129.66409423750395</v>
      </c>
      <c r="P3" s="50">
        <f>H$5-N3*H$7</f>
        <v>52.86235846451256</v>
      </c>
      <c r="Q3" s="50">
        <f>I$5-N3*I$7</f>
        <v>63.426842684268408</v>
      </c>
    </row>
    <row r="4" spans="1:17">
      <c r="C4" s="46" t="s">
        <v>20</v>
      </c>
      <c r="D4" s="7">
        <v>523.5</v>
      </c>
      <c r="E4" s="7">
        <v>1207</v>
      </c>
      <c r="F4" s="7">
        <v>575.70000000000005</v>
      </c>
      <c r="G4" s="50">
        <f>AVERAGE(D4:F4)</f>
        <v>768.73333333333323</v>
      </c>
      <c r="H4" s="50">
        <f>G4</f>
        <v>768.73333333333323</v>
      </c>
      <c r="I4" s="50">
        <f>H4</f>
        <v>768.73333333333323</v>
      </c>
      <c r="K4" s="13" t="str">
        <f>linefmt("Compensation",B12)</f>
        <v>"Compensation",35,</v>
      </c>
      <c r="M4" s="46">
        <f t="shared" si="0"/>
        <v>74.626649569370301</v>
      </c>
      <c r="N4" s="46">
        <f>N3+1</f>
        <v>1</v>
      </c>
      <c r="O4" s="50">
        <f t="shared" ref="O4:O66" si="1">G$5-N4*G$7</f>
        <v>127.39499006988974</v>
      </c>
      <c r="P4" s="50">
        <f t="shared" ref="P4:P66" si="2">H$5-N4*H$7</f>
        <v>52.76834050051945</v>
      </c>
      <c r="Q4" s="50">
        <f t="shared" ref="Q4:Q66" si="3">I$5-N4*I$7</f>
        <v>63.080300035016016</v>
      </c>
    </row>
    <row r="5" spans="1:17">
      <c r="C5" s="46">
        <v>0</v>
      </c>
      <c r="D5" s="9">
        <v>88.3</v>
      </c>
      <c r="E5" s="9">
        <v>83</v>
      </c>
      <c r="F5" s="9">
        <v>47.5</v>
      </c>
      <c r="G5" s="50">
        <f>G$4/D$4*D5</f>
        <v>129.66409423750395</v>
      </c>
      <c r="H5" s="50">
        <f t="shared" ref="H5:I6" si="4">H$4/E$4*E5</f>
        <v>52.86235846451256</v>
      </c>
      <c r="I5" s="50">
        <f t="shared" si="4"/>
        <v>63.426842684268408</v>
      </c>
      <c r="K5" s="14" t="str">
        <f>linefmt("CardGain",J54)</f>
        <v>"CardGain",16.23376,</v>
      </c>
      <c r="M5" s="46">
        <f t="shared" si="0"/>
        <v>72.451563365749223</v>
      </c>
      <c r="N5" s="46">
        <f t="shared" ref="N5:N66" si="5">N4+1</f>
        <v>2</v>
      </c>
      <c r="O5" s="50">
        <f t="shared" si="1"/>
        <v>125.12588590227556</v>
      </c>
      <c r="P5" s="50">
        <f t="shared" si="2"/>
        <v>52.67432253652634</v>
      </c>
      <c r="Q5" s="50">
        <f t="shared" si="3"/>
        <v>62.733757385763617</v>
      </c>
    </row>
    <row r="6" spans="1:17">
      <c r="B6" s="50">
        <f>D5/4</f>
        <v>22.074999999999999</v>
      </c>
      <c r="C6" s="7">
        <v>42</v>
      </c>
      <c r="D6" s="9">
        <v>23.4</v>
      </c>
      <c r="E6" s="9">
        <v>76.8</v>
      </c>
      <c r="F6" s="9">
        <v>36.6</v>
      </c>
      <c r="G6" s="50">
        <f>G$4/D$4*D6</f>
        <v>34.361719197707728</v>
      </c>
      <c r="H6" s="50">
        <f t="shared" si="4"/>
        <v>48.91360397680198</v>
      </c>
      <c r="I6" s="50">
        <f t="shared" si="4"/>
        <v>48.872051415667869</v>
      </c>
      <c r="K6" s="14" t="str">
        <f>linefmt("Range",1,J34,J37)</f>
        <v>"Range",1,0.9068916,1.116646,</v>
      </c>
      <c r="M6" s="46">
        <f t="shared" si="0"/>
        <v>70.276477162128117</v>
      </c>
      <c r="N6" s="46">
        <f t="shared" si="5"/>
        <v>3</v>
      </c>
      <c r="O6" s="50">
        <f t="shared" si="1"/>
        <v>122.85678173466135</v>
      </c>
      <c r="P6" s="50">
        <f t="shared" si="2"/>
        <v>52.580304572533237</v>
      </c>
      <c r="Q6" s="50">
        <f t="shared" si="3"/>
        <v>62.387214736511226</v>
      </c>
    </row>
    <row r="7" spans="1:17">
      <c r="C7" s="46">
        <f>C5</f>
        <v>0</v>
      </c>
      <c r="D7" s="46">
        <f t="shared" ref="D7:F8" si="6">D$4/D5</f>
        <v>5.9286523216308042</v>
      </c>
      <c r="E7" s="46">
        <f t="shared" si="6"/>
        <v>14.542168674698795</v>
      </c>
      <c r="F7" s="46">
        <f t="shared" si="6"/>
        <v>12.120000000000001</v>
      </c>
      <c r="G7" s="49">
        <f>(G5-G6)/($C6-$C5)</f>
        <v>2.2691041676141959</v>
      </c>
      <c r="H7" s="49">
        <f t="shared" ref="H7:I7" si="7">(H5-H6)/($C6-$C5)</f>
        <v>9.4017963993109063E-2</v>
      </c>
      <c r="I7" s="49">
        <f t="shared" si="7"/>
        <v>0.34654264925239381</v>
      </c>
      <c r="K7" s="14" t="str">
        <f>linefmt("CCM" )</f>
        <v>"CCM",</v>
      </c>
      <c r="M7" s="46">
        <f t="shared" si="0"/>
        <v>68.101390958507039</v>
      </c>
      <c r="N7" s="46">
        <f t="shared" si="5"/>
        <v>4</v>
      </c>
      <c r="O7" s="50">
        <f t="shared" si="1"/>
        <v>120.58767756704717</v>
      </c>
      <c r="P7" s="50">
        <f t="shared" si="2"/>
        <v>52.486286608540127</v>
      </c>
      <c r="Q7" s="50">
        <f t="shared" si="3"/>
        <v>62.040672087258834</v>
      </c>
    </row>
    <row r="8" spans="1:17">
      <c r="C8" s="46">
        <f>C6</f>
        <v>42</v>
      </c>
      <c r="D8" s="46">
        <f t="shared" si="6"/>
        <v>22.371794871794872</v>
      </c>
      <c r="E8" s="46">
        <f t="shared" si="6"/>
        <v>15.716145833333334</v>
      </c>
      <c r="F8" s="46">
        <f t="shared" si="6"/>
        <v>15.729508196721312</v>
      </c>
      <c r="K8" s="15" t="str">
        <f>linefmt("",D54,E54,F54)</f>
        <v>0.2228491,1.02869,-0.4644647,</v>
      </c>
      <c r="M8" s="46">
        <f t="shared" si="0"/>
        <v>65.926304754885948</v>
      </c>
      <c r="N8" s="46">
        <f t="shared" si="5"/>
        <v>5</v>
      </c>
      <c r="O8" s="50">
        <f t="shared" si="1"/>
        <v>118.31857339943296</v>
      </c>
      <c r="P8" s="50">
        <f t="shared" si="2"/>
        <v>52.392268644547016</v>
      </c>
      <c r="Q8" s="50">
        <f t="shared" si="3"/>
        <v>61.694129438006442</v>
      </c>
    </row>
    <row r="9" spans="1:17">
      <c r="C9" s="46" t="s">
        <v>23</v>
      </c>
      <c r="D9" s="46">
        <f>(D8-D7)/($C8-$C7)</f>
        <v>0.39150339405152546</v>
      </c>
      <c r="E9" s="46">
        <f>(E8-E7)/($C8-$C7)</f>
        <v>2.795183711034617E-2</v>
      </c>
      <c r="F9" s="46">
        <f>(F8-F7)/($C8-$C7)</f>
        <v>8.5940671350507411E-2</v>
      </c>
      <c r="K9" s="15" t="str">
        <f>linefmt("",D55,E55,F55)</f>
        <v>0.060788,1,-0.1584196,</v>
      </c>
      <c r="M9" s="46">
        <f t="shared" si="0"/>
        <v>63.75121855126487</v>
      </c>
      <c r="N9" s="46">
        <f t="shared" si="5"/>
        <v>6</v>
      </c>
      <c r="O9" s="50">
        <f t="shared" si="1"/>
        <v>116.04946923181878</v>
      </c>
      <c r="P9" s="50">
        <f t="shared" si="2"/>
        <v>52.298250680553906</v>
      </c>
      <c r="Q9" s="50">
        <f t="shared" si="3"/>
        <v>61.347586788754043</v>
      </c>
    </row>
    <row r="10" spans="1:17">
      <c r="K10" s="16" t="str">
        <f>linefmt("",D56,E56,F56)</f>
        <v>-0.5035229,0.369184,1.011842,</v>
      </c>
      <c r="M10" s="46">
        <f t="shared" si="0"/>
        <v>61.576132347643778</v>
      </c>
      <c r="N10" s="46">
        <f t="shared" si="5"/>
        <v>7</v>
      </c>
      <c r="O10" s="50">
        <f t="shared" si="1"/>
        <v>113.78036506420457</v>
      </c>
      <c r="P10" s="50">
        <f t="shared" si="2"/>
        <v>52.204232716560796</v>
      </c>
      <c r="Q10" s="50">
        <f t="shared" si="3"/>
        <v>61.001044139501651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59.4010461440227</v>
      </c>
      <c r="N11" s="46">
        <f t="shared" si="5"/>
        <v>8</v>
      </c>
      <c r="O11" s="50">
        <f t="shared" si="1"/>
        <v>111.51126089659039</v>
      </c>
      <c r="P11" s="50">
        <f t="shared" si="2"/>
        <v>52.110214752567686</v>
      </c>
      <c r="Q11" s="50">
        <f t="shared" si="3"/>
        <v>60.65450149024926</v>
      </c>
    </row>
    <row r="12" spans="1:17">
      <c r="A12" s="46" t="s">
        <v>16</v>
      </c>
      <c r="B12" s="10">
        <f>MATCH(M2,M3:M66,0)-1</f>
        <v>35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Compensation=35</v>
      </c>
      <c r="M12" s="46">
        <f t="shared" si="0"/>
        <v>57.225959940401609</v>
      </c>
      <c r="N12" s="46">
        <f t="shared" si="5"/>
        <v>9</v>
      </c>
      <c r="O12" s="50">
        <f t="shared" si="1"/>
        <v>109.24215672897618</v>
      </c>
      <c r="P12" s="50">
        <f t="shared" si="2"/>
        <v>52.016196788574575</v>
      </c>
      <c r="Q12" s="50">
        <f t="shared" si="3"/>
        <v>60.307958840996861</v>
      </c>
    </row>
    <row r="13" spans="1:17">
      <c r="A13" s="78" t="s">
        <v>12</v>
      </c>
      <c r="B13" s="79" t="s">
        <v>0</v>
      </c>
      <c r="C13" s="46">
        <v>0</v>
      </c>
      <c r="D13" s="7">
        <v>552.79999999999995</v>
      </c>
      <c r="E13" s="7">
        <v>511.4</v>
      </c>
      <c r="F13" s="7">
        <v>153.80000000000001</v>
      </c>
      <c r="G13" s="8">
        <v>86.7</v>
      </c>
      <c r="H13" s="8">
        <v>32.299999999999997</v>
      </c>
      <c r="I13" s="8">
        <v>39</v>
      </c>
      <c r="M13" s="46">
        <f t="shared" si="0"/>
        <v>55.05087373678051</v>
      </c>
      <c r="N13" s="46">
        <f t="shared" si="5"/>
        <v>10</v>
      </c>
      <c r="O13" s="50">
        <f t="shared" si="1"/>
        <v>106.97305256136198</v>
      </c>
      <c r="P13" s="50">
        <f t="shared" si="2"/>
        <v>51.922178824581472</v>
      </c>
      <c r="Q13" s="50">
        <f t="shared" si="3"/>
        <v>59.961416191744469</v>
      </c>
    </row>
    <row r="14" spans="1:17">
      <c r="A14" s="78"/>
      <c r="B14" s="79"/>
      <c r="C14" s="46">
        <f>C13+1</f>
        <v>1</v>
      </c>
      <c r="D14" s="7">
        <v>558.79999999999995</v>
      </c>
      <c r="E14" s="7">
        <v>516.9</v>
      </c>
      <c r="F14" s="7">
        <v>153.80000000000001</v>
      </c>
      <c r="G14" s="8">
        <v>94.1</v>
      </c>
      <c r="H14" s="8">
        <v>36.1</v>
      </c>
      <c r="I14" s="8">
        <v>43.4</v>
      </c>
      <c r="M14" s="46">
        <f t="shared" si="0"/>
        <v>52.875787533159432</v>
      </c>
      <c r="N14" s="46">
        <f t="shared" si="5"/>
        <v>11</v>
      </c>
      <c r="O14" s="50">
        <f t="shared" si="1"/>
        <v>104.70394839374779</v>
      </c>
      <c r="P14" s="50">
        <f t="shared" si="2"/>
        <v>51.828160860588362</v>
      </c>
      <c r="Q14" s="50">
        <f t="shared" si="3"/>
        <v>59.614873542492077</v>
      </c>
    </row>
    <row r="15" spans="1:17">
      <c r="A15" s="78"/>
      <c r="B15" s="79"/>
      <c r="C15" s="46">
        <f>C14+1</f>
        <v>2</v>
      </c>
      <c r="D15" s="6">
        <f>2*(D13-D14)/(D13+D14)</f>
        <v>-1.0795250089960419E-2</v>
      </c>
      <c r="E15" s="6">
        <f t="shared" ref="E15:F15" si="8">2*(E13-E14)/(E13+E14)</f>
        <v>-1.0697267334435476E-2</v>
      </c>
      <c r="F15" s="6">
        <f t="shared" si="8"/>
        <v>0</v>
      </c>
      <c r="G15" s="8">
        <v>73.8</v>
      </c>
      <c r="H15" s="8">
        <v>29.9</v>
      </c>
      <c r="I15" s="8">
        <v>36.4</v>
      </c>
      <c r="M15" s="46">
        <f t="shared" si="0"/>
        <v>50.70070132953834</v>
      </c>
      <c r="N15" s="46">
        <f t="shared" si="5"/>
        <v>12</v>
      </c>
      <c r="O15" s="50">
        <f t="shared" si="1"/>
        <v>102.43484422613359</v>
      </c>
      <c r="P15" s="50">
        <f t="shared" si="2"/>
        <v>51.734142896595252</v>
      </c>
      <c r="Q15" s="50">
        <f t="shared" si="3"/>
        <v>59.268330893239678</v>
      </c>
    </row>
    <row r="16" spans="1:17">
      <c r="A16" s="78"/>
      <c r="B16" s="79" t="s">
        <v>1</v>
      </c>
      <c r="C16" s="46">
        <f>C13</f>
        <v>0</v>
      </c>
      <c r="D16" s="7">
        <v>1199</v>
      </c>
      <c r="E16" s="7">
        <v>1208</v>
      </c>
      <c r="F16" s="7">
        <v>648</v>
      </c>
      <c r="G16" s="8">
        <v>67.599999999999994</v>
      </c>
      <c r="H16" s="8">
        <v>78</v>
      </c>
      <c r="I16" s="8">
        <v>43.7</v>
      </c>
      <c r="M16" s="46">
        <f t="shared" si="0"/>
        <v>48.525615125917263</v>
      </c>
      <c r="N16" s="46">
        <f t="shared" si="5"/>
        <v>13</v>
      </c>
      <c r="O16" s="50">
        <f t="shared" si="1"/>
        <v>100.1657400585194</v>
      </c>
      <c r="P16" s="50">
        <f t="shared" si="2"/>
        <v>51.640124932602141</v>
      </c>
      <c r="Q16" s="50">
        <f t="shared" si="3"/>
        <v>58.921788243987287</v>
      </c>
    </row>
    <row r="17" spans="1:21">
      <c r="A17" s="78"/>
      <c r="B17" s="79"/>
      <c r="C17" s="46">
        <f t="shared" ref="C17:C21" si="9">C14</f>
        <v>1</v>
      </c>
      <c r="D17" s="7">
        <v>1200</v>
      </c>
      <c r="E17" s="7">
        <v>1209</v>
      </c>
      <c r="F17" s="7">
        <v>648</v>
      </c>
      <c r="G17" s="8">
        <v>74.3</v>
      </c>
      <c r="H17" s="8">
        <v>84.9</v>
      </c>
      <c r="I17" s="8">
        <v>48.5</v>
      </c>
      <c r="M17" s="46">
        <f t="shared" si="0"/>
        <v>46.350528922296171</v>
      </c>
      <c r="N17" s="46">
        <f t="shared" si="5"/>
        <v>14</v>
      </c>
      <c r="O17" s="50">
        <f t="shared" si="1"/>
        <v>97.896635890905202</v>
      </c>
      <c r="P17" s="50">
        <f t="shared" si="2"/>
        <v>51.546106968609031</v>
      </c>
      <c r="Q17" s="50">
        <f t="shared" si="3"/>
        <v>58.575245594734895</v>
      </c>
    </row>
    <row r="18" spans="1:21">
      <c r="A18" s="78"/>
      <c r="B18" s="79"/>
      <c r="C18" s="46">
        <f t="shared" si="9"/>
        <v>2</v>
      </c>
      <c r="D18" s="6">
        <f>2*(D16-D17)/(D16+D17)</f>
        <v>-8.3368070029178826E-4</v>
      </c>
      <c r="E18" s="6">
        <f t="shared" ref="E18:F18" si="10">2*(E16-E17)/(E16+E17)</f>
        <v>-8.2747207281754236E-4</v>
      </c>
      <c r="F18" s="6">
        <f t="shared" si="10"/>
        <v>0</v>
      </c>
      <c r="G18" s="8">
        <v>58.2</v>
      </c>
      <c r="H18" s="8">
        <v>69.2</v>
      </c>
      <c r="I18" s="8">
        <v>41.1</v>
      </c>
      <c r="M18" s="46">
        <f t="shared" si="0"/>
        <v>44.175442718675086</v>
      </c>
      <c r="N18" s="46">
        <f t="shared" si="5"/>
        <v>15</v>
      </c>
      <c r="O18" s="50">
        <f t="shared" si="1"/>
        <v>95.627531723291014</v>
      </c>
      <c r="P18" s="50">
        <f t="shared" si="2"/>
        <v>51.452089004615928</v>
      </c>
      <c r="Q18" s="50">
        <f t="shared" si="3"/>
        <v>58.228702945482503</v>
      </c>
    </row>
    <row r="19" spans="1:21">
      <c r="A19" s="78"/>
      <c r="B19" s="79" t="s">
        <v>2</v>
      </c>
      <c r="C19" s="46">
        <f t="shared" si="9"/>
        <v>0</v>
      </c>
      <c r="D19" s="7">
        <v>509.8</v>
      </c>
      <c r="E19" s="7">
        <v>576.5</v>
      </c>
      <c r="F19" s="7">
        <v>528.5</v>
      </c>
      <c r="G19" s="8">
        <v>28.8</v>
      </c>
      <c r="H19" s="8">
        <v>38.299999999999997</v>
      </c>
      <c r="I19" s="8">
        <v>31.7</v>
      </c>
      <c r="M19" s="46">
        <f t="shared" si="0"/>
        <v>42.000356515053994</v>
      </c>
      <c r="N19" s="46">
        <f t="shared" si="5"/>
        <v>16</v>
      </c>
      <c r="O19" s="50">
        <f t="shared" si="1"/>
        <v>93.358427555676812</v>
      </c>
      <c r="P19" s="50">
        <f t="shared" si="2"/>
        <v>51.358071040622818</v>
      </c>
      <c r="Q19" s="50">
        <f t="shared" si="3"/>
        <v>57.882160296230104</v>
      </c>
    </row>
    <row r="20" spans="1:21">
      <c r="A20" s="78"/>
      <c r="B20" s="79"/>
      <c r="C20" s="46">
        <f t="shared" si="9"/>
        <v>1</v>
      </c>
      <c r="D20" s="7">
        <v>511.1</v>
      </c>
      <c r="E20" s="7">
        <v>577.70000000000005</v>
      </c>
      <c r="F20" s="7">
        <v>528.79999999999995</v>
      </c>
      <c r="G20" s="8">
        <v>32.4</v>
      </c>
      <c r="H20" s="8">
        <v>42.7</v>
      </c>
      <c r="I20" s="8">
        <v>35.5</v>
      </c>
      <c r="M20" s="46">
        <f t="shared" si="0"/>
        <v>39.825270311432902</v>
      </c>
      <c r="N20" s="46">
        <f t="shared" si="5"/>
        <v>17</v>
      </c>
      <c r="O20" s="50">
        <f t="shared" si="1"/>
        <v>91.08932338806261</v>
      </c>
      <c r="P20" s="50">
        <f t="shared" si="2"/>
        <v>51.264053076629708</v>
      </c>
      <c r="Q20" s="50">
        <f t="shared" si="3"/>
        <v>57.535617646977713</v>
      </c>
    </row>
    <row r="21" spans="1:21">
      <c r="A21" s="78"/>
      <c r="B21" s="79"/>
      <c r="C21" s="46">
        <f t="shared" si="9"/>
        <v>2</v>
      </c>
      <c r="D21" s="6">
        <f>2*(D19-D20)/(D19+D20)</f>
        <v>-2.546772455676386E-3</v>
      </c>
      <c r="E21" s="6">
        <f t="shared" ref="E21:F21" si="11">2*(E19-E20)/(E19+E20)</f>
        <v>-2.0793623288858872E-3</v>
      </c>
      <c r="F21" s="6">
        <f t="shared" si="11"/>
        <v>-5.6748321195489366E-4</v>
      </c>
      <c r="G21" s="8">
        <v>26.3</v>
      </c>
      <c r="H21" s="8">
        <v>35.5</v>
      </c>
      <c r="I21" s="8">
        <v>29.1</v>
      </c>
      <c r="M21" s="46">
        <f t="shared" si="0"/>
        <v>37.650184107811825</v>
      </c>
      <c r="N21" s="46">
        <f t="shared" si="5"/>
        <v>18</v>
      </c>
      <c r="O21" s="50">
        <f t="shared" si="1"/>
        <v>88.820219220448422</v>
      </c>
      <c r="P21" s="50">
        <f t="shared" si="2"/>
        <v>51.170035112636597</v>
      </c>
      <c r="Q21" s="50">
        <f t="shared" si="3"/>
        <v>57.189074997725321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555.79999999999995</v>
      </c>
      <c r="E22" s="46">
        <f t="shared" ref="E22:F22" si="12">(E13+E14)/2</f>
        <v>514.15</v>
      </c>
      <c r="F22" s="46">
        <f t="shared" si="12"/>
        <v>153.80000000000001</v>
      </c>
      <c r="G22" s="5">
        <f>G13</f>
        <v>86.7</v>
      </c>
      <c r="H22" s="5">
        <f t="shared" ref="H22:I22" si="13">H13</f>
        <v>32.299999999999997</v>
      </c>
      <c r="I22" s="5">
        <f t="shared" si="13"/>
        <v>39</v>
      </c>
      <c r="J22" s="99">
        <f>AVERAGE(G22:I24)</f>
        <v>49.56666666666667</v>
      </c>
      <c r="M22" s="46">
        <f t="shared" si="0"/>
        <v>35.475097904190747</v>
      </c>
      <c r="N22" s="46">
        <f t="shared" si="5"/>
        <v>19</v>
      </c>
      <c r="O22" s="50">
        <f t="shared" si="1"/>
        <v>86.551115052834234</v>
      </c>
      <c r="P22" s="50">
        <f t="shared" si="2"/>
        <v>51.076017148643487</v>
      </c>
      <c r="Q22" s="50">
        <f t="shared" si="3"/>
        <v>56.842532348472929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1199.5</v>
      </c>
      <c r="E23" s="46">
        <f>(E16+E17)/2</f>
        <v>1208.5</v>
      </c>
      <c r="F23" s="46">
        <f>(F16+F17)/2</f>
        <v>648</v>
      </c>
      <c r="G23" s="5">
        <f>G16</f>
        <v>67.599999999999994</v>
      </c>
      <c r="H23" s="5">
        <f>H16</f>
        <v>78</v>
      </c>
      <c r="I23" s="5">
        <f>I16</f>
        <v>43.7</v>
      </c>
      <c r="J23" s="99"/>
      <c r="M23" s="46">
        <f t="shared" si="0"/>
        <v>33.300011700569655</v>
      </c>
      <c r="N23" s="46">
        <f t="shared" si="5"/>
        <v>20</v>
      </c>
      <c r="O23" s="50">
        <f t="shared" si="1"/>
        <v>84.282010885220032</v>
      </c>
      <c r="P23" s="50">
        <f t="shared" si="2"/>
        <v>50.981999184650377</v>
      </c>
      <c r="Q23" s="50">
        <f t="shared" si="3"/>
        <v>56.49598969922053</v>
      </c>
    </row>
    <row r="24" spans="1:21">
      <c r="A24" s="78"/>
      <c r="B24" s="46" t="str">
        <f>B19</f>
        <v>D65</v>
      </c>
      <c r="C24" s="79"/>
      <c r="D24" s="46">
        <f>(D19+D20)/2</f>
        <v>510.45000000000005</v>
      </c>
      <c r="E24" s="46">
        <f>(E19+E20)/2</f>
        <v>577.1</v>
      </c>
      <c r="F24" s="46">
        <f>(F19+F20)/2</f>
        <v>528.65</v>
      </c>
      <c r="G24" s="5">
        <f>G19</f>
        <v>28.8</v>
      </c>
      <c r="H24" s="5">
        <f>H19</f>
        <v>38.299999999999997</v>
      </c>
      <c r="I24" s="5">
        <f>I19</f>
        <v>31.7</v>
      </c>
      <c r="J24" s="99"/>
      <c r="M24" s="46">
        <f t="shared" si="0"/>
        <v>31.124925496948563</v>
      </c>
      <c r="N24" s="46">
        <f t="shared" si="5"/>
        <v>21</v>
      </c>
      <c r="O24" s="50">
        <f t="shared" si="1"/>
        <v>82.01290671760583</v>
      </c>
      <c r="P24" s="50">
        <f t="shared" si="2"/>
        <v>50.887981220657267</v>
      </c>
      <c r="Q24" s="50">
        <f t="shared" si="3"/>
        <v>56.149447049968138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555.79999999999995</v>
      </c>
      <c r="E25" s="46">
        <f t="shared" ref="E25:F25" si="15">(E13+E14)/2</f>
        <v>514.15</v>
      </c>
      <c r="F25" s="46">
        <f t="shared" si="15"/>
        <v>153.80000000000001</v>
      </c>
      <c r="G25" s="5">
        <f t="shared" ref="G25:I25" si="16">G14</f>
        <v>94.1</v>
      </c>
      <c r="H25" s="5">
        <f t="shared" si="16"/>
        <v>36.1</v>
      </c>
      <c r="I25" s="5">
        <f t="shared" si="16"/>
        <v>43.4</v>
      </c>
      <c r="J25" s="99">
        <f>AVERAGE(G25:I27)</f>
        <v>54.655555555555544</v>
      </c>
      <c r="M25" s="46">
        <f t="shared" si="0"/>
        <v>28.949839293327479</v>
      </c>
      <c r="N25" s="46">
        <f t="shared" si="5"/>
        <v>22</v>
      </c>
      <c r="O25" s="50">
        <f t="shared" si="1"/>
        <v>79.743802549991642</v>
      </c>
      <c r="P25" s="50">
        <f t="shared" si="2"/>
        <v>50.793963256664163</v>
      </c>
      <c r="Q25" s="50">
        <f t="shared" si="3"/>
        <v>55.802904400715747</v>
      </c>
    </row>
    <row r="26" spans="1:21">
      <c r="A26" s="78"/>
      <c r="B26" s="46" t="str">
        <f>B16</f>
        <v>CWF</v>
      </c>
      <c r="C26" s="79"/>
      <c r="D26" s="46">
        <f>(D16+D17)/2</f>
        <v>1199.5</v>
      </c>
      <c r="E26" s="46">
        <f>(E16+E17)/2</f>
        <v>1208.5</v>
      </c>
      <c r="F26" s="46">
        <f>(F16+F17)/2</f>
        <v>648</v>
      </c>
      <c r="G26" s="5">
        <f>G17</f>
        <v>74.3</v>
      </c>
      <c r="H26" s="5">
        <f>H17</f>
        <v>84.9</v>
      </c>
      <c r="I26" s="5">
        <f>I17</f>
        <v>48.5</v>
      </c>
      <c r="J26" s="99"/>
      <c r="M26" s="46">
        <f t="shared" si="0"/>
        <v>26.774753089706387</v>
      </c>
      <c r="N26" s="46">
        <f t="shared" si="5"/>
        <v>23</v>
      </c>
      <c r="O26" s="50">
        <f t="shared" si="1"/>
        <v>77.47469838237744</v>
      </c>
      <c r="P26" s="50">
        <f t="shared" si="2"/>
        <v>50.699945292671053</v>
      </c>
      <c r="Q26" s="50">
        <f t="shared" si="3"/>
        <v>55.456361751463348</v>
      </c>
    </row>
    <row r="27" spans="1:21">
      <c r="A27" s="78"/>
      <c r="B27" s="46" t="str">
        <f>B19</f>
        <v>D65</v>
      </c>
      <c r="C27" s="79"/>
      <c r="D27" s="46">
        <f>(D19+D20)/2</f>
        <v>510.45000000000005</v>
      </c>
      <c r="E27" s="46">
        <f>(E19+E20)/2</f>
        <v>577.1</v>
      </c>
      <c r="F27" s="46">
        <f>(F19+F20)/2</f>
        <v>528.65</v>
      </c>
      <c r="G27" s="5">
        <f>G20</f>
        <v>32.4</v>
      </c>
      <c r="H27" s="5">
        <f>H20</f>
        <v>42.7</v>
      </c>
      <c r="I27" s="5">
        <f>I20</f>
        <v>35.5</v>
      </c>
      <c r="J27" s="99"/>
      <c r="M27" s="46">
        <f t="shared" si="0"/>
        <v>24.599666886085295</v>
      </c>
      <c r="N27" s="46">
        <f t="shared" si="5"/>
        <v>24</v>
      </c>
      <c r="O27" s="50">
        <f t="shared" si="1"/>
        <v>75.205594214763238</v>
      </c>
      <c r="P27" s="50">
        <f t="shared" si="2"/>
        <v>50.605927328677943</v>
      </c>
      <c r="Q27" s="50">
        <f t="shared" si="3"/>
        <v>55.109819102210956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555.79999999999995</v>
      </c>
      <c r="E28" s="46">
        <f t="shared" ref="E28:F28" si="17">(E13+E14)/2</f>
        <v>514.15</v>
      </c>
      <c r="F28" s="46">
        <f t="shared" si="17"/>
        <v>153.80000000000001</v>
      </c>
      <c r="G28" s="5">
        <f t="shared" ref="G28:I28" si="18">G15</f>
        <v>73.8</v>
      </c>
      <c r="H28" s="5">
        <f t="shared" si="18"/>
        <v>29.9</v>
      </c>
      <c r="I28" s="5">
        <f t="shared" si="18"/>
        <v>36.4</v>
      </c>
      <c r="J28" s="99">
        <f>AVERAGE(G28:I30)</f>
        <v>44.388888888888893</v>
      </c>
      <c r="M28" s="46">
        <f t="shared" si="0"/>
        <v>22.424580682464217</v>
      </c>
      <c r="N28" s="46">
        <f t="shared" si="5"/>
        <v>25</v>
      </c>
      <c r="O28" s="50">
        <f t="shared" si="1"/>
        <v>72.93649004714905</v>
      </c>
      <c r="P28" s="50">
        <f t="shared" si="2"/>
        <v>50.511909364684833</v>
      </c>
      <c r="Q28" s="50">
        <f t="shared" si="3"/>
        <v>54.763276452958564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1199.5</v>
      </c>
      <c r="E29" s="46">
        <f t="shared" si="20"/>
        <v>1208.5</v>
      </c>
      <c r="F29" s="46">
        <f t="shared" si="20"/>
        <v>648</v>
      </c>
      <c r="G29" s="5">
        <f t="shared" ref="G29:I29" si="21">G18</f>
        <v>58.2</v>
      </c>
      <c r="H29" s="5">
        <f t="shared" si="21"/>
        <v>69.2</v>
      </c>
      <c r="I29" s="5">
        <f t="shared" si="21"/>
        <v>41.1</v>
      </c>
      <c r="J29" s="99"/>
      <c r="M29" s="46">
        <f t="shared" si="0"/>
        <v>20.24949447884314</v>
      </c>
      <c r="N29" s="46">
        <f t="shared" si="5"/>
        <v>26</v>
      </c>
      <c r="O29" s="50">
        <f t="shared" si="1"/>
        <v>70.667385879534862</v>
      </c>
      <c r="P29" s="50">
        <f t="shared" si="2"/>
        <v>50.417891400691722</v>
      </c>
      <c r="Q29" s="50">
        <f t="shared" si="3"/>
        <v>54.416733803706165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510.45000000000005</v>
      </c>
      <c r="E30" s="46">
        <f t="shared" si="23"/>
        <v>577.1</v>
      </c>
      <c r="F30" s="46">
        <f t="shared" si="23"/>
        <v>528.65</v>
      </c>
      <c r="G30" s="5">
        <f t="shared" ref="G30:I30" si="24">G21</f>
        <v>26.3</v>
      </c>
      <c r="H30" s="5">
        <f t="shared" si="24"/>
        <v>35.5</v>
      </c>
      <c r="I30" s="5">
        <f t="shared" si="24"/>
        <v>29.1</v>
      </c>
      <c r="J30" s="99"/>
      <c r="M30" s="46">
        <f t="shared" si="0"/>
        <v>18.074408275222041</v>
      </c>
      <c r="N30" s="46">
        <f t="shared" si="5"/>
        <v>27</v>
      </c>
      <c r="O30" s="50">
        <f t="shared" si="1"/>
        <v>68.39828171192066</v>
      </c>
      <c r="P30" s="50">
        <f t="shared" si="2"/>
        <v>50.323873436698619</v>
      </c>
      <c r="Q30" s="50">
        <f t="shared" si="3"/>
        <v>54.070191154453774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555.79999999999995</v>
      </c>
      <c r="E31" s="46">
        <f t="shared" si="25"/>
        <v>514.15</v>
      </c>
      <c r="F31" s="46">
        <f t="shared" si="25"/>
        <v>153.80000000000001</v>
      </c>
      <c r="G31" s="5">
        <f t="shared" ref="G31:I33" si="26">G22*$J$31</f>
        <v>86.7</v>
      </c>
      <c r="H31" s="5">
        <f t="shared" si="26"/>
        <v>32.299999999999997</v>
      </c>
      <c r="I31" s="5">
        <f t="shared" si="26"/>
        <v>39</v>
      </c>
      <c r="J31" s="96">
        <f>J$22/J22</f>
        <v>1</v>
      </c>
      <c r="M31" s="46">
        <f t="shared" si="0"/>
        <v>15.899322071600949</v>
      </c>
      <c r="N31" s="46">
        <f t="shared" si="5"/>
        <v>28</v>
      </c>
      <c r="O31" s="50">
        <f t="shared" si="1"/>
        <v>66.129177544306458</v>
      </c>
      <c r="P31" s="50">
        <f t="shared" si="2"/>
        <v>50.229855472705509</v>
      </c>
      <c r="Q31" s="50">
        <f t="shared" si="3"/>
        <v>53.723648505201382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1199.5</v>
      </c>
      <c r="E32" s="46">
        <f t="shared" si="27"/>
        <v>1208.5</v>
      </c>
      <c r="F32" s="46">
        <f t="shared" si="27"/>
        <v>648</v>
      </c>
      <c r="G32" s="5">
        <f t="shared" si="26"/>
        <v>67.599999999999994</v>
      </c>
      <c r="H32" s="5">
        <f t="shared" si="26"/>
        <v>78</v>
      </c>
      <c r="I32" s="5">
        <f t="shared" si="26"/>
        <v>43.7</v>
      </c>
      <c r="J32" s="96"/>
      <c r="M32" s="46">
        <f t="shared" si="0"/>
        <v>13.724235867979871</v>
      </c>
      <c r="N32" s="46">
        <f t="shared" si="5"/>
        <v>29</v>
      </c>
      <c r="O32" s="50">
        <f t="shared" si="1"/>
        <v>63.86007337669227</v>
      </c>
      <c r="P32" s="50">
        <f t="shared" si="2"/>
        <v>50.135837508712399</v>
      </c>
      <c r="Q32" s="50">
        <f t="shared" si="3"/>
        <v>53.377105855948983</v>
      </c>
    </row>
    <row r="33" spans="1:17">
      <c r="A33" s="78"/>
      <c r="B33" s="46" t="str">
        <f t="shared" si="27"/>
        <v>D65</v>
      </c>
      <c r="C33" s="79"/>
      <c r="D33" s="46">
        <f t="shared" si="27"/>
        <v>510.45000000000005</v>
      </c>
      <c r="E33" s="46">
        <f t="shared" si="27"/>
        <v>577.1</v>
      </c>
      <c r="F33" s="46">
        <f t="shared" si="27"/>
        <v>528.65</v>
      </c>
      <c r="G33" s="5">
        <f t="shared" si="26"/>
        <v>28.8</v>
      </c>
      <c r="H33" s="5">
        <f t="shared" si="26"/>
        <v>38.299999999999997</v>
      </c>
      <c r="I33" s="5">
        <f t="shared" si="26"/>
        <v>31.7</v>
      </c>
      <c r="J33" s="96"/>
      <c r="M33" s="46">
        <f t="shared" si="0"/>
        <v>11.549149664358779</v>
      </c>
      <c r="N33" s="46">
        <f t="shared" si="5"/>
        <v>30</v>
      </c>
      <c r="O33" s="50">
        <f t="shared" si="1"/>
        <v>61.590969209078068</v>
      </c>
      <c r="P33" s="50">
        <f t="shared" si="2"/>
        <v>50.041819544719289</v>
      </c>
      <c r="Q33" s="50">
        <f t="shared" si="3"/>
        <v>53.030563206696591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555.79999999999995</v>
      </c>
      <c r="E34" s="46">
        <f t="shared" si="27"/>
        <v>514.15</v>
      </c>
      <c r="F34" s="46">
        <f t="shared" si="27"/>
        <v>153.80000000000001</v>
      </c>
      <c r="G34" s="5">
        <f t="shared" ref="G34:I36" si="28">G25*$J$34</f>
        <v>85.338503760927026</v>
      </c>
      <c r="H34" s="5">
        <f t="shared" si="28"/>
        <v>32.738788371620259</v>
      </c>
      <c r="I34" s="5">
        <f t="shared" si="28"/>
        <v>39.359097377515759</v>
      </c>
      <c r="J34" s="96">
        <f>J$22/J25</f>
        <v>0.90689164464322036</v>
      </c>
      <c r="M34" s="46">
        <f t="shared" si="0"/>
        <v>9.3740634607377018</v>
      </c>
      <c r="N34" s="46">
        <f t="shared" si="5"/>
        <v>31</v>
      </c>
      <c r="O34" s="50">
        <f t="shared" si="1"/>
        <v>59.32186504146388</v>
      </c>
      <c r="P34" s="50">
        <f t="shared" si="2"/>
        <v>49.947801580726178</v>
      </c>
      <c r="Q34" s="50">
        <f t="shared" si="3"/>
        <v>52.6840205574442</v>
      </c>
    </row>
    <row r="35" spans="1:17">
      <c r="A35" s="78"/>
      <c r="B35" s="46" t="str">
        <f t="shared" si="27"/>
        <v>CWF</v>
      </c>
      <c r="C35" s="79"/>
      <c r="D35" s="46">
        <f t="shared" si="27"/>
        <v>1199.5</v>
      </c>
      <c r="E35" s="46">
        <f t="shared" si="27"/>
        <v>1208.5</v>
      </c>
      <c r="F35" s="46">
        <f t="shared" si="27"/>
        <v>648</v>
      </c>
      <c r="G35" s="5">
        <f t="shared" si="28"/>
        <v>67.382049196991275</v>
      </c>
      <c r="H35" s="5">
        <f t="shared" si="28"/>
        <v>76.995100630209407</v>
      </c>
      <c r="I35" s="5">
        <f t="shared" si="28"/>
        <v>43.984244765196188</v>
      </c>
      <c r="J35" s="96"/>
      <c r="M35" s="46">
        <f t="shared" si="0"/>
        <v>7.19897725711661</v>
      </c>
      <c r="N35" s="46">
        <f t="shared" si="5"/>
        <v>32</v>
      </c>
      <c r="O35" s="50">
        <f t="shared" si="1"/>
        <v>57.052760873849678</v>
      </c>
      <c r="P35" s="50">
        <f t="shared" si="2"/>
        <v>49.853783616733068</v>
      </c>
      <c r="Q35" s="50">
        <f t="shared" si="3"/>
        <v>52.337477908191808</v>
      </c>
    </row>
    <row r="36" spans="1:17">
      <c r="A36" s="78"/>
      <c r="B36" s="46" t="str">
        <f t="shared" si="27"/>
        <v>D65</v>
      </c>
      <c r="C36" s="79"/>
      <c r="D36" s="46">
        <f t="shared" si="27"/>
        <v>510.45000000000005</v>
      </c>
      <c r="E36" s="46">
        <f t="shared" si="27"/>
        <v>577.1</v>
      </c>
      <c r="F36" s="46">
        <f t="shared" si="27"/>
        <v>528.65</v>
      </c>
      <c r="G36" s="5">
        <f t="shared" si="28"/>
        <v>29.383289286440338</v>
      </c>
      <c r="H36" s="5">
        <f t="shared" si="28"/>
        <v>38.72427322626551</v>
      </c>
      <c r="I36" s="5">
        <f t="shared" si="28"/>
        <v>32.194653384834325</v>
      </c>
      <c r="J36" s="96"/>
      <c r="M36" s="46">
        <f t="shared" si="0"/>
        <v>5.0238910534955181</v>
      </c>
      <c r="N36" s="46">
        <f t="shared" si="5"/>
        <v>33</v>
      </c>
      <c r="O36" s="50">
        <f t="shared" si="1"/>
        <v>54.783656706235476</v>
      </c>
      <c r="P36" s="50">
        <f t="shared" si="2"/>
        <v>49.759765652739958</v>
      </c>
      <c r="Q36" s="50">
        <f t="shared" si="3"/>
        <v>51.990935258939416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555.79999999999995</v>
      </c>
      <c r="E37" s="46">
        <f t="shared" si="27"/>
        <v>514.15</v>
      </c>
      <c r="F37" s="46">
        <f t="shared" si="27"/>
        <v>153.80000000000001</v>
      </c>
      <c r="G37" s="5">
        <f t="shared" ref="G37:I39" si="29">G28*$J$37</f>
        <v>82.408460575719658</v>
      </c>
      <c r="H37" s="5">
        <f t="shared" si="29"/>
        <v>33.387709637046306</v>
      </c>
      <c r="I37" s="5">
        <f t="shared" si="29"/>
        <v>40.645907384230291</v>
      </c>
      <c r="J37" s="96">
        <f>J$22/J28</f>
        <v>1.1166458072590739</v>
      </c>
      <c r="K37" s="51" t="str">
        <f>CHAR(34) &amp; "EEpromVersion" &amp;CHAR(34)  &amp; ",3,"</f>
        <v>"EEpromVersion",3,</v>
      </c>
      <c r="M37" s="46">
        <f t="shared" si="0"/>
        <v>2.8488048498744334</v>
      </c>
      <c r="N37" s="46">
        <f t="shared" si="5"/>
        <v>34</v>
      </c>
      <c r="O37" s="50">
        <f t="shared" si="1"/>
        <v>52.514552538621288</v>
      </c>
      <c r="P37" s="50">
        <f t="shared" si="2"/>
        <v>49.665747688746855</v>
      </c>
      <c r="Q37" s="50">
        <f t="shared" si="3"/>
        <v>51.644392609687017</v>
      </c>
    </row>
    <row r="38" spans="1:17">
      <c r="A38" s="78"/>
      <c r="B38" s="46" t="str">
        <f t="shared" si="27"/>
        <v>CWF</v>
      </c>
      <c r="C38" s="79"/>
      <c r="D38" s="46">
        <f t="shared" si="27"/>
        <v>1199.5</v>
      </c>
      <c r="E38" s="46">
        <f t="shared" si="27"/>
        <v>1208.5</v>
      </c>
      <c r="F38" s="46">
        <f t="shared" si="27"/>
        <v>648</v>
      </c>
      <c r="G38" s="5">
        <f t="shared" si="29"/>
        <v>64.988785982478106</v>
      </c>
      <c r="H38" s="5">
        <f t="shared" si="29"/>
        <v>77.271889862327924</v>
      </c>
      <c r="I38" s="5">
        <f t="shared" si="29"/>
        <v>45.89414267834794</v>
      </c>
      <c r="J38" s="96"/>
      <c r="K38" s="52" t="str">
        <f>K4</f>
        <v>"Compensation",35,</v>
      </c>
      <c r="M38" s="46">
        <f t="shared" si="0"/>
        <v>1.7261202356808809</v>
      </c>
      <c r="N38" s="46">
        <f t="shared" si="5"/>
        <v>35</v>
      </c>
      <c r="O38" s="50">
        <f t="shared" si="1"/>
        <v>50.245448371007086</v>
      </c>
      <c r="P38" s="50">
        <f t="shared" si="2"/>
        <v>49.571729724753745</v>
      </c>
      <c r="Q38" s="50">
        <f t="shared" si="3"/>
        <v>51.297849960434625</v>
      </c>
    </row>
    <row r="39" spans="1:17">
      <c r="A39" s="78"/>
      <c r="B39" s="46" t="str">
        <f t="shared" si="27"/>
        <v>D65</v>
      </c>
      <c r="C39" s="79"/>
      <c r="D39" s="46">
        <f t="shared" si="27"/>
        <v>510.45000000000005</v>
      </c>
      <c r="E39" s="46">
        <f t="shared" si="27"/>
        <v>577.1</v>
      </c>
      <c r="F39" s="46">
        <f t="shared" si="27"/>
        <v>528.65</v>
      </c>
      <c r="G39" s="5">
        <f t="shared" si="29"/>
        <v>29.367784730913645</v>
      </c>
      <c r="H39" s="5">
        <f t="shared" si="29"/>
        <v>39.640926157697123</v>
      </c>
      <c r="I39" s="5">
        <f t="shared" si="29"/>
        <v>32.494392991239053</v>
      </c>
      <c r="J39" s="96"/>
      <c r="K39" s="53" t="str">
        <f>linefmt("CardGain",J42,J45,J48)</f>
        <v>"CardGain",15.61691,16.35236,16.89107,</v>
      </c>
      <c r="M39" s="46">
        <f t="shared" si="0"/>
        <v>2.9749631077893355</v>
      </c>
      <c r="N39" s="46">
        <f t="shared" si="5"/>
        <v>36</v>
      </c>
      <c r="O39" s="50">
        <f t="shared" si="1"/>
        <v>47.976344203392898</v>
      </c>
      <c r="P39" s="50">
        <f t="shared" si="2"/>
        <v>49.477711760760634</v>
      </c>
      <c r="Q39" s="50">
        <f t="shared" si="3"/>
        <v>50.951307311182234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"Range",1,0.9068916,1.116646,</v>
      </c>
      <c r="M40" s="46">
        <f t="shared" si="0"/>
        <v>4.8975246261511387</v>
      </c>
      <c r="N40" s="46">
        <f t="shared" si="5"/>
        <v>37</v>
      </c>
      <c r="O40" s="50">
        <f t="shared" si="1"/>
        <v>45.707240035778696</v>
      </c>
      <c r="P40" s="50">
        <f t="shared" si="2"/>
        <v>49.383693796767524</v>
      </c>
      <c r="Q40" s="50">
        <f t="shared" si="3"/>
        <v>50.604764661929835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6.8200861445129348</v>
      </c>
      <c r="N41" s="46">
        <f t="shared" si="5"/>
        <v>38</v>
      </c>
      <c r="O41" s="50">
        <f t="shared" si="1"/>
        <v>43.438135868164508</v>
      </c>
      <c r="P41" s="50">
        <f t="shared" si="2"/>
        <v>49.289675832774414</v>
      </c>
      <c r="Q41" s="50">
        <f t="shared" si="3"/>
        <v>50.258222012677443</v>
      </c>
    </row>
    <row r="42" spans="1:17">
      <c r="A42" s="4"/>
      <c r="B42" s="46" t="s">
        <v>3</v>
      </c>
      <c r="C42" s="79">
        <f>C31</f>
        <v>0</v>
      </c>
      <c r="D42" s="46">
        <f>I42/$H$43</f>
        <v>0.2075703952004252</v>
      </c>
      <c r="E42" s="46">
        <f>H42/$H$43</f>
        <v>1.0300205671616776</v>
      </c>
      <c r="F42" s="46">
        <f>G42/$H$43</f>
        <v>-0.40195878013400954</v>
      </c>
      <c r="G42" s="46">
        <f t="array" ref="G42:I42">LINEST($D31:$D33,$G31:$I33,FALSE)</f>
        <v>-6.277354397716528</v>
      </c>
      <c r="H42" s="46">
        <v>16.085739276189429</v>
      </c>
      <c r="I42" s="46">
        <v>3.2416083378319049</v>
      </c>
      <c r="J42" s="97">
        <f>H43</f>
        <v>15.61691075792327</v>
      </c>
      <c r="K42" s="53" t="str">
        <f t="shared" ref="K42:K50" si="30">linefmt("",D42,E42,F42)</f>
        <v>0.2075704,1.030021,-0.4019588,</v>
      </c>
      <c r="M42" s="46">
        <f t="shared" si="0"/>
        <v>8.7426476628747452</v>
      </c>
      <c r="N42" s="46">
        <f t="shared" si="5"/>
        <v>39</v>
      </c>
      <c r="O42" s="50">
        <f t="shared" si="1"/>
        <v>41.169031700550306</v>
      </c>
      <c r="P42" s="50">
        <f t="shared" si="2"/>
        <v>49.195657868781311</v>
      </c>
      <c r="Q42" s="50">
        <f t="shared" si="3"/>
        <v>49.911679363425051</v>
      </c>
    </row>
    <row r="43" spans="1:17">
      <c r="A43" s="4"/>
      <c r="B43" s="46" t="s">
        <v>4</v>
      </c>
      <c r="C43" s="79"/>
      <c r="D43" s="46">
        <f>I43/$H$43</f>
        <v>4.4456407576685487E-2</v>
      </c>
      <c r="E43" s="46">
        <f>H43/$H$43</f>
        <v>1</v>
      </c>
      <c r="F43" s="46">
        <f>G43/$H$43</f>
        <v>-8.286477193588436E-2</v>
      </c>
      <c r="G43" s="46">
        <f t="array" ref="G43:I43">LINEST($E31:$E33,$G31:$I33,FALSE)</f>
        <v>-1.2940917482983707</v>
      </c>
      <c r="H43" s="46">
        <v>15.61691075792327</v>
      </c>
      <c r="I43" s="46">
        <v>0.69427174974296113</v>
      </c>
      <c r="J43" s="97"/>
      <c r="K43" s="53" t="str">
        <f t="shared" si="30"/>
        <v>4.445641E-02,1,-8.286477E-02,</v>
      </c>
      <c r="M43" s="46">
        <f t="shared" si="0"/>
        <v>10.665209181236534</v>
      </c>
      <c r="N43" s="46">
        <f t="shared" si="5"/>
        <v>40</v>
      </c>
      <c r="O43" s="50">
        <f t="shared" si="1"/>
        <v>38.899927532936118</v>
      </c>
      <c r="P43" s="50">
        <f t="shared" si="2"/>
        <v>49.1016399047882</v>
      </c>
      <c r="Q43" s="50">
        <f t="shared" si="3"/>
        <v>49.565136714172652</v>
      </c>
    </row>
    <row r="44" spans="1:17">
      <c r="A44" s="4"/>
      <c r="B44" s="46" t="s">
        <v>5</v>
      </c>
      <c r="C44" s="79"/>
      <c r="D44" s="46">
        <f>I44/$H$43</f>
        <v>-0.51482079706745243</v>
      </c>
      <c r="E44" s="46">
        <f>H44/$H$43</f>
        <v>0.36467613924513709</v>
      </c>
      <c r="F44" s="46">
        <f>G44/$H$43</f>
        <v>1.0949800611663929</v>
      </c>
      <c r="G44" s="46">
        <f t="array" ref="G44:I44">LINEST($F$31:$F$33,$G31:$I33,FALSE)</f>
        <v>17.100205896940921</v>
      </c>
      <c r="H44" s="46">
        <v>5.6951147221353056</v>
      </c>
      <c r="I44" s="46">
        <v>-8.0399104441253311</v>
      </c>
      <c r="J44" s="97"/>
      <c r="K44" s="53" t="str">
        <f t="shared" si="30"/>
        <v>-0.5148208,0.3646761,1.09498,</v>
      </c>
      <c r="M44" s="46">
        <f t="shared" si="0"/>
        <v>12.587770699598344</v>
      </c>
      <c r="N44" s="46">
        <f t="shared" si="5"/>
        <v>41</v>
      </c>
      <c r="O44" s="50">
        <f t="shared" si="1"/>
        <v>36.630823365321916</v>
      </c>
      <c r="P44" s="50">
        <f t="shared" si="2"/>
        <v>49.00762194079509</v>
      </c>
      <c r="Q44" s="50">
        <f t="shared" si="3"/>
        <v>49.218594064920261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0.21903411763807179</v>
      </c>
      <c r="E45" s="46">
        <f>H45/$H$46</f>
        <v>1.0269920269758948</v>
      </c>
      <c r="F45" s="46">
        <f>G45/$H$46</f>
        <v>-0.46559877768574004</v>
      </c>
      <c r="G45" s="46">
        <f t="array" ref="G45:I45">LINEST($D34:$D36,$G34:$I36,FALSE)</f>
        <v>-7.6136403661090544</v>
      </c>
      <c r="H45" s="46">
        <v>16.793746734304001</v>
      </c>
      <c r="I45" s="46">
        <v>3.5817254673505508</v>
      </c>
      <c r="J45" s="97">
        <f>H46</f>
        <v>16.352363302912163</v>
      </c>
      <c r="K45" s="53" t="str">
        <f t="shared" si="30"/>
        <v>0.2190341,1.026992,-0.4655988,</v>
      </c>
      <c r="M45" s="46">
        <f t="shared" si="0"/>
        <v>14.551884779094266</v>
      </c>
      <c r="N45" s="46">
        <f t="shared" si="5"/>
        <v>42</v>
      </c>
      <c r="O45" s="50">
        <f t="shared" si="1"/>
        <v>34.361719197707714</v>
      </c>
      <c r="P45" s="50">
        <f t="shared" si="2"/>
        <v>48.91360397680198</v>
      </c>
      <c r="Q45" s="50">
        <f t="shared" si="3"/>
        <v>48.872051415667869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5.8680795386852981E-2</v>
      </c>
      <c r="E46" s="46">
        <f>H46/$H$46</f>
        <v>1</v>
      </c>
      <c r="F46" s="46">
        <f>G46/$H$46</f>
        <v>-0.16018104196986011</v>
      </c>
      <c r="G46" s="46">
        <f t="array" ref="G46:I46">LINEST($E34:$E36,$G34:$I36,FALSE)</f>
        <v>-2.6193385925301733</v>
      </c>
      <c r="H46" s="46">
        <v>16.352363302912163</v>
      </c>
      <c r="I46" s="46">
        <v>0.959569685069672</v>
      </c>
      <c r="J46" s="97"/>
      <c r="K46" s="53" t="str">
        <f t="shared" si="30"/>
        <v>0.0586808,1,-0.160181,</v>
      </c>
      <c r="M46" s="46">
        <f t="shared" si="0"/>
        <v>16.726970982715343</v>
      </c>
      <c r="N46" s="46">
        <f t="shared" si="5"/>
        <v>43</v>
      </c>
      <c r="O46" s="50">
        <f t="shared" si="1"/>
        <v>32.092615030093526</v>
      </c>
      <c r="P46" s="50">
        <f t="shared" si="2"/>
        <v>48.81958601280887</v>
      </c>
      <c r="Q46" s="50">
        <f t="shared" si="3"/>
        <v>48.52550876641547</v>
      </c>
    </row>
    <row r="47" spans="1:17">
      <c r="A47" s="4"/>
      <c r="B47" s="46" t="str">
        <f t="shared" si="31"/>
        <v>Z</v>
      </c>
      <c r="C47" s="79"/>
      <c r="D47" s="46">
        <f>I47/$H$46</f>
        <v>-0.49856869435029771</v>
      </c>
      <c r="E47" s="46">
        <f>H47/$H$46</f>
        <v>0.37527142548320214</v>
      </c>
      <c r="F47" s="46">
        <f>G47/$H$46</f>
        <v>1.0078112963543575</v>
      </c>
      <c r="G47" s="46">
        <f t="array" ref="G47:I47">LINEST($F$31:$F$33,$G34:$I36,FALSE)</f>
        <v>16.480096458765331</v>
      </c>
      <c r="H47" s="46">
        <v>6.1365746867030513</v>
      </c>
      <c r="I47" s="46">
        <v>-8.1527764214746394</v>
      </c>
      <c r="J47" s="97"/>
      <c r="K47" s="53" t="str">
        <f t="shared" si="30"/>
        <v>-0.4985687,0.3752714,1.007811,</v>
      </c>
      <c r="M47" s="46">
        <f t="shared" si="0"/>
        <v>18.902057186336435</v>
      </c>
      <c r="N47" s="46">
        <f t="shared" si="5"/>
        <v>44</v>
      </c>
      <c r="O47" s="50">
        <f t="shared" si="1"/>
        <v>29.823510862479324</v>
      </c>
      <c r="P47" s="50">
        <f t="shared" si="2"/>
        <v>48.725568048815759</v>
      </c>
      <c r="Q47" s="50">
        <f t="shared" si="3"/>
        <v>48.178966117163078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0.26216677443011827</v>
      </c>
      <c r="E48" s="46">
        <f>H48/$H$49</f>
        <v>1.0415317585463788</v>
      </c>
      <c r="F48" s="46">
        <f>G48/$H$49</f>
        <v>-0.57752801622978645</v>
      </c>
      <c r="G48" s="46">
        <f t="array" ref="G48:I48">LINEST($D37:$D39,$G37:$I39,FALSE)</f>
        <v>-9.7550634976216362</v>
      </c>
      <c r="H48" s="46">
        <v>17.592581059075261</v>
      </c>
      <c r="I48" s="46">
        <v>4.4282761349449311</v>
      </c>
      <c r="J48" s="97">
        <f>H49</f>
        <v>16.89106540892087</v>
      </c>
      <c r="K48" s="53" t="str">
        <f t="shared" si="30"/>
        <v>0.2621668,1.041532,-0.577528,</v>
      </c>
      <c r="M48" s="46">
        <f t="shared" si="0"/>
        <v>21.077143389957513</v>
      </c>
      <c r="N48" s="46">
        <f t="shared" si="5"/>
        <v>45</v>
      </c>
      <c r="O48" s="50">
        <f t="shared" si="1"/>
        <v>27.554406694865136</v>
      </c>
      <c r="P48" s="50">
        <f t="shared" si="2"/>
        <v>48.631550084822649</v>
      </c>
      <c r="Q48" s="50">
        <f t="shared" si="3"/>
        <v>47.832423467910687</v>
      </c>
    </row>
    <row r="49" spans="1:24">
      <c r="A49" s="4"/>
      <c r="B49" s="46" t="str">
        <f t="shared" si="31"/>
        <v>Y</v>
      </c>
      <c r="C49" s="79"/>
      <c r="D49" s="46">
        <f>I49/$H$49</f>
        <v>8.5384990942773312E-2</v>
      </c>
      <c r="E49" s="46">
        <f>H49/$H$49</f>
        <v>1</v>
      </c>
      <c r="F49" s="46">
        <f>G49/$H$49</f>
        <v>-0.24565784400336108</v>
      </c>
      <c r="G49" s="46">
        <f t="array" ref="G49:I49">LINEST($E37:$E39,$G37:$I39,FALSE)</f>
        <v>-4.1494227112752515</v>
      </c>
      <c r="H49" s="46">
        <v>16.89106540892087</v>
      </c>
      <c r="I49" s="46">
        <v>1.4422434669545001</v>
      </c>
      <c r="J49" s="97"/>
      <c r="K49" s="53" t="str">
        <f t="shared" si="30"/>
        <v>8.538499E-02,1,-0.2456578,</v>
      </c>
      <c r="M49" s="46">
        <f t="shared" si="0"/>
        <v>23.252229593578612</v>
      </c>
      <c r="N49" s="46">
        <f t="shared" si="5"/>
        <v>46</v>
      </c>
      <c r="O49" s="50">
        <f t="shared" si="1"/>
        <v>25.285302527250934</v>
      </c>
      <c r="P49" s="50">
        <f t="shared" si="2"/>
        <v>48.537532120829546</v>
      </c>
      <c r="Q49" s="50">
        <f t="shared" si="3"/>
        <v>47.485880818658295</v>
      </c>
    </row>
    <row r="50" spans="1:24">
      <c r="A50" s="4"/>
      <c r="B50" s="46" t="str">
        <f t="shared" si="31"/>
        <v>Z</v>
      </c>
      <c r="C50" s="79"/>
      <c r="D50" s="46">
        <f>I50/$H$49</f>
        <v>-0.54256136434230839</v>
      </c>
      <c r="E50" s="46">
        <f>H50/$H$49</f>
        <v>0.32491551910088284</v>
      </c>
      <c r="F50" s="46">
        <f>G50/$H$49</f>
        <v>1.0571511393803461</v>
      </c>
      <c r="G50" s="46">
        <f t="array" ref="G50:I50">LINEST($F$31:$F$33,$G37:$I39,FALSE)</f>
        <v>17.856409042388648</v>
      </c>
      <c r="H50" s="46">
        <v>5.4881692855064905</v>
      </c>
      <c r="I50" s="46">
        <v>-9.1644394934592786</v>
      </c>
      <c r="J50" s="97"/>
      <c r="K50" s="54" t="str">
        <f t="shared" si="30"/>
        <v>-0.5425614,0.3249155,1.057151,</v>
      </c>
      <c r="M50" s="46">
        <f t="shared" si="0"/>
        <v>25.427315797199689</v>
      </c>
      <c r="N50" s="46">
        <f t="shared" si="5"/>
        <v>47</v>
      </c>
      <c r="O50" s="50">
        <f t="shared" si="1"/>
        <v>23.016198359636746</v>
      </c>
      <c r="P50" s="50">
        <f t="shared" si="2"/>
        <v>48.443514156836436</v>
      </c>
      <c r="Q50" s="50">
        <f t="shared" si="3"/>
        <v>47.139338169405903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0.22959042908953842</v>
      </c>
      <c r="E51" s="46">
        <f t="shared" ref="E51:F51" si="32">(E42+E45+E48)/3</f>
        <v>1.0328481175613169</v>
      </c>
      <c r="F51" s="46">
        <f t="shared" si="32"/>
        <v>-0.48169519134984534</v>
      </c>
      <c r="J51" s="97">
        <f>(J42+J45+J48)/3</f>
        <v>16.2867798232521</v>
      </c>
      <c r="M51" s="46">
        <f t="shared" si="0"/>
        <v>27.602402000820781</v>
      </c>
      <c r="N51" s="46">
        <f t="shared" si="5"/>
        <v>48</v>
      </c>
      <c r="O51" s="50">
        <f t="shared" si="1"/>
        <v>20.747094192022544</v>
      </c>
      <c r="P51" s="50">
        <f t="shared" si="2"/>
        <v>48.349496192843326</v>
      </c>
      <c r="Q51" s="50">
        <f t="shared" si="3"/>
        <v>46.792795520153504</v>
      </c>
    </row>
    <row r="52" spans="1:24">
      <c r="B52" s="46" t="str">
        <f t="shared" si="31"/>
        <v>Y</v>
      </c>
      <c r="C52" s="79"/>
      <c r="D52" s="46">
        <f t="shared" ref="D52:F53" si="33">(D43+D46+D49)/3</f>
        <v>6.2840731302103922E-2</v>
      </c>
      <c r="E52" s="46">
        <f t="shared" si="33"/>
        <v>1</v>
      </c>
      <c r="F52" s="46">
        <f t="shared" si="33"/>
        <v>-0.16290121930303517</v>
      </c>
      <c r="J52" s="97"/>
      <c r="M52" s="46">
        <f t="shared" si="0"/>
        <v>29.777488204441873</v>
      </c>
      <c r="N52" s="46">
        <f t="shared" si="5"/>
        <v>49</v>
      </c>
      <c r="O52" s="50">
        <f t="shared" si="1"/>
        <v>18.477990024408342</v>
      </c>
      <c r="P52" s="50">
        <f t="shared" si="2"/>
        <v>48.255478228850215</v>
      </c>
      <c r="Q52" s="50">
        <f t="shared" si="3"/>
        <v>46.446252870901112</v>
      </c>
    </row>
    <row r="53" spans="1:24" ht="15.75" thickBot="1">
      <c r="B53" s="46" t="str">
        <f t="shared" si="31"/>
        <v>Z</v>
      </c>
      <c r="C53" s="79"/>
      <c r="D53" s="46">
        <f t="shared" si="33"/>
        <v>-0.51865028525335288</v>
      </c>
      <c r="E53" s="46">
        <f t="shared" si="33"/>
        <v>0.35495436127640739</v>
      </c>
      <c r="F53" s="46">
        <f t="shared" si="33"/>
        <v>1.0533141656336988</v>
      </c>
      <c r="J53" s="100"/>
      <c r="M53" s="46">
        <f t="shared" si="0"/>
        <v>31.952574408062951</v>
      </c>
      <c r="N53" s="46">
        <f t="shared" si="5"/>
        <v>50</v>
      </c>
      <c r="O53" s="50">
        <f t="shared" si="1"/>
        <v>16.208885856794154</v>
      </c>
      <c r="P53" s="50">
        <f t="shared" si="2"/>
        <v>48.161460264857105</v>
      </c>
      <c r="Q53" s="50">
        <f t="shared" si="3"/>
        <v>46.099710221648721</v>
      </c>
    </row>
    <row r="54" spans="1:24">
      <c r="B54" s="79" t="s">
        <v>14</v>
      </c>
      <c r="C54" s="79"/>
      <c r="D54" s="19">
        <f>I54/$H$55</f>
        <v>0.22284914944844864</v>
      </c>
      <c r="E54" s="20">
        <f>H54/$H$55</f>
        <v>1.0286903778097094</v>
      </c>
      <c r="F54" s="21">
        <f>G54/$H$55</f>
        <v>-0.46446465764073858</v>
      </c>
      <c r="G54" s="46">
        <f t="array" ref="G54:I54">LINEST(D$31:D$39,$G$31:$I$39,FALSE)</f>
        <v>-7.540010113448723</v>
      </c>
      <c r="H54" s="46">
        <v>16.699517874387094</v>
      </c>
      <c r="I54" s="46">
        <v>3.6176807276355603</v>
      </c>
      <c r="J54" s="98">
        <f>H55</f>
        <v>16.233765022614246</v>
      </c>
      <c r="M54" s="46">
        <f t="shared" si="0"/>
        <v>34.12766061168405</v>
      </c>
      <c r="N54" s="46">
        <f t="shared" si="5"/>
        <v>51</v>
      </c>
      <c r="O54" s="50">
        <f t="shared" si="1"/>
        <v>13.939781689179952</v>
      </c>
      <c r="P54" s="50">
        <f t="shared" si="2"/>
        <v>48.067442300864002</v>
      </c>
      <c r="Q54" s="50">
        <f t="shared" si="3"/>
        <v>45.753167572396322</v>
      </c>
    </row>
    <row r="55" spans="1:24" ht="15" customHeight="1">
      <c r="B55" s="79"/>
      <c r="C55" s="79"/>
      <c r="D55" s="22">
        <f>I55/$H$55</f>
        <v>6.0788000020225705E-2</v>
      </c>
      <c r="E55" s="18">
        <f>H55/$H$55</f>
        <v>1</v>
      </c>
      <c r="F55" s="23">
        <f>G55/$H$55</f>
        <v>-0.15841961899807722</v>
      </c>
      <c r="G55" s="46">
        <f t="array" ref="G55:I55">LINEST(E$31:E$39,$G$31:$I$39,FALSE)</f>
        <v>-2.5717468697868613</v>
      </c>
      <c r="H55" s="46">
        <v>16.233765022614246</v>
      </c>
      <c r="I55" s="46">
        <v>0.9868181085230141</v>
      </c>
      <c r="J55" s="98"/>
      <c r="M55" s="46">
        <f t="shared" si="0"/>
        <v>36.302746815305127</v>
      </c>
      <c r="N55" s="46">
        <f t="shared" si="5"/>
        <v>52</v>
      </c>
      <c r="O55" s="50">
        <f t="shared" si="1"/>
        <v>11.670677521565764</v>
      </c>
      <c r="P55" s="50">
        <f t="shared" si="2"/>
        <v>47.973424336870892</v>
      </c>
      <c r="Q55" s="50">
        <f t="shared" si="3"/>
        <v>45.40662492314393</v>
      </c>
    </row>
    <row r="56" spans="1:24" ht="15" customHeight="1" thickBot="1">
      <c r="B56" s="79"/>
      <c r="C56" s="79"/>
      <c r="D56" s="24">
        <f>I56/$H$55</f>
        <v>-0.50352285434638888</v>
      </c>
      <c r="E56" s="25">
        <f>H56/$H$55</f>
        <v>0.36918403868301769</v>
      </c>
      <c r="F56" s="26">
        <f>G56/$H$55</f>
        <v>1.0118424267413548</v>
      </c>
      <c r="G56" s="46">
        <f t="array" ref="G56:I56">LINEST(F$31:F$39,$G$31:$I$39,FALSE)</f>
        <v>16.426012195630925</v>
      </c>
      <c r="H56" s="46">
        <v>5.9932469340798376</v>
      </c>
      <c r="I56" s="46">
        <v>-8.1740717009752952</v>
      </c>
      <c r="J56" s="98"/>
      <c r="M56" s="46">
        <f t="shared" si="0"/>
        <v>38.477833018926219</v>
      </c>
      <c r="N56" s="46">
        <f t="shared" si="5"/>
        <v>53</v>
      </c>
      <c r="O56" s="50">
        <f t="shared" si="1"/>
        <v>9.4015733539515622</v>
      </c>
      <c r="P56" s="50">
        <f t="shared" si="2"/>
        <v>47.879406372877781</v>
      </c>
      <c r="Q56" s="50">
        <f t="shared" si="3"/>
        <v>45.060082273891538</v>
      </c>
    </row>
    <row r="57" spans="1:24">
      <c r="M57" s="46">
        <f t="shared" si="0"/>
        <v>40.652919222547297</v>
      </c>
      <c r="N57" s="46">
        <f t="shared" si="5"/>
        <v>54</v>
      </c>
      <c r="O57" s="50">
        <f t="shared" si="1"/>
        <v>7.1324691863373744</v>
      </c>
      <c r="P57" s="50">
        <f t="shared" si="2"/>
        <v>47.785388408884671</v>
      </c>
      <c r="Q57" s="50">
        <f t="shared" si="3"/>
        <v>44.713539624639139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42.828005426168389</v>
      </c>
      <c r="N58" s="46">
        <f t="shared" si="5"/>
        <v>55</v>
      </c>
      <c r="O58" s="50">
        <f t="shared" si="1"/>
        <v>4.8633650187231723</v>
      </c>
      <c r="P58" s="50">
        <f t="shared" si="2"/>
        <v>47.691370444891561</v>
      </c>
      <c r="Q58" s="50">
        <f t="shared" si="3"/>
        <v>44.366996975386748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45.003091629789481</v>
      </c>
      <c r="N59" s="46">
        <f t="shared" si="5"/>
        <v>56</v>
      </c>
      <c r="O59" s="50">
        <f t="shared" si="1"/>
        <v>2.5942608511089702</v>
      </c>
      <c r="P59" s="50">
        <f t="shared" si="2"/>
        <v>47.597352480898451</v>
      </c>
      <c r="Q59" s="50">
        <f t="shared" si="3"/>
        <v>44.020454326134356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514.15</v>
      </c>
      <c r="E60" s="32">
        <f t="shared" ref="E60:E68" si="37">getCCTfromXY(D22/SUM(D22:F22),E22/SUM(D22:F22))</f>
        <v>2861</v>
      </c>
      <c r="F60" s="31">
        <f t="shared" ref="F60:F68" si="38">V60</f>
        <v>509.60961231769789</v>
      </c>
      <c r="G60" s="32">
        <f t="shared" ref="G60:G68" si="39">getCCTfromXY(U60/X60,V60/X60)</f>
        <v>2714</v>
      </c>
      <c r="H60" s="33">
        <f>F60/D60-1</f>
        <v>-8.8308619708297176E-3</v>
      </c>
      <c r="I60" s="34">
        <f t="shared" ref="I60:I68" si="40">G60/E60-1</f>
        <v>-5.1380636141209357E-2</v>
      </c>
      <c r="M60" s="46">
        <f t="shared" si="0"/>
        <v>47.178177833410558</v>
      </c>
      <c r="N60" s="46">
        <f t="shared" si="5"/>
        <v>57</v>
      </c>
      <c r="O60" s="50">
        <f t="shared" si="1"/>
        <v>0.32515668349478233</v>
      </c>
      <c r="P60" s="50">
        <f t="shared" si="2"/>
        <v>47.50333451690534</v>
      </c>
      <c r="Q60" s="50">
        <f t="shared" si="3"/>
        <v>43.673911676881957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558.98695200420605</v>
      </c>
      <c r="V60" s="50">
        <f>$J$54*$J$31*($D$55*G22+$E$55*H22+$F$55*I22)</f>
        <v>509.60961231769789</v>
      </c>
      <c r="W60" s="50">
        <f>$J$54*$J$31*($D$56*G22+$E$56*H22+$F$56*I22)</f>
        <v>125.5043351258266</v>
      </c>
      <c r="X60" s="29">
        <f>SUM(U60:W60)</f>
        <v>1194.1008994477306</v>
      </c>
    </row>
    <row r="61" spans="1:24">
      <c r="A61" s="87"/>
      <c r="B61" s="48" t="str">
        <f t="shared" si="35"/>
        <v>CWF</v>
      </c>
      <c r="C61" s="93"/>
      <c r="D61" s="31">
        <f t="shared" si="36"/>
        <v>1208.5</v>
      </c>
      <c r="E61" s="32">
        <f t="shared" si="37"/>
        <v>3853</v>
      </c>
      <c r="F61" s="31">
        <f t="shared" si="38"/>
        <v>1220.557237690381</v>
      </c>
      <c r="G61" s="32">
        <f t="shared" si="39"/>
        <v>3773</v>
      </c>
      <c r="H61" s="33">
        <f t="shared" ref="H61:H68" si="41">F61/D61-1</f>
        <v>9.9770274641133305E-3</v>
      </c>
      <c r="I61" s="34">
        <f t="shared" si="40"/>
        <v>-2.0763041785621605E-2</v>
      </c>
      <c r="M61" s="46">
        <f t="shared" si="0"/>
        <v>49.353264037031643</v>
      </c>
      <c r="N61" s="46">
        <f t="shared" si="5"/>
        <v>58</v>
      </c>
      <c r="O61" s="50">
        <f t="shared" si="1"/>
        <v>-1.9439474841194055</v>
      </c>
      <c r="P61" s="50">
        <f t="shared" si="2"/>
        <v>47.409316552912237</v>
      </c>
      <c r="Q61" s="50">
        <f t="shared" si="3"/>
        <v>43.327369027629565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1217.6191694326483</v>
      </c>
      <c r="V61" s="50">
        <f>$J$54*$J$31*($D$55*G23+$E$55*H23+$F$55*I23)</f>
        <v>1220.557237690381</v>
      </c>
      <c r="W61" s="50">
        <f>$J$54*$J$31*($D$56*G23+$E$56*H23+$F$56*I23)</f>
        <v>632.72274682136879</v>
      </c>
      <c r="X61" s="29">
        <f t="shared" ref="X61:X68" si="43">SUM(U61:W61)</f>
        <v>3070.8991539443978</v>
      </c>
    </row>
    <row r="62" spans="1:24">
      <c r="A62" s="87"/>
      <c r="B62" s="48" t="str">
        <f t="shared" si="35"/>
        <v>D65</v>
      </c>
      <c r="C62" s="93"/>
      <c r="D62" s="31">
        <f t="shared" si="36"/>
        <v>577.1</v>
      </c>
      <c r="E62" s="32">
        <f t="shared" si="37"/>
        <v>6301</v>
      </c>
      <c r="F62" s="31">
        <f t="shared" si="38"/>
        <v>568.64918611934502</v>
      </c>
      <c r="G62" s="32">
        <f t="shared" si="39"/>
        <v>6208</v>
      </c>
      <c r="H62" s="33">
        <f t="shared" si="41"/>
        <v>-1.4643586693216082E-2</v>
      </c>
      <c r="I62" s="34">
        <f t="shared" si="40"/>
        <v>-1.4759561974289848E-2</v>
      </c>
      <c r="M62" s="46">
        <f t="shared" si="0"/>
        <v>51.528350240652749</v>
      </c>
      <c r="N62" s="46">
        <f t="shared" si="5"/>
        <v>59</v>
      </c>
      <c r="O62" s="50">
        <f t="shared" si="1"/>
        <v>-4.2130516517336218</v>
      </c>
      <c r="P62" s="50">
        <f t="shared" si="2"/>
        <v>47.315298588919127</v>
      </c>
      <c r="Q62" s="50">
        <f t="shared" si="3"/>
        <v>42.980826378377174</v>
      </c>
      <c r="R62" s="78"/>
      <c r="S62" s="46" t="str">
        <f t="shared" si="42"/>
        <v>D65</v>
      </c>
      <c r="T62" s="79"/>
      <c r="U62" s="50">
        <f>$J$54*$J$31*($D$54*G24+$E$54*H24+$F$54*I24)</f>
        <v>504.76241894860533</v>
      </c>
      <c r="V62" s="50">
        <f>$J$54*$J$31*($D$55*G24+$E$55*H24+$F$55*I24)</f>
        <v>568.64918611934502</v>
      </c>
      <c r="W62" s="50">
        <f>$J$54*$J$31*($D$56*G24+$E$56*H24+$F$56*I24)</f>
        <v>514.83267918866943</v>
      </c>
      <c r="X62" s="29">
        <f t="shared" si="43"/>
        <v>1588.2442842566197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514.15</v>
      </c>
      <c r="E63" s="32">
        <f t="shared" si="37"/>
        <v>2861</v>
      </c>
      <c r="F63" s="31">
        <f t="shared" si="38"/>
        <v>514.4657429372586</v>
      </c>
      <c r="G63" s="32">
        <f t="shared" si="39"/>
        <v>2813</v>
      </c>
      <c r="H63" s="33">
        <f t="shared" si="41"/>
        <v>6.1410665614825E-4</v>
      </c>
      <c r="I63" s="34">
        <f t="shared" si="40"/>
        <v>-1.6777350576721473E-2</v>
      </c>
      <c r="M63" s="46">
        <f t="shared" si="0"/>
        <v>53.703436444273827</v>
      </c>
      <c r="N63" s="46">
        <f t="shared" si="5"/>
        <v>60</v>
      </c>
      <c r="O63" s="50">
        <f t="shared" si="1"/>
        <v>-6.4821558193478097</v>
      </c>
      <c r="P63" s="50">
        <f t="shared" si="2"/>
        <v>47.221280624926017</v>
      </c>
      <c r="Q63" s="50">
        <f t="shared" si="3"/>
        <v>42.634283729124775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558.6814496961274</v>
      </c>
      <c r="V63" s="50">
        <f>$J$54*$J$34*($D$55*G25+$E$55*H25+$F$55*I25)</f>
        <v>514.4657429372586</v>
      </c>
      <c r="W63" s="50">
        <f>$J$54*$J$34*($D$56*G25+$E$56*H25+$F$56*I25)</f>
        <v>145.16160797003337</v>
      </c>
      <c r="X63" s="29">
        <f t="shared" si="43"/>
        <v>1218.3088006034195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1208.5</v>
      </c>
      <c r="E64" s="32">
        <f t="shared" si="37"/>
        <v>3853</v>
      </c>
      <c r="F64" s="31">
        <f t="shared" si="38"/>
        <v>1203.2978540655049</v>
      </c>
      <c r="G64" s="32">
        <f t="shared" si="39"/>
        <v>3807</v>
      </c>
      <c r="H64" s="33">
        <f t="shared" si="41"/>
        <v>-4.304630479516014E-3</v>
      </c>
      <c r="I64" s="34">
        <f t="shared" si="40"/>
        <v>-1.193874902673242E-2</v>
      </c>
      <c r="M64" s="46">
        <f t="shared" si="0"/>
        <v>55.878522647894904</v>
      </c>
      <c r="N64" s="46">
        <f t="shared" si="5"/>
        <v>61</v>
      </c>
      <c r="O64" s="50">
        <f t="shared" si="1"/>
        <v>-8.7512599869619976</v>
      </c>
      <c r="P64" s="50">
        <f t="shared" si="2"/>
        <v>47.127262660932907</v>
      </c>
      <c r="Q64" s="50">
        <f t="shared" si="3"/>
        <v>42.28774107987239</v>
      </c>
      <c r="R64" s="78"/>
      <c r="S64" s="46" t="str">
        <f t="shared" si="42"/>
        <v>CWF</v>
      </c>
      <c r="T64" s="79"/>
      <c r="U64" s="50">
        <f>$J$54*$J$34*($D$54*G26+$E$54*H26+$F$54*I26)</f>
        <v>1197.9061496209783</v>
      </c>
      <c r="V64" s="50">
        <f>$J$54*$J$34*($D$55*G26+$E$55*H26+$F$55*I26)</f>
        <v>1203.2978540655049</v>
      </c>
      <c r="W64" s="50">
        <f>$J$54*$J$34*($D$56*G26+$E$56*H26+$F$56*I26)</f>
        <v>633.15069022504792</v>
      </c>
      <c r="X64" s="29">
        <f t="shared" si="43"/>
        <v>3034.3546939115313</v>
      </c>
    </row>
    <row r="65" spans="1:24">
      <c r="A65" s="87"/>
      <c r="B65" s="48" t="str">
        <f t="shared" si="35"/>
        <v>D65</v>
      </c>
      <c r="C65" s="93"/>
      <c r="D65" s="31">
        <f t="shared" si="36"/>
        <v>577.1</v>
      </c>
      <c r="E65" s="32">
        <f t="shared" si="37"/>
        <v>6301</v>
      </c>
      <c r="F65" s="31">
        <f t="shared" si="38"/>
        <v>574.8402151162154</v>
      </c>
      <c r="G65" s="32">
        <f t="shared" si="39"/>
        <v>6212</v>
      </c>
      <c r="H65" s="33">
        <f t="shared" si="41"/>
        <v>-3.9157596322727528E-3</v>
      </c>
      <c r="I65" s="34">
        <f t="shared" si="40"/>
        <v>-1.4124742104427823E-2</v>
      </c>
      <c r="M65" s="46">
        <f t="shared" si="0"/>
        <v>58.053608851515982</v>
      </c>
      <c r="N65" s="46">
        <f t="shared" si="5"/>
        <v>62</v>
      </c>
      <c r="O65" s="50">
        <f t="shared" si="1"/>
        <v>-11.020364154576185</v>
      </c>
      <c r="P65" s="50">
        <f t="shared" si="2"/>
        <v>47.033244696939796</v>
      </c>
      <c r="Q65" s="50">
        <f t="shared" si="3"/>
        <v>41.941198430619991</v>
      </c>
      <c r="R65" s="78"/>
      <c r="S65" s="46" t="str">
        <f t="shared" si="42"/>
        <v>D65</v>
      </c>
      <c r="T65" s="79"/>
      <c r="U65" s="50">
        <f>$J$54*$J$34*($D$54*G27+$E$54*H27+$F$54*I27)</f>
        <v>510.2280401601393</v>
      </c>
      <c r="V65" s="50">
        <f>$J$54*$J$34*($D$55*G27+$E$55*H27+$F$55*I27)</f>
        <v>574.8402151162154</v>
      </c>
      <c r="W65" s="50">
        <f>$J$54*$J$34*($D$56*G27+$E$56*H27+$F$56*I27)</f>
        <v>520.73278748332223</v>
      </c>
      <c r="X65" s="29">
        <f t="shared" si="43"/>
        <v>1605.8010427596769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514.15</v>
      </c>
      <c r="E66" s="32">
        <f t="shared" si="37"/>
        <v>2861</v>
      </c>
      <c r="F66" s="31">
        <f t="shared" si="38"/>
        <v>518.799408997667</v>
      </c>
      <c r="G66" s="32">
        <f t="shared" si="39"/>
        <v>3096</v>
      </c>
      <c r="H66" s="33">
        <f t="shared" si="41"/>
        <v>9.0429038173043264E-3</v>
      </c>
      <c r="I66" s="34">
        <f t="shared" si="40"/>
        <v>8.2139112198531983E-2</v>
      </c>
      <c r="M66" s="46">
        <f t="shared" si="0"/>
        <v>60.228695055137095</v>
      </c>
      <c r="N66" s="46">
        <f t="shared" si="5"/>
        <v>63</v>
      </c>
      <c r="O66" s="50">
        <f t="shared" si="1"/>
        <v>-13.289468322190402</v>
      </c>
      <c r="P66" s="50">
        <f t="shared" si="2"/>
        <v>46.939226732946693</v>
      </c>
      <c r="Q66" s="50">
        <f t="shared" si="3"/>
        <v>41.594655781367599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549.21560074020044</v>
      </c>
      <c r="V66" s="50">
        <f>$J$54*$J$37*($D$55*G28+$E$55*H28+$F$55*I28)</f>
        <v>518.799408997667</v>
      </c>
      <c r="W66" s="50">
        <f>$J$54*$J$37*($D$56*G28+$E$56*H28+$F$56*I28)</f>
        <v>194.13829330109903</v>
      </c>
      <c r="X66" s="29">
        <f t="shared" si="43"/>
        <v>1262.1533030389664</v>
      </c>
    </row>
    <row r="67" spans="1:24">
      <c r="A67" s="87"/>
      <c r="B67" s="48" t="str">
        <f t="shared" si="35"/>
        <v>CWF</v>
      </c>
      <c r="C67" s="93"/>
      <c r="D67" s="31">
        <f t="shared" si="36"/>
        <v>1208.5</v>
      </c>
      <c r="E67" s="32">
        <f t="shared" si="37"/>
        <v>3853</v>
      </c>
      <c r="F67" s="31">
        <f t="shared" si="38"/>
        <v>1200.5176959622027</v>
      </c>
      <c r="G67" s="32">
        <f t="shared" si="39"/>
        <v>4020</v>
      </c>
      <c r="H67" s="33">
        <f t="shared" si="41"/>
        <v>-6.6051336680159611E-3</v>
      </c>
      <c r="I67" s="34">
        <f t="shared" si="40"/>
        <v>4.3342849727485033E-2</v>
      </c>
      <c r="R67" s="78"/>
      <c r="S67" s="46" t="str">
        <f t="shared" si="42"/>
        <v>CWF</v>
      </c>
      <c r="T67" s="79"/>
      <c r="U67" s="50">
        <f>$J$54*$J$37*($D$54*G29+$E$54*H29+$F$54*I29)</f>
        <v>1179.469684562057</v>
      </c>
      <c r="V67" s="50">
        <f>$J$54*$J$37*($D$55*G29+$E$55*H29+$F$55*I29)</f>
        <v>1200.5176959622027</v>
      </c>
      <c r="W67" s="50">
        <f>$J$54*$J$37*($D$56*G29+$E$56*H29+$F$56*I29)</f>
        <v>685.74426797040621</v>
      </c>
      <c r="X67" s="29">
        <f t="shared" si="43"/>
        <v>3065.7316484946659</v>
      </c>
    </row>
    <row r="68" spans="1:24">
      <c r="A68" s="87"/>
      <c r="B68" s="48" t="str">
        <f t="shared" si="35"/>
        <v>D65</v>
      </c>
      <c r="C68" s="93"/>
      <c r="D68" s="31">
        <f t="shared" si="36"/>
        <v>577.1</v>
      </c>
      <c r="E68" s="32">
        <f t="shared" si="37"/>
        <v>6301</v>
      </c>
      <c r="F68" s="31">
        <f t="shared" si="38"/>
        <v>588.93478884168576</v>
      </c>
      <c r="G68" s="32">
        <f t="shared" si="39"/>
        <v>6182</v>
      </c>
      <c r="H68" s="33">
        <f t="shared" si="41"/>
        <v>2.0507345073099481E-2</v>
      </c>
      <c r="I68" s="34">
        <f t="shared" si="40"/>
        <v>-1.888589112839234E-2</v>
      </c>
      <c r="R68" s="78"/>
      <c r="S68" s="46" t="str">
        <f t="shared" si="42"/>
        <v>D65</v>
      </c>
      <c r="T68" s="79"/>
      <c r="U68" s="50">
        <f>$J$54*$J$37*($D$54*G30+$E$54*H30+$F$54*I30)</f>
        <v>523.21957197777851</v>
      </c>
      <c r="V68" s="50">
        <f>$J$54*$J$37*($D$55*G30+$E$55*H30+$F$55*I30)</f>
        <v>588.93478884168576</v>
      </c>
      <c r="W68" s="50">
        <f>$J$54*$J$37*($D$56*G30+$E$56*H30+$F$56*I30)</f>
        <v>531.27677663312454</v>
      </c>
      <c r="X68" s="29">
        <f t="shared" si="43"/>
        <v>1643.4311374525887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2.0507345073099481E-2</v>
      </c>
      <c r="G69" s="47"/>
      <c r="H69" s="36" t="str">
        <f>I59</f>
        <v>CCT</v>
      </c>
      <c r="I69" s="38">
        <f>MAX(MAX(I60:I68,-MIN(I60:I68)))</f>
        <v>8.2139112198531983E-2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514.15</v>
      </c>
      <c r="E72" s="31">
        <f t="shared" ref="E72:E80" si="47">E60</f>
        <v>2861</v>
      </c>
      <c r="F72" s="31">
        <f t="shared" ref="F72:F80" si="48">V72</f>
        <v>511.3257954217699</v>
      </c>
      <c r="G72" s="32">
        <f t="shared" ref="G72:G80" si="49">getCCTfromXY(U72/X72,V72/X72)</f>
        <v>2702</v>
      </c>
      <c r="H72" s="33">
        <f>F72/D72-1</f>
        <v>-5.4929584328116121E-3</v>
      </c>
      <c r="I72" s="34">
        <f t="shared" ref="I72:I80" si="50">G72/E72-1</f>
        <v>-5.557497378538967E-2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561.57422595605181</v>
      </c>
      <c r="V72" s="50">
        <f>$J$51*$J$31*($D$52*G22+$E$52*H22+$F$52*I22)</f>
        <v>511.3257954217699</v>
      </c>
      <c r="W72" s="50">
        <f>$J$51*$J$31*($D$53*G22+$E$53*H22+$F$53*I22)</f>
        <v>123.40979391213692</v>
      </c>
      <c r="X72" s="29">
        <f>SUM(U72:W72)</f>
        <v>1196.3098152899586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1208.5</v>
      </c>
      <c r="E73" s="31">
        <f t="shared" si="47"/>
        <v>3853</v>
      </c>
      <c r="F73" s="31">
        <f t="shared" si="48"/>
        <v>1223.6135555194644</v>
      </c>
      <c r="G73" s="32">
        <f t="shared" si="49"/>
        <v>3755</v>
      </c>
      <c r="H73" s="33">
        <f t="shared" ref="H73:H80" si="52">F73/D73-1</f>
        <v>1.2506045113334308E-2</v>
      </c>
      <c r="I73" s="34">
        <f t="shared" si="50"/>
        <v>-2.5434726187386403E-2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1222.0359555133396</v>
      </c>
      <c r="V73" s="50">
        <f t="shared" ref="V73:V74" si="55">$J$51*$J$31*($D$52*G23+$E$52*H23+$F$52*I23)</f>
        <v>1223.6135555194644</v>
      </c>
      <c r="W73" s="50">
        <f t="shared" ref="W73:W74" si="56">$J$51*$J$31*($D$53*G23+$E$53*H23+$F$53*I23)</f>
        <v>629.57377926078414</v>
      </c>
      <c r="X73" s="29">
        <f t="shared" ref="X73:X80" si="57">SUM(U73:W73)</f>
        <v>3075.2232902935884</v>
      </c>
    </row>
    <row r="74" spans="1:24">
      <c r="A74" s="87"/>
      <c r="B74" s="48" t="str">
        <f t="shared" si="46"/>
        <v>X</v>
      </c>
      <c r="C74" s="93"/>
      <c r="D74" s="31">
        <f t="shared" si="51"/>
        <v>577.1</v>
      </c>
      <c r="E74" s="31">
        <f t="shared" si="47"/>
        <v>6301</v>
      </c>
      <c r="F74" s="31">
        <f t="shared" si="48"/>
        <v>569.15527363668878</v>
      </c>
      <c r="G74" s="32">
        <f t="shared" si="49"/>
        <v>6310</v>
      </c>
      <c r="H74" s="33">
        <f t="shared" si="52"/>
        <v>-1.3766637260979486E-2</v>
      </c>
      <c r="I74" s="34">
        <f t="shared" si="50"/>
        <v>1.428344707189444E-3</v>
      </c>
      <c r="R74" s="78"/>
      <c r="S74" s="46" t="str">
        <f t="shared" si="53"/>
        <v>D65</v>
      </c>
      <c r="T74" s="79"/>
      <c r="U74" s="50">
        <f t="shared" si="54"/>
        <v>503.27044929319919</v>
      </c>
      <c r="V74" s="50">
        <f t="shared" si="55"/>
        <v>569.15527363668878</v>
      </c>
      <c r="W74" s="50">
        <f t="shared" si="56"/>
        <v>521.95355478457202</v>
      </c>
      <c r="X74" s="29">
        <f t="shared" si="57"/>
        <v>1594.3792777144599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514.15</v>
      </c>
      <c r="E75" s="31">
        <f t="shared" si="47"/>
        <v>2861</v>
      </c>
      <c r="F75" s="31">
        <f t="shared" si="48"/>
        <v>516.12605588395354</v>
      </c>
      <c r="G75" s="32">
        <f t="shared" si="49"/>
        <v>2803</v>
      </c>
      <c r="H75" s="33">
        <f t="shared" si="52"/>
        <v>3.8433451015336129E-3</v>
      </c>
      <c r="I75" s="34">
        <f t="shared" si="50"/>
        <v>-2.0272631946871678E-2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561.04718181839041</v>
      </c>
      <c r="V75" s="50">
        <f>$J$51*$J$34*($D$52*G25+$E$52*H25+$F$52*I25)</f>
        <v>516.12605588395354</v>
      </c>
      <c r="W75" s="50">
        <f>$J$51*$J$34*($D$53*G25+$E$53*H25+$F$53*I25)</f>
        <v>143.60756074033119</v>
      </c>
      <c r="X75" s="29">
        <f t="shared" si="57"/>
        <v>1220.7807984426752</v>
      </c>
    </row>
    <row r="76" spans="1:24">
      <c r="A76" s="87"/>
      <c r="B76" s="48" t="str">
        <f t="shared" si="46"/>
        <v>Z</v>
      </c>
      <c r="C76" s="93"/>
      <c r="D76" s="31">
        <f t="shared" si="51"/>
        <v>1208.5</v>
      </c>
      <c r="E76" s="31">
        <f t="shared" si="47"/>
        <v>3853</v>
      </c>
      <c r="F76" s="31">
        <f t="shared" si="48"/>
        <v>1206.2697738409709</v>
      </c>
      <c r="G76" s="32">
        <f t="shared" si="49"/>
        <v>3791</v>
      </c>
      <c r="H76" s="33">
        <f t="shared" si="52"/>
        <v>-1.8454498626637728E-3</v>
      </c>
      <c r="I76" s="34">
        <f t="shared" si="50"/>
        <v>-1.6091357383856697E-2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1202.0868134827645</v>
      </c>
      <c r="V76" s="50">
        <f t="shared" ref="V76:V77" si="59">$J$51*$J$34*($D$52*G26+$E$52*H26+$F$52*I26)</f>
        <v>1206.2697738409709</v>
      </c>
      <c r="W76" s="50">
        <f t="shared" ref="W76:W77" si="60">$J$51*$J$34*($D$53*G26+$E$53*H26+$F$53*I26)</f>
        <v>630.48169996972115</v>
      </c>
      <c r="X76" s="29">
        <f t="shared" si="57"/>
        <v>3038.8382872934562</v>
      </c>
    </row>
    <row r="77" spans="1:24">
      <c r="A77" s="87"/>
      <c r="B77" s="48" t="str">
        <f t="shared" si="46"/>
        <v>X</v>
      </c>
      <c r="C77" s="93"/>
      <c r="D77" s="31">
        <f t="shared" si="51"/>
        <v>577.1</v>
      </c>
      <c r="E77" s="31">
        <f t="shared" si="47"/>
        <v>6301</v>
      </c>
      <c r="F77" s="31">
        <f t="shared" si="48"/>
        <v>575.34991633671257</v>
      </c>
      <c r="G77" s="32">
        <f t="shared" si="49"/>
        <v>6314</v>
      </c>
      <c r="H77" s="33">
        <f t="shared" si="52"/>
        <v>-3.032548368198662E-3</v>
      </c>
      <c r="I77" s="34">
        <f t="shared" si="50"/>
        <v>2.0631645770512463E-3</v>
      </c>
      <c r="R77" s="78"/>
      <c r="S77" s="46" t="str">
        <f t="shared" si="53"/>
        <v>D65</v>
      </c>
      <c r="T77" s="79"/>
      <c r="U77" s="50">
        <f t="shared" si="58"/>
        <v>508.7078767929134</v>
      </c>
      <c r="V77" s="50">
        <f t="shared" si="59"/>
        <v>575.34991633671257</v>
      </c>
      <c r="W77" s="50">
        <f t="shared" si="60"/>
        <v>527.96500350010353</v>
      </c>
      <c r="X77" s="29">
        <f t="shared" si="57"/>
        <v>1612.0227966297293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514.15</v>
      </c>
      <c r="E78" s="31">
        <f t="shared" si="47"/>
        <v>2861</v>
      </c>
      <c r="F78" s="31">
        <f t="shared" si="48"/>
        <v>520.28199078517741</v>
      </c>
      <c r="G78" s="32">
        <f t="shared" si="49"/>
        <v>3093</v>
      </c>
      <c r="H78" s="33">
        <f t="shared" si="52"/>
        <v>1.1926462676606908E-2</v>
      </c>
      <c r="I78" s="34">
        <f t="shared" si="50"/>
        <v>8.1090527787486932E-2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550.91154483686933</v>
      </c>
      <c r="V78" s="50">
        <f>$J$51*$J$37*($D$52*G28+$E$52*H28+$F$52*I28)</f>
        <v>520.28199078517741</v>
      </c>
      <c r="W78" s="50">
        <f>$J$51*$J$37*($D$53*G28+$E$53*H28+$F$53*I28)</f>
        <v>194.18485865721678</v>
      </c>
      <c r="X78" s="29">
        <f t="shared" si="57"/>
        <v>1265.3783942792636</v>
      </c>
    </row>
    <row r="79" spans="1:24">
      <c r="A79" s="87"/>
      <c r="B79" s="48" t="str">
        <f t="shared" si="46"/>
        <v>Z</v>
      </c>
      <c r="C79" s="93"/>
      <c r="D79" s="31">
        <f t="shared" si="51"/>
        <v>1208.5</v>
      </c>
      <c r="E79" s="31">
        <f t="shared" si="47"/>
        <v>3853</v>
      </c>
      <c r="F79" s="31">
        <f t="shared" si="48"/>
        <v>1203.2611190029893</v>
      </c>
      <c r="G79" s="32">
        <f t="shared" si="49"/>
        <v>4011</v>
      </c>
      <c r="H79" s="33">
        <f t="shared" si="52"/>
        <v>-4.3350277178408891E-3</v>
      </c>
      <c r="I79" s="34">
        <f t="shared" si="50"/>
        <v>4.100700752660269E-2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1182.810143562476</v>
      </c>
      <c r="V79" s="50">
        <f t="shared" ref="V79:V80" si="62">$J$51*$J$37*($D$52*G29+$E$52*H29+$F$52*I29)</f>
        <v>1203.2611190029893</v>
      </c>
      <c r="W79" s="50">
        <f t="shared" ref="W79:W80" si="63">$J$51*$J$37*($D$53*G29+$E$53*H29+$F$53*I29)</f>
        <v>685.0625545774019</v>
      </c>
      <c r="X79" s="29">
        <f t="shared" si="57"/>
        <v>3071.133817142867</v>
      </c>
    </row>
    <row r="80" spans="1:24">
      <c r="A80" s="87"/>
      <c r="B80" s="48" t="str">
        <f t="shared" si="46"/>
        <v>X</v>
      </c>
      <c r="C80" s="93"/>
      <c r="D80" s="31">
        <f t="shared" si="51"/>
        <v>577.1</v>
      </c>
      <c r="E80" s="31">
        <f t="shared" si="47"/>
        <v>6301</v>
      </c>
      <c r="F80" s="31">
        <f t="shared" si="48"/>
        <v>589.46812228110082</v>
      </c>
      <c r="G80" s="32">
        <f t="shared" si="49"/>
        <v>6282</v>
      </c>
      <c r="H80" s="33">
        <f t="shared" si="52"/>
        <v>2.1431506291978542E-2</v>
      </c>
      <c r="I80" s="34">
        <f t="shared" si="50"/>
        <v>-3.015394381844172E-3</v>
      </c>
      <c r="R80" s="78"/>
      <c r="S80" s="46" t="str">
        <f t="shared" si="53"/>
        <v>D65</v>
      </c>
      <c r="T80" s="79"/>
      <c r="U80" s="50">
        <f t="shared" si="61"/>
        <v>521.71808925574226</v>
      </c>
      <c r="V80" s="50">
        <f t="shared" si="62"/>
        <v>589.46812228110082</v>
      </c>
      <c r="W80" s="50">
        <f t="shared" si="63"/>
        <v>538.5372632218531</v>
      </c>
      <c r="X80" s="29">
        <f t="shared" si="57"/>
        <v>1649.7234747586963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2.1431506291978542E-2</v>
      </c>
      <c r="G81" s="47"/>
      <c r="H81" s="36" t="str">
        <f>I71</f>
        <v>CCT</v>
      </c>
      <c r="I81" s="38">
        <f>MAX(MAX(I72:I80,-MIN(I72:I80)))</f>
        <v>8.1090527787486932E-2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514.15</v>
      </c>
      <c r="E84" s="31">
        <f t="shared" ref="E84:E92" si="67">E72</f>
        <v>2861</v>
      </c>
      <c r="F84" s="31">
        <f t="shared" ref="F84:F92" si="68">V84</f>
        <v>514.14999999999986</v>
      </c>
      <c r="G84" s="32">
        <f t="shared" ref="G84:G92" si="69">getCCTfromXY(U84/X84,V84/X84)</f>
        <v>2861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555.80000000000018</v>
      </c>
      <c r="V84" s="50">
        <f>$J$42*$J$31*($D$43*G22+$E$43*H22+$F$43*I22)</f>
        <v>514.14999999999986</v>
      </c>
      <c r="W84" s="50">
        <f>$J$42*$J$31*($D$44*G22+$E$44*H22+$F$44*I22)</f>
        <v>153.80000000000013</v>
      </c>
      <c r="X84" s="29">
        <f>SUM(U84:W84)</f>
        <v>1223.7500000000002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1208.5</v>
      </c>
      <c r="E85" s="31">
        <f t="shared" si="67"/>
        <v>3853</v>
      </c>
      <c r="F85" s="31">
        <f t="shared" si="68"/>
        <v>1208.5000000000002</v>
      </c>
      <c r="G85" s="32">
        <f t="shared" si="69"/>
        <v>3853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1199.5</v>
      </c>
      <c r="V85" s="50">
        <f t="shared" ref="V85:V86" si="75">$J$42*$J$31*($D$43*G23+$E$43*H23+$F$43*I23)</f>
        <v>1208.5000000000002</v>
      </c>
      <c r="W85" s="50">
        <f t="shared" ref="W85:W86" si="76">$J$42*$J$31*($D$44*G23+$E$44*H23+$F$44*I23)</f>
        <v>648</v>
      </c>
      <c r="X85" s="29">
        <f t="shared" ref="X85:X92" si="77">SUM(U85:W85)</f>
        <v>3056</v>
      </c>
    </row>
    <row r="86" spans="1:24">
      <c r="A86" s="87"/>
      <c r="B86" s="48">
        <f t="shared" si="66"/>
        <v>0</v>
      </c>
      <c r="C86" s="93"/>
      <c r="D86" s="31">
        <f t="shared" si="71"/>
        <v>577.1</v>
      </c>
      <c r="E86" s="31">
        <f t="shared" si="67"/>
        <v>6301</v>
      </c>
      <c r="F86" s="31">
        <f t="shared" si="68"/>
        <v>577.1</v>
      </c>
      <c r="G86" s="32">
        <f t="shared" si="69"/>
        <v>6301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510.45000000000005</v>
      </c>
      <c r="V86" s="50">
        <f t="shared" si="75"/>
        <v>577.1</v>
      </c>
      <c r="W86" s="50">
        <f t="shared" si="76"/>
        <v>528.64999999999975</v>
      </c>
      <c r="X86" s="29">
        <f t="shared" si="77"/>
        <v>1616.1999999999998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514.15</v>
      </c>
      <c r="E87" s="31">
        <f t="shared" si="67"/>
        <v>2861</v>
      </c>
      <c r="F87" s="31">
        <f t="shared" si="68"/>
        <v>514.1500000000002</v>
      </c>
      <c r="G87" s="32">
        <f t="shared" si="69"/>
        <v>2861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555.7999999999995</v>
      </c>
      <c r="V87" s="50">
        <f>$J$45*$J$34*($D$46*G25+$E$46*H25+$F$46*I25)</f>
        <v>514.1500000000002</v>
      </c>
      <c r="W87" s="50">
        <f>$J$45*$J$34*($D$47*G25+$E$47*H25+$F$47*I25)</f>
        <v>153.79999999999973</v>
      </c>
      <c r="X87" s="29">
        <f t="shared" si="77"/>
        <v>1223.7499999999995</v>
      </c>
    </row>
    <row r="88" spans="1:24">
      <c r="A88" s="87"/>
      <c r="B88" s="48">
        <f t="shared" si="66"/>
        <v>0</v>
      </c>
      <c r="C88" s="93"/>
      <c r="D88" s="31">
        <f t="shared" si="71"/>
        <v>1208.5</v>
      </c>
      <c r="E88" s="31">
        <f t="shared" si="67"/>
        <v>3853</v>
      </c>
      <c r="F88" s="31">
        <f t="shared" si="68"/>
        <v>1208.5</v>
      </c>
      <c r="G88" s="32">
        <f t="shared" si="69"/>
        <v>3853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1199.4999999999998</v>
      </c>
      <c r="V88" s="50">
        <f t="shared" ref="V88:V89" si="79">$J$45*$J$34*($D$46*G26+$E$46*H26+$F$46*I26)</f>
        <v>1208.5</v>
      </c>
      <c r="W88" s="50">
        <f t="shared" ref="W88:W89" si="80">$J$45*$J$34*($D$47*G26+$E$47*H26+$F$47*I26)</f>
        <v>647.99999999999977</v>
      </c>
      <c r="X88" s="29">
        <f t="shared" si="77"/>
        <v>3056</v>
      </c>
    </row>
    <row r="89" spans="1:24">
      <c r="A89" s="87"/>
      <c r="B89" s="48" t="str">
        <f t="shared" si="66"/>
        <v>A</v>
      </c>
      <c r="C89" s="93"/>
      <c r="D89" s="31">
        <f t="shared" si="71"/>
        <v>577.1</v>
      </c>
      <c r="E89" s="31">
        <f t="shared" si="67"/>
        <v>6301</v>
      </c>
      <c r="F89" s="31">
        <f t="shared" si="68"/>
        <v>577.1</v>
      </c>
      <c r="G89" s="32">
        <f t="shared" si="69"/>
        <v>6301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510.45000000000005</v>
      </c>
      <c r="V89" s="50">
        <f t="shared" si="79"/>
        <v>577.1</v>
      </c>
      <c r="W89" s="50">
        <f t="shared" si="80"/>
        <v>528.64999999999986</v>
      </c>
      <c r="X89" s="29">
        <f t="shared" si="77"/>
        <v>1616.2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514.15</v>
      </c>
      <c r="E90" s="31">
        <f t="shared" si="67"/>
        <v>2861</v>
      </c>
      <c r="F90" s="31">
        <f t="shared" si="68"/>
        <v>514.15000000000043</v>
      </c>
      <c r="G90" s="32">
        <f t="shared" si="69"/>
        <v>2861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555.8000000000003</v>
      </c>
      <c r="V90" s="50">
        <f>$J$48*$J$37*($D$49*G28+$E$49*H28+$F$49*I28)</f>
        <v>514.15000000000043</v>
      </c>
      <c r="W90" s="50">
        <f>$J$48*$J$37*($D$50*G28+$E$50*H28+$F$50*I28)</f>
        <v>153.80000000000089</v>
      </c>
      <c r="X90" s="29">
        <f t="shared" si="77"/>
        <v>1223.7500000000016</v>
      </c>
    </row>
    <row r="91" spans="1:24">
      <c r="A91" s="87"/>
      <c r="B91" s="48" t="str">
        <f t="shared" si="66"/>
        <v>D65</v>
      </c>
      <c r="C91" s="93"/>
      <c r="D91" s="31">
        <f t="shared" si="71"/>
        <v>1208.5</v>
      </c>
      <c r="E91" s="31">
        <f t="shared" si="67"/>
        <v>3853</v>
      </c>
      <c r="F91" s="31">
        <f t="shared" si="68"/>
        <v>1208.5</v>
      </c>
      <c r="G91" s="32">
        <f t="shared" si="69"/>
        <v>3853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1199.5000000000002</v>
      </c>
      <c r="V91" s="50">
        <f t="shared" ref="V91:V92" si="82">$J$48*$J$37*($D$49*G29+$E$49*H29+$F$49*I29)</f>
        <v>1208.5</v>
      </c>
      <c r="W91" s="50">
        <f t="shared" ref="W91:W92" si="83">$J$48*$J$37*($D$50*G29+$E$50*H29+$F$50*I29)</f>
        <v>648.00000000000034</v>
      </c>
      <c r="X91" s="29">
        <f t="shared" si="77"/>
        <v>3056.0000000000005</v>
      </c>
    </row>
    <row r="92" spans="1:24">
      <c r="A92" s="87"/>
      <c r="B92" s="48" t="str">
        <f t="shared" si="66"/>
        <v>A</v>
      </c>
      <c r="C92" s="93"/>
      <c r="D92" s="31">
        <f t="shared" si="71"/>
        <v>577.1</v>
      </c>
      <c r="E92" s="31">
        <f t="shared" si="67"/>
        <v>6301</v>
      </c>
      <c r="F92" s="31">
        <f t="shared" si="68"/>
        <v>577.10000000000014</v>
      </c>
      <c r="G92" s="32">
        <f t="shared" si="69"/>
        <v>6301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510.45000000000005</v>
      </c>
      <c r="V92" s="50">
        <f t="shared" si="82"/>
        <v>577.10000000000014</v>
      </c>
      <c r="W92" s="50">
        <f t="shared" si="83"/>
        <v>528.6500000000002</v>
      </c>
      <c r="X92" s="29">
        <f t="shared" si="77"/>
        <v>1616.2000000000003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6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2.1309523188861093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82.603703779558444</v>
      </c>
      <c r="N3" s="46">
        <v>0</v>
      </c>
      <c r="O3" s="50">
        <f>G$5-N3*G$7</f>
        <v>135.84844673146557</v>
      </c>
      <c r="P3" s="50">
        <f>H$5-N3*H$7</f>
        <v>53.244742951907128</v>
      </c>
      <c r="Q3" s="50">
        <f>I$5-N3*I$7</f>
        <v>64.67787656903765</v>
      </c>
    </row>
    <row r="4" spans="1:17">
      <c r="C4" s="46" t="s">
        <v>20</v>
      </c>
      <c r="D4" s="7">
        <v>524.70000000000005</v>
      </c>
      <c r="E4" s="7">
        <v>1206</v>
      </c>
      <c r="F4" s="7">
        <v>573.6</v>
      </c>
      <c r="G4" s="50">
        <f>AVERAGE(D4:F4)</f>
        <v>768.1</v>
      </c>
      <c r="H4" s="50">
        <f>G4</f>
        <v>768.1</v>
      </c>
      <c r="I4" s="50">
        <f>H4</f>
        <v>768.1</v>
      </c>
      <c r="K4" s="13" t="str">
        <f>linefmt("Compensation",B12)</f>
        <v>"Compensation",37,</v>
      </c>
      <c r="M4" s="46">
        <f t="shared" si="0"/>
        <v>80.41025615658387</v>
      </c>
      <c r="N4" s="46">
        <f>N3+1</f>
        <v>1</v>
      </c>
      <c r="O4" s="50">
        <f t="shared" ref="O4:O66" si="1">G$5-N4*G$7</f>
        <v>133.55946428262035</v>
      </c>
      <c r="P4" s="50">
        <f t="shared" ref="P4:P66" si="2">H$5-N4*H$7</f>
        <v>53.149208126036484</v>
      </c>
      <c r="Q4" s="50">
        <f t="shared" ref="Q4:Q66" si="3">I$5-N4*I$7</f>
        <v>64.330931437809042</v>
      </c>
    </row>
    <row r="5" spans="1:17">
      <c r="C5" s="46">
        <v>0</v>
      </c>
      <c r="D5" s="9">
        <v>92.8</v>
      </c>
      <c r="E5" s="9">
        <v>83.6</v>
      </c>
      <c r="F5" s="9">
        <v>48.3</v>
      </c>
      <c r="G5" s="50">
        <f>G$4/D$4*D5</f>
        <v>135.84844673146557</v>
      </c>
      <c r="H5" s="50">
        <f t="shared" ref="H5:I6" si="4">H$4/E$4*E5</f>
        <v>53.244742951907128</v>
      </c>
      <c r="I5" s="50">
        <f t="shared" si="4"/>
        <v>64.67787656903765</v>
      </c>
      <c r="K5" s="14" t="str">
        <f>linefmt("CardGain",J54)</f>
        <v>"CardGain",15.68162,</v>
      </c>
      <c r="M5" s="46">
        <f t="shared" si="0"/>
        <v>78.216808533609282</v>
      </c>
      <c r="N5" s="46">
        <f t="shared" ref="N5:N66" si="5">N4+1</f>
        <v>2</v>
      </c>
      <c r="O5" s="50">
        <f t="shared" si="1"/>
        <v>131.27048183377511</v>
      </c>
      <c r="P5" s="50">
        <f t="shared" si="2"/>
        <v>53.053673300165833</v>
      </c>
      <c r="Q5" s="50">
        <f t="shared" si="3"/>
        <v>63.983986306580441</v>
      </c>
    </row>
    <row r="6" spans="1:17">
      <c r="B6" s="50">
        <f>D5/4</f>
        <v>23.2</v>
      </c>
      <c r="C6" s="7">
        <v>44</v>
      </c>
      <c r="D6" s="9">
        <v>24</v>
      </c>
      <c r="E6" s="9">
        <v>77</v>
      </c>
      <c r="F6" s="9">
        <v>36.9</v>
      </c>
      <c r="G6" s="50">
        <f>G$4/D$4*D6</f>
        <v>35.133218982275579</v>
      </c>
      <c r="H6" s="50">
        <f t="shared" si="4"/>
        <v>49.041210613598672</v>
      </c>
      <c r="I6" s="50">
        <f t="shared" si="4"/>
        <v>49.412290794979079</v>
      </c>
      <c r="K6" s="14" t="str">
        <f>linefmt("Range",1,J34,J37)</f>
        <v>"Range",1,1.006247,0.7642772,</v>
      </c>
      <c r="M6" s="46">
        <f t="shared" si="0"/>
        <v>76.023360910634693</v>
      </c>
      <c r="N6" s="46">
        <f t="shared" si="5"/>
        <v>3</v>
      </c>
      <c r="O6" s="50">
        <f t="shared" si="1"/>
        <v>128.98149938492989</v>
      </c>
      <c r="P6" s="50">
        <f t="shared" si="2"/>
        <v>52.95813847429519</v>
      </c>
      <c r="Q6" s="50">
        <f t="shared" si="3"/>
        <v>63.63704117535184</v>
      </c>
    </row>
    <row r="7" spans="1:17">
      <c r="C7" s="46">
        <f>C5</f>
        <v>0</v>
      </c>
      <c r="D7" s="46">
        <f t="shared" ref="D7:F8" si="6">D$4/D5</f>
        <v>5.6540948275862073</v>
      </c>
      <c r="E7" s="46">
        <f t="shared" si="6"/>
        <v>14.425837320574164</v>
      </c>
      <c r="F7" s="46">
        <f t="shared" si="6"/>
        <v>11.87577639751553</v>
      </c>
      <c r="G7" s="49">
        <f>(G5-G6)/($C6-$C5)</f>
        <v>2.2889824488452271</v>
      </c>
      <c r="H7" s="49">
        <f t="shared" ref="H7:I7" si="7">(H5-H6)/($C6-$C5)</f>
        <v>9.5534825870646725E-2</v>
      </c>
      <c r="I7" s="49">
        <f t="shared" si="7"/>
        <v>0.34694513122860388</v>
      </c>
      <c r="K7" s="14" t="str">
        <f>linefmt("CCM" )</f>
        <v>"CCM",</v>
      </c>
      <c r="M7" s="46">
        <f t="shared" si="0"/>
        <v>73.829913287660119</v>
      </c>
      <c r="N7" s="46">
        <f t="shared" si="5"/>
        <v>4</v>
      </c>
      <c r="O7" s="50">
        <f t="shared" si="1"/>
        <v>126.69251693608466</v>
      </c>
      <c r="P7" s="50">
        <f t="shared" si="2"/>
        <v>52.862603648424539</v>
      </c>
      <c r="Q7" s="50">
        <f t="shared" si="3"/>
        <v>63.290096044123231</v>
      </c>
    </row>
    <row r="8" spans="1:17">
      <c r="C8" s="46">
        <f>C6</f>
        <v>44</v>
      </c>
      <c r="D8" s="46">
        <f t="shared" si="6"/>
        <v>21.862500000000001</v>
      </c>
      <c r="E8" s="46">
        <f t="shared" si="6"/>
        <v>15.662337662337663</v>
      </c>
      <c r="F8" s="46">
        <f t="shared" si="6"/>
        <v>15.544715447154474</v>
      </c>
      <c r="K8" s="15" t="str">
        <f>linefmt("",D54,E54,F54)</f>
        <v>0.1729401,1.012758,-0.3487893,</v>
      </c>
      <c r="M8" s="46">
        <f t="shared" si="0"/>
        <v>71.636465664685545</v>
      </c>
      <c r="N8" s="46">
        <f t="shared" si="5"/>
        <v>5</v>
      </c>
      <c r="O8" s="50">
        <f t="shared" si="1"/>
        <v>124.40353448723944</v>
      </c>
      <c r="P8" s="50">
        <f t="shared" si="2"/>
        <v>52.767068822553895</v>
      </c>
      <c r="Q8" s="50">
        <f t="shared" si="3"/>
        <v>62.94315091289463</v>
      </c>
    </row>
    <row r="9" spans="1:17">
      <c r="C9" s="46" t="s">
        <v>23</v>
      </c>
      <c r="D9" s="46">
        <f>(D8-D7)/($C8-$C7)</f>
        <v>0.36837284482758625</v>
      </c>
      <c r="E9" s="46">
        <f>(E8-E7)/($C8-$C7)</f>
        <v>2.8102280494624973E-2</v>
      </c>
      <c r="F9" s="46">
        <f>(F8-F7)/($C8-$C7)</f>
        <v>8.3384978400885088E-2</v>
      </c>
      <c r="K9" s="15" t="str">
        <f>linefmt("",D55,E55,F55)</f>
        <v>3.591407E-02,1,-8.734336E-02,</v>
      </c>
      <c r="M9" s="46">
        <f t="shared" si="0"/>
        <v>69.443018041710957</v>
      </c>
      <c r="N9" s="46">
        <f t="shared" si="5"/>
        <v>6</v>
      </c>
      <c r="O9" s="50">
        <f t="shared" si="1"/>
        <v>122.11455203839421</v>
      </c>
      <c r="P9" s="50">
        <f t="shared" si="2"/>
        <v>52.671533996683245</v>
      </c>
      <c r="Q9" s="50">
        <f t="shared" si="3"/>
        <v>62.596205781666029</v>
      </c>
    </row>
    <row r="10" spans="1:17">
      <c r="K10" s="16" t="str">
        <f>linefmt("",D56,E56,F56)</f>
        <v>-0.4336126,0.4290625,0.8936736,</v>
      </c>
      <c r="M10" s="46">
        <f t="shared" si="0"/>
        <v>67.249570418736397</v>
      </c>
      <c r="N10" s="46">
        <f t="shared" si="5"/>
        <v>7</v>
      </c>
      <c r="O10" s="50">
        <f t="shared" si="1"/>
        <v>119.82556958954899</v>
      </c>
      <c r="P10" s="50">
        <f t="shared" si="2"/>
        <v>52.575999170812601</v>
      </c>
      <c r="Q10" s="50">
        <f t="shared" si="3"/>
        <v>62.249260650437421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65.056122795761809</v>
      </c>
      <c r="N11" s="46">
        <f t="shared" si="5"/>
        <v>8</v>
      </c>
      <c r="O11" s="50">
        <f t="shared" si="1"/>
        <v>117.53658714070376</v>
      </c>
      <c r="P11" s="50">
        <f t="shared" si="2"/>
        <v>52.480464344941957</v>
      </c>
      <c r="Q11" s="50">
        <f t="shared" si="3"/>
        <v>61.90231551920882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62.86267517278722</v>
      </c>
      <c r="N12" s="46">
        <f t="shared" si="5"/>
        <v>9</v>
      </c>
      <c r="O12" s="50">
        <f t="shared" si="1"/>
        <v>115.24760469185853</v>
      </c>
      <c r="P12" s="50">
        <f t="shared" si="2"/>
        <v>52.384929519071306</v>
      </c>
      <c r="Q12" s="50">
        <f t="shared" si="3"/>
        <v>61.555370387980219</v>
      </c>
    </row>
    <row r="13" spans="1:17">
      <c r="A13" s="78" t="s">
        <v>12</v>
      </c>
      <c r="B13" s="79" t="s">
        <v>0</v>
      </c>
      <c r="C13" s="46">
        <v>0</v>
      </c>
      <c r="D13" s="7">
        <v>551</v>
      </c>
      <c r="E13" s="7">
        <v>509.6</v>
      </c>
      <c r="F13" s="7">
        <v>153.5</v>
      </c>
      <c r="G13" s="8">
        <v>90.1</v>
      </c>
      <c r="H13" s="8">
        <v>33.5</v>
      </c>
      <c r="I13" s="8">
        <v>42</v>
      </c>
      <c r="M13" s="46">
        <f t="shared" si="0"/>
        <v>60.669227549812646</v>
      </c>
      <c r="N13" s="46">
        <f t="shared" si="5"/>
        <v>10</v>
      </c>
      <c r="O13" s="50">
        <f t="shared" si="1"/>
        <v>112.95862224301331</v>
      </c>
      <c r="P13" s="50">
        <f t="shared" si="2"/>
        <v>52.289394693200663</v>
      </c>
      <c r="Q13" s="50">
        <f t="shared" si="3"/>
        <v>61.20842525675161</v>
      </c>
    </row>
    <row r="14" spans="1:17">
      <c r="A14" s="78"/>
      <c r="B14" s="79"/>
      <c r="C14" s="46">
        <f>C13+1</f>
        <v>1</v>
      </c>
      <c r="D14" s="7">
        <v>556.5</v>
      </c>
      <c r="E14" s="7">
        <v>515.20000000000005</v>
      </c>
      <c r="F14" s="7">
        <v>153.4</v>
      </c>
      <c r="G14" s="8">
        <v>88.1</v>
      </c>
      <c r="H14" s="8">
        <v>33.799999999999997</v>
      </c>
      <c r="I14" s="8">
        <v>42.1</v>
      </c>
      <c r="M14" s="46">
        <f t="shared" si="0"/>
        <v>58.475779926838065</v>
      </c>
      <c r="N14" s="46">
        <f t="shared" si="5"/>
        <v>11</v>
      </c>
      <c r="O14" s="50">
        <f t="shared" si="1"/>
        <v>110.66963979416808</v>
      </c>
      <c r="P14" s="50">
        <f t="shared" si="2"/>
        <v>52.193859867330012</v>
      </c>
      <c r="Q14" s="50">
        <f t="shared" si="3"/>
        <v>60.861480125523009</v>
      </c>
    </row>
    <row r="15" spans="1:17">
      <c r="A15" s="78"/>
      <c r="B15" s="79"/>
      <c r="C15" s="46">
        <f>C14+1</f>
        <v>2</v>
      </c>
      <c r="D15" s="6">
        <f>2*(D13-D14)/(D13+D14)</f>
        <v>-9.9322799097065467E-3</v>
      </c>
      <c r="E15" s="6">
        <f t="shared" ref="E15:F15" si="8">2*(E13-E14)/(E13+E14)</f>
        <v>-1.0928961748633921E-2</v>
      </c>
      <c r="F15" s="6">
        <f t="shared" si="8"/>
        <v>6.5167807103287277E-4</v>
      </c>
      <c r="G15" s="8">
        <v>132.9</v>
      </c>
      <c r="H15" s="8">
        <v>41</v>
      </c>
      <c r="I15" s="8">
        <v>50.1</v>
      </c>
      <c r="M15" s="46">
        <f t="shared" si="0"/>
        <v>56.282332303863477</v>
      </c>
      <c r="N15" s="46">
        <f t="shared" si="5"/>
        <v>12</v>
      </c>
      <c r="O15" s="50">
        <f t="shared" si="1"/>
        <v>108.38065734532285</v>
      </c>
      <c r="P15" s="50">
        <f t="shared" si="2"/>
        <v>52.098325041459368</v>
      </c>
      <c r="Q15" s="50">
        <f t="shared" si="3"/>
        <v>60.514534994294401</v>
      </c>
    </row>
    <row r="16" spans="1:17">
      <c r="A16" s="78"/>
      <c r="B16" s="79" t="s">
        <v>1</v>
      </c>
      <c r="C16" s="46">
        <f>C13</f>
        <v>0</v>
      </c>
      <c r="D16" s="7">
        <v>1197</v>
      </c>
      <c r="E16" s="7">
        <v>1206</v>
      </c>
      <c r="F16" s="7">
        <v>647</v>
      </c>
      <c r="G16" s="8">
        <v>65.599999999999994</v>
      </c>
      <c r="H16" s="8">
        <v>78</v>
      </c>
      <c r="I16" s="8">
        <v>42.4</v>
      </c>
      <c r="M16" s="46">
        <f t="shared" si="0"/>
        <v>54.08888468088891</v>
      </c>
      <c r="N16" s="46">
        <f t="shared" si="5"/>
        <v>13</v>
      </c>
      <c r="O16" s="50">
        <f t="shared" si="1"/>
        <v>106.09167489647763</v>
      </c>
      <c r="P16" s="50">
        <f t="shared" si="2"/>
        <v>52.002790215588718</v>
      </c>
      <c r="Q16" s="50">
        <f t="shared" si="3"/>
        <v>60.1675898630658</v>
      </c>
    </row>
    <row r="17" spans="1:21">
      <c r="A17" s="78"/>
      <c r="B17" s="79"/>
      <c r="C17" s="46">
        <f t="shared" ref="C17:C21" si="9">C14</f>
        <v>1</v>
      </c>
      <c r="D17" s="7">
        <v>1198</v>
      </c>
      <c r="E17" s="7">
        <v>1207</v>
      </c>
      <c r="F17" s="7">
        <v>646</v>
      </c>
      <c r="G17" s="8">
        <v>65.099999999999994</v>
      </c>
      <c r="H17" s="8">
        <v>76.599999999999994</v>
      </c>
      <c r="I17" s="8">
        <v>42.5</v>
      </c>
      <c r="M17" s="46">
        <f t="shared" si="0"/>
        <v>51.895437057914322</v>
      </c>
      <c r="N17" s="46">
        <f t="shared" si="5"/>
        <v>14</v>
      </c>
      <c r="O17" s="50">
        <f t="shared" si="1"/>
        <v>103.8026924476324</v>
      </c>
      <c r="P17" s="50">
        <f t="shared" si="2"/>
        <v>51.907255389718074</v>
      </c>
      <c r="Q17" s="50">
        <f t="shared" si="3"/>
        <v>59.820644731837199</v>
      </c>
    </row>
    <row r="18" spans="1:21">
      <c r="A18" s="78"/>
      <c r="B18" s="79"/>
      <c r="C18" s="46">
        <f t="shared" si="9"/>
        <v>2</v>
      </c>
      <c r="D18" s="6">
        <f>2*(D16-D17)/(D16+D17)</f>
        <v>-8.3507306889352823E-4</v>
      </c>
      <c r="E18" s="6">
        <f t="shared" ref="E18:F18" si="10">2*(E16-E17)/(E16+E17)</f>
        <v>-8.2884376295068376E-4</v>
      </c>
      <c r="F18" s="6">
        <f t="shared" si="10"/>
        <v>1.5467904098994587E-3</v>
      </c>
      <c r="G18" s="8">
        <v>89.7</v>
      </c>
      <c r="H18" s="8">
        <v>103.9</v>
      </c>
      <c r="I18" s="8">
        <v>51.8</v>
      </c>
      <c r="M18" s="46">
        <f t="shared" si="0"/>
        <v>49.701989434939733</v>
      </c>
      <c r="N18" s="46">
        <f t="shared" si="5"/>
        <v>15</v>
      </c>
      <c r="O18" s="50">
        <f t="shared" si="1"/>
        <v>101.51370999878716</v>
      </c>
      <c r="P18" s="50">
        <f t="shared" si="2"/>
        <v>51.81172056384743</v>
      </c>
      <c r="Q18" s="50">
        <f t="shared" si="3"/>
        <v>59.47369960060859</v>
      </c>
    </row>
    <row r="19" spans="1:21">
      <c r="A19" s="78"/>
      <c r="B19" s="79" t="s">
        <v>2</v>
      </c>
      <c r="C19" s="46">
        <f t="shared" si="9"/>
        <v>0</v>
      </c>
      <c r="D19" s="7">
        <v>508.4</v>
      </c>
      <c r="E19" s="7">
        <v>574.70000000000005</v>
      </c>
      <c r="F19" s="7">
        <v>526.20000000000005</v>
      </c>
      <c r="G19" s="8">
        <v>29</v>
      </c>
      <c r="H19" s="8">
        <v>38.700000000000003</v>
      </c>
      <c r="I19" s="8">
        <v>31.7</v>
      </c>
      <c r="M19" s="46">
        <f t="shared" si="0"/>
        <v>47.508541811965166</v>
      </c>
      <c r="N19" s="46">
        <f t="shared" si="5"/>
        <v>16</v>
      </c>
      <c r="O19" s="50">
        <f t="shared" si="1"/>
        <v>99.224727549941946</v>
      </c>
      <c r="P19" s="50">
        <f t="shared" si="2"/>
        <v>51.71618573797678</v>
      </c>
      <c r="Q19" s="50">
        <f t="shared" si="3"/>
        <v>59.126754469379989</v>
      </c>
    </row>
    <row r="20" spans="1:21">
      <c r="A20" s="78"/>
      <c r="B20" s="79"/>
      <c r="C20" s="46">
        <f t="shared" si="9"/>
        <v>1</v>
      </c>
      <c r="D20" s="7">
        <v>509.4</v>
      </c>
      <c r="E20" s="7">
        <v>575.6</v>
      </c>
      <c r="F20" s="7">
        <v>526.29999999999995</v>
      </c>
      <c r="G20" s="8">
        <v>29.2</v>
      </c>
      <c r="H20" s="8">
        <v>38.9</v>
      </c>
      <c r="I20" s="8">
        <v>31.9</v>
      </c>
      <c r="M20" s="46">
        <f t="shared" si="0"/>
        <v>45.315094188990578</v>
      </c>
      <c r="N20" s="46">
        <f t="shared" si="5"/>
        <v>17</v>
      </c>
      <c r="O20" s="50">
        <f t="shared" si="1"/>
        <v>96.935745101096714</v>
      </c>
      <c r="P20" s="50">
        <f t="shared" si="2"/>
        <v>51.620650912106136</v>
      </c>
      <c r="Q20" s="50">
        <f t="shared" si="3"/>
        <v>58.779809338151381</v>
      </c>
    </row>
    <row r="21" spans="1:21">
      <c r="A21" s="78"/>
      <c r="B21" s="79"/>
      <c r="C21" s="46">
        <f t="shared" si="9"/>
        <v>2</v>
      </c>
      <c r="D21" s="6">
        <f>2*(D19-D20)/(D19+D20)</f>
        <v>-1.9650225977598744E-3</v>
      </c>
      <c r="E21" s="6">
        <f t="shared" ref="E21:F21" si="11">2*(E19-E20)/(E19+E20)</f>
        <v>-1.5648091802138175E-3</v>
      </c>
      <c r="F21" s="6">
        <f t="shared" si="11"/>
        <v>-1.9002375296894831E-4</v>
      </c>
      <c r="G21" s="8">
        <v>34.299999999999997</v>
      </c>
      <c r="H21" s="8">
        <v>48.4</v>
      </c>
      <c r="I21" s="8">
        <v>38</v>
      </c>
      <c r="M21" s="46">
        <f t="shared" si="0"/>
        <v>43.121646566015997</v>
      </c>
      <c r="N21" s="46">
        <f t="shared" si="5"/>
        <v>18</v>
      </c>
      <c r="O21" s="50">
        <f t="shared" si="1"/>
        <v>94.646762652251482</v>
      </c>
      <c r="P21" s="50">
        <f t="shared" si="2"/>
        <v>51.525116086235485</v>
      </c>
      <c r="Q21" s="50">
        <f t="shared" si="3"/>
        <v>58.43286420692278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553.75</v>
      </c>
      <c r="E22" s="46">
        <f t="shared" ref="E22:F22" si="12">(E13+E14)/2</f>
        <v>512.40000000000009</v>
      </c>
      <c r="F22" s="46">
        <f t="shared" si="12"/>
        <v>153.44999999999999</v>
      </c>
      <c r="G22" s="5">
        <f>G13</f>
        <v>90.1</v>
      </c>
      <c r="H22" s="5">
        <f t="shared" ref="H22:I22" si="13">H13</f>
        <v>33.5</v>
      </c>
      <c r="I22" s="5">
        <f t="shared" si="13"/>
        <v>42</v>
      </c>
      <c r="J22" s="99">
        <f>AVERAGE(G22:I24)</f>
        <v>50.111111111111107</v>
      </c>
      <c r="M22" s="46">
        <f t="shared" si="0"/>
        <v>40.928198943041423</v>
      </c>
      <c r="N22" s="46">
        <f t="shared" si="5"/>
        <v>19</v>
      </c>
      <c r="O22" s="50">
        <f t="shared" si="1"/>
        <v>92.357780203406264</v>
      </c>
      <c r="P22" s="50">
        <f t="shared" si="2"/>
        <v>51.429581260364841</v>
      </c>
      <c r="Q22" s="50">
        <f t="shared" si="3"/>
        <v>58.085919075694179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1197.5</v>
      </c>
      <c r="E23" s="46">
        <f>(E16+E17)/2</f>
        <v>1206.5</v>
      </c>
      <c r="F23" s="46">
        <f>(F16+F17)/2</f>
        <v>646.5</v>
      </c>
      <c r="G23" s="5">
        <f>G16</f>
        <v>65.599999999999994</v>
      </c>
      <c r="H23" s="5">
        <f>H16</f>
        <v>78</v>
      </c>
      <c r="I23" s="5">
        <f>I16</f>
        <v>42.4</v>
      </c>
      <c r="J23" s="99"/>
      <c r="M23" s="46">
        <f t="shared" si="0"/>
        <v>38.734751320066842</v>
      </c>
      <c r="N23" s="46">
        <f t="shared" si="5"/>
        <v>20</v>
      </c>
      <c r="O23" s="50">
        <f t="shared" si="1"/>
        <v>90.068797754561032</v>
      </c>
      <c r="P23" s="50">
        <f t="shared" si="2"/>
        <v>51.334046434494191</v>
      </c>
      <c r="Q23" s="50">
        <f t="shared" si="3"/>
        <v>57.73897394446557</v>
      </c>
    </row>
    <row r="24" spans="1:21">
      <c r="A24" s="78"/>
      <c r="B24" s="46" t="str">
        <f>B19</f>
        <v>D65</v>
      </c>
      <c r="C24" s="79"/>
      <c r="D24" s="46">
        <f>(D19+D20)/2</f>
        <v>508.9</v>
      </c>
      <c r="E24" s="46">
        <f>(E19+E20)/2</f>
        <v>575.15000000000009</v>
      </c>
      <c r="F24" s="46">
        <f>(F19+F20)/2</f>
        <v>526.25</v>
      </c>
      <c r="G24" s="5">
        <f>G19</f>
        <v>29</v>
      </c>
      <c r="H24" s="5">
        <f>H19</f>
        <v>38.700000000000003</v>
      </c>
      <c r="I24" s="5">
        <f>I19</f>
        <v>31.7</v>
      </c>
      <c r="J24" s="99"/>
      <c r="M24" s="46">
        <f t="shared" si="0"/>
        <v>36.541303697092253</v>
      </c>
      <c r="N24" s="46">
        <f t="shared" si="5"/>
        <v>21</v>
      </c>
      <c r="O24" s="50">
        <f t="shared" si="1"/>
        <v>87.7798153057158</v>
      </c>
      <c r="P24" s="50">
        <f t="shared" si="2"/>
        <v>51.238511608623547</v>
      </c>
      <c r="Q24" s="50">
        <f t="shared" si="3"/>
        <v>57.392028813236969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553.75</v>
      </c>
      <c r="E25" s="46">
        <f t="shared" ref="E25:F25" si="15">(E13+E14)/2</f>
        <v>512.40000000000009</v>
      </c>
      <c r="F25" s="46">
        <f t="shared" si="15"/>
        <v>153.44999999999999</v>
      </c>
      <c r="G25" s="5">
        <f t="shared" ref="G25:I25" si="16">G14</f>
        <v>88.1</v>
      </c>
      <c r="H25" s="5">
        <f t="shared" si="16"/>
        <v>33.799999999999997</v>
      </c>
      <c r="I25" s="5">
        <f t="shared" si="16"/>
        <v>42.1</v>
      </c>
      <c r="J25" s="99">
        <f>AVERAGE(G25:I27)</f>
        <v>49.79999999999999</v>
      </c>
      <c r="M25" s="46">
        <f t="shared" si="0"/>
        <v>34.347856074117686</v>
      </c>
      <c r="N25" s="46">
        <f t="shared" si="5"/>
        <v>22</v>
      </c>
      <c r="O25" s="50">
        <f t="shared" si="1"/>
        <v>85.490832856870583</v>
      </c>
      <c r="P25" s="50">
        <f t="shared" si="2"/>
        <v>51.142976782752896</v>
      </c>
      <c r="Q25" s="50">
        <f t="shared" si="3"/>
        <v>57.045083682008368</v>
      </c>
    </row>
    <row r="26" spans="1:21">
      <c r="A26" s="78"/>
      <c r="B26" s="46" t="str">
        <f>B16</f>
        <v>CWF</v>
      </c>
      <c r="C26" s="79"/>
      <c r="D26" s="46">
        <f>(D16+D17)/2</f>
        <v>1197.5</v>
      </c>
      <c r="E26" s="46">
        <f>(E16+E17)/2</f>
        <v>1206.5</v>
      </c>
      <c r="F26" s="46">
        <f>(F16+F17)/2</f>
        <v>646.5</v>
      </c>
      <c r="G26" s="5">
        <f>G17</f>
        <v>65.099999999999994</v>
      </c>
      <c r="H26" s="5">
        <f>H17</f>
        <v>76.599999999999994</v>
      </c>
      <c r="I26" s="5">
        <f>I17</f>
        <v>42.5</v>
      </c>
      <c r="J26" s="99"/>
      <c r="M26" s="46">
        <f t="shared" si="0"/>
        <v>32.154408451143098</v>
      </c>
      <c r="N26" s="46">
        <f t="shared" si="5"/>
        <v>23</v>
      </c>
      <c r="O26" s="50">
        <f t="shared" si="1"/>
        <v>83.201850408025351</v>
      </c>
      <c r="P26" s="50">
        <f t="shared" si="2"/>
        <v>51.047441956882253</v>
      </c>
      <c r="Q26" s="50">
        <f t="shared" si="3"/>
        <v>56.69813855077976</v>
      </c>
    </row>
    <row r="27" spans="1:21">
      <c r="A27" s="78"/>
      <c r="B27" s="46" t="str">
        <f>B19</f>
        <v>D65</v>
      </c>
      <c r="C27" s="79"/>
      <c r="D27" s="46">
        <f>(D19+D20)/2</f>
        <v>508.9</v>
      </c>
      <c r="E27" s="46">
        <f>(E19+E20)/2</f>
        <v>575.15000000000009</v>
      </c>
      <c r="F27" s="46">
        <f>(F19+F20)/2</f>
        <v>526.25</v>
      </c>
      <c r="G27" s="5">
        <f>G20</f>
        <v>29.2</v>
      </c>
      <c r="H27" s="5">
        <f>H20</f>
        <v>38.9</v>
      </c>
      <c r="I27" s="5">
        <f>I20</f>
        <v>31.9</v>
      </c>
      <c r="J27" s="99"/>
      <c r="M27" s="46">
        <f t="shared" si="0"/>
        <v>29.96096082816851</v>
      </c>
      <c r="N27" s="46">
        <f t="shared" si="5"/>
        <v>24</v>
      </c>
      <c r="O27" s="50">
        <f t="shared" si="1"/>
        <v>80.912867959180119</v>
      </c>
      <c r="P27" s="50">
        <f t="shared" si="2"/>
        <v>50.951907131011609</v>
      </c>
      <c r="Q27" s="50">
        <f t="shared" si="3"/>
        <v>56.351193419551159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553.75</v>
      </c>
      <c r="E28" s="46">
        <f t="shared" ref="E28:F28" si="17">(E13+E14)/2</f>
        <v>512.40000000000009</v>
      </c>
      <c r="F28" s="46">
        <f t="shared" si="17"/>
        <v>153.44999999999999</v>
      </c>
      <c r="G28" s="5">
        <f t="shared" ref="G28:I28" si="18">G15</f>
        <v>132.9</v>
      </c>
      <c r="H28" s="5">
        <f t="shared" si="18"/>
        <v>41</v>
      </c>
      <c r="I28" s="5">
        <f t="shared" si="18"/>
        <v>50.1</v>
      </c>
      <c r="J28" s="99">
        <f>AVERAGE(G28:I30)</f>
        <v>65.566666666666663</v>
      </c>
      <c r="M28" s="46">
        <f t="shared" si="0"/>
        <v>27.767513205193943</v>
      </c>
      <c r="N28" s="46">
        <f t="shared" si="5"/>
        <v>25</v>
      </c>
      <c r="O28" s="50">
        <f t="shared" si="1"/>
        <v>78.623885510334901</v>
      </c>
      <c r="P28" s="50">
        <f t="shared" si="2"/>
        <v>50.856372305140958</v>
      </c>
      <c r="Q28" s="50">
        <f t="shared" si="3"/>
        <v>56.004248288322557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1197.5</v>
      </c>
      <c r="E29" s="46">
        <f t="shared" si="20"/>
        <v>1206.5</v>
      </c>
      <c r="F29" s="46">
        <f t="shared" si="20"/>
        <v>646.5</v>
      </c>
      <c r="G29" s="5">
        <f t="shared" ref="G29:I29" si="21">G18</f>
        <v>89.7</v>
      </c>
      <c r="H29" s="5">
        <f t="shared" si="21"/>
        <v>103.9</v>
      </c>
      <c r="I29" s="5">
        <f t="shared" si="21"/>
        <v>51.8</v>
      </c>
      <c r="J29" s="99"/>
      <c r="M29" s="46">
        <f t="shared" si="0"/>
        <v>25.574065582219355</v>
      </c>
      <c r="N29" s="46">
        <f t="shared" si="5"/>
        <v>26</v>
      </c>
      <c r="O29" s="50">
        <f t="shared" si="1"/>
        <v>76.334903061489669</v>
      </c>
      <c r="P29" s="50">
        <f t="shared" si="2"/>
        <v>50.760837479270315</v>
      </c>
      <c r="Q29" s="50">
        <f t="shared" si="3"/>
        <v>55.657303157093949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508.9</v>
      </c>
      <c r="E30" s="46">
        <f t="shared" si="23"/>
        <v>575.15000000000009</v>
      </c>
      <c r="F30" s="46">
        <f t="shared" si="23"/>
        <v>526.25</v>
      </c>
      <c r="G30" s="5">
        <f t="shared" ref="G30:I30" si="24">G21</f>
        <v>34.299999999999997</v>
      </c>
      <c r="H30" s="5">
        <f t="shared" si="24"/>
        <v>48.4</v>
      </c>
      <c r="I30" s="5">
        <f t="shared" si="24"/>
        <v>38</v>
      </c>
      <c r="J30" s="99"/>
      <c r="M30" s="46">
        <f t="shared" si="0"/>
        <v>23.380617959244773</v>
      </c>
      <c r="N30" s="46">
        <f t="shared" si="5"/>
        <v>27</v>
      </c>
      <c r="O30" s="50">
        <f t="shared" si="1"/>
        <v>74.045920612644437</v>
      </c>
      <c r="P30" s="50">
        <f t="shared" si="2"/>
        <v>50.665302653399664</v>
      </c>
      <c r="Q30" s="50">
        <f t="shared" si="3"/>
        <v>55.310358025865348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553.75</v>
      </c>
      <c r="E31" s="46">
        <f t="shared" si="25"/>
        <v>512.40000000000009</v>
      </c>
      <c r="F31" s="46">
        <f t="shared" si="25"/>
        <v>153.44999999999999</v>
      </c>
      <c r="G31" s="5">
        <f t="shared" ref="G31:I33" si="26">G22*$J$31</f>
        <v>90.1</v>
      </c>
      <c r="H31" s="5">
        <f t="shared" si="26"/>
        <v>33.5</v>
      </c>
      <c r="I31" s="5">
        <f t="shared" si="26"/>
        <v>42</v>
      </c>
      <c r="J31" s="96">
        <f>J$22/J22</f>
        <v>1</v>
      </c>
      <c r="M31" s="46">
        <f t="shared" si="0"/>
        <v>21.187170336270199</v>
      </c>
      <c r="N31" s="46">
        <f t="shared" si="5"/>
        <v>28</v>
      </c>
      <c r="O31" s="50">
        <f t="shared" si="1"/>
        <v>71.756938163799219</v>
      </c>
      <c r="P31" s="50">
        <f t="shared" si="2"/>
        <v>50.56976782752902</v>
      </c>
      <c r="Q31" s="50">
        <f t="shared" si="3"/>
        <v>54.96341289463674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1197.5</v>
      </c>
      <c r="E32" s="46">
        <f t="shared" si="27"/>
        <v>1206.5</v>
      </c>
      <c r="F32" s="46">
        <f t="shared" si="27"/>
        <v>646.5</v>
      </c>
      <c r="G32" s="5">
        <f t="shared" si="26"/>
        <v>65.599999999999994</v>
      </c>
      <c r="H32" s="5">
        <f t="shared" si="26"/>
        <v>78</v>
      </c>
      <c r="I32" s="5">
        <f t="shared" si="26"/>
        <v>42.4</v>
      </c>
      <c r="J32" s="96"/>
      <c r="M32" s="46">
        <f t="shared" si="0"/>
        <v>18.993722713295611</v>
      </c>
      <c r="N32" s="46">
        <f t="shared" si="5"/>
        <v>29</v>
      </c>
      <c r="O32" s="50">
        <f t="shared" si="1"/>
        <v>69.467955714953987</v>
      </c>
      <c r="P32" s="50">
        <f t="shared" si="2"/>
        <v>50.474233001658376</v>
      </c>
      <c r="Q32" s="50">
        <f t="shared" si="3"/>
        <v>54.616467763408139</v>
      </c>
    </row>
    <row r="33" spans="1:17">
      <c r="A33" s="78"/>
      <c r="B33" s="46" t="str">
        <f t="shared" si="27"/>
        <v>D65</v>
      </c>
      <c r="C33" s="79"/>
      <c r="D33" s="46">
        <f t="shared" si="27"/>
        <v>508.9</v>
      </c>
      <c r="E33" s="46">
        <f t="shared" si="27"/>
        <v>575.15000000000009</v>
      </c>
      <c r="F33" s="46">
        <f t="shared" si="27"/>
        <v>526.25</v>
      </c>
      <c r="G33" s="5">
        <f t="shared" si="26"/>
        <v>29</v>
      </c>
      <c r="H33" s="5">
        <f t="shared" si="26"/>
        <v>38.700000000000003</v>
      </c>
      <c r="I33" s="5">
        <f t="shared" si="26"/>
        <v>31.7</v>
      </c>
      <c r="J33" s="96"/>
      <c r="M33" s="46">
        <f t="shared" si="0"/>
        <v>16.80027509032103</v>
      </c>
      <c r="N33" s="46">
        <f t="shared" si="5"/>
        <v>30</v>
      </c>
      <c r="O33" s="50">
        <f t="shared" si="1"/>
        <v>67.178973266108756</v>
      </c>
      <c r="P33" s="50">
        <f t="shared" si="2"/>
        <v>50.378698175787726</v>
      </c>
      <c r="Q33" s="50">
        <f t="shared" si="3"/>
        <v>54.26952263217953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553.75</v>
      </c>
      <c r="E34" s="46">
        <f t="shared" si="27"/>
        <v>512.40000000000009</v>
      </c>
      <c r="F34" s="46">
        <f t="shared" si="27"/>
        <v>153.44999999999999</v>
      </c>
      <c r="G34" s="5">
        <f t="shared" ref="G34:I36" si="28">G25*$J$34</f>
        <v>88.650379294957617</v>
      </c>
      <c r="H34" s="5">
        <f t="shared" si="28"/>
        <v>34.011155734047307</v>
      </c>
      <c r="I34" s="5">
        <f t="shared" si="28"/>
        <v>42.363007585899162</v>
      </c>
      <c r="J34" s="96">
        <f>J$22/J25</f>
        <v>1.0062472110664884</v>
      </c>
      <c r="M34" s="46">
        <f t="shared" si="0"/>
        <v>14.606827467346456</v>
      </c>
      <c r="N34" s="46">
        <f t="shared" si="5"/>
        <v>31</v>
      </c>
      <c r="O34" s="50">
        <f t="shared" si="1"/>
        <v>64.889990817263538</v>
      </c>
      <c r="P34" s="50">
        <f t="shared" si="2"/>
        <v>50.283163349917082</v>
      </c>
      <c r="Q34" s="50">
        <f t="shared" si="3"/>
        <v>53.922577500950929</v>
      </c>
    </row>
    <row r="35" spans="1:17">
      <c r="A35" s="78"/>
      <c r="B35" s="46" t="str">
        <f t="shared" si="27"/>
        <v>CWF</v>
      </c>
      <c r="C35" s="79"/>
      <c r="D35" s="46">
        <f t="shared" si="27"/>
        <v>1197.5</v>
      </c>
      <c r="E35" s="46">
        <f t="shared" si="27"/>
        <v>1206.5</v>
      </c>
      <c r="F35" s="46">
        <f t="shared" si="27"/>
        <v>646.5</v>
      </c>
      <c r="G35" s="5">
        <f t="shared" si="28"/>
        <v>65.506693440428393</v>
      </c>
      <c r="H35" s="5">
        <f t="shared" si="28"/>
        <v>77.078536367693005</v>
      </c>
      <c r="I35" s="5">
        <f t="shared" si="28"/>
        <v>42.765506470325754</v>
      </c>
      <c r="J35" s="96"/>
      <c r="M35" s="46">
        <f t="shared" si="0"/>
        <v>12.413379844371875</v>
      </c>
      <c r="N35" s="46">
        <f t="shared" si="5"/>
        <v>32</v>
      </c>
      <c r="O35" s="50">
        <f t="shared" si="1"/>
        <v>62.601008368418306</v>
      </c>
      <c r="P35" s="50">
        <f t="shared" si="2"/>
        <v>50.187628524046431</v>
      </c>
      <c r="Q35" s="50">
        <f t="shared" si="3"/>
        <v>53.575632369722328</v>
      </c>
    </row>
    <row r="36" spans="1:17">
      <c r="A36" s="78"/>
      <c r="B36" s="46" t="str">
        <f t="shared" si="27"/>
        <v>D65</v>
      </c>
      <c r="C36" s="79"/>
      <c r="D36" s="46">
        <f t="shared" si="27"/>
        <v>508.9</v>
      </c>
      <c r="E36" s="46">
        <f t="shared" si="27"/>
        <v>575.15000000000009</v>
      </c>
      <c r="F36" s="46">
        <f t="shared" si="27"/>
        <v>526.25</v>
      </c>
      <c r="G36" s="5">
        <f t="shared" si="28"/>
        <v>29.38241856314146</v>
      </c>
      <c r="H36" s="5">
        <f t="shared" si="28"/>
        <v>39.143016510486397</v>
      </c>
      <c r="I36" s="5">
        <f t="shared" si="28"/>
        <v>32.099286033020981</v>
      </c>
      <c r="J36" s="96"/>
      <c r="M36" s="46">
        <f t="shared" si="0"/>
        <v>10.219932221397286</v>
      </c>
      <c r="N36" s="46">
        <f t="shared" si="5"/>
        <v>33</v>
      </c>
      <c r="O36" s="50">
        <f t="shared" si="1"/>
        <v>60.312025919573074</v>
      </c>
      <c r="P36" s="50">
        <f t="shared" si="2"/>
        <v>50.092093698175788</v>
      </c>
      <c r="Q36" s="50">
        <f t="shared" si="3"/>
        <v>53.22868723849372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553.75</v>
      </c>
      <c r="E37" s="46">
        <f t="shared" si="27"/>
        <v>512.40000000000009</v>
      </c>
      <c r="F37" s="46">
        <f t="shared" si="27"/>
        <v>153.44999999999999</v>
      </c>
      <c r="G37" s="5">
        <f t="shared" ref="G37:I39" si="29">G28*$J$37</f>
        <v>101.57244534824606</v>
      </c>
      <c r="H37" s="5">
        <f t="shared" si="29"/>
        <v>31.335366886968309</v>
      </c>
      <c r="I37" s="5">
        <f t="shared" si="29"/>
        <v>38.290289781392985</v>
      </c>
      <c r="J37" s="96">
        <f>J$22/J28</f>
        <v>0.7642772411455685</v>
      </c>
      <c r="K37" s="51" t="str">
        <f>CHAR(34) &amp; "EEpromVersion" &amp;CHAR(34)  &amp; ",3,"</f>
        <v>"EEpromVersion",3,</v>
      </c>
      <c r="M37" s="46">
        <f t="shared" si="0"/>
        <v>8.0264845984227193</v>
      </c>
      <c r="N37" s="46">
        <f t="shared" si="5"/>
        <v>34</v>
      </c>
      <c r="O37" s="50">
        <f t="shared" si="1"/>
        <v>58.023043470727856</v>
      </c>
      <c r="P37" s="50">
        <f t="shared" si="2"/>
        <v>49.996558872305137</v>
      </c>
      <c r="Q37" s="50">
        <f t="shared" si="3"/>
        <v>52.881742107265119</v>
      </c>
    </row>
    <row r="38" spans="1:17">
      <c r="A38" s="78"/>
      <c r="B38" s="46" t="str">
        <f t="shared" si="27"/>
        <v>CWF</v>
      </c>
      <c r="C38" s="79"/>
      <c r="D38" s="46">
        <f t="shared" si="27"/>
        <v>1197.5</v>
      </c>
      <c r="E38" s="46">
        <f t="shared" si="27"/>
        <v>1206.5</v>
      </c>
      <c r="F38" s="46">
        <f t="shared" si="27"/>
        <v>646.5</v>
      </c>
      <c r="G38" s="5">
        <f t="shared" si="29"/>
        <v>68.555668530757501</v>
      </c>
      <c r="H38" s="5">
        <f t="shared" si="29"/>
        <v>79.40840535502457</v>
      </c>
      <c r="I38" s="5">
        <f t="shared" si="29"/>
        <v>39.589561091340443</v>
      </c>
      <c r="J38" s="96"/>
      <c r="K38" s="52" t="str">
        <f>K4</f>
        <v>"Compensation",37,</v>
      </c>
      <c r="M38" s="46">
        <f t="shared" si="0"/>
        <v>5.833036975448131</v>
      </c>
      <c r="N38" s="46">
        <f t="shared" si="5"/>
        <v>35</v>
      </c>
      <c r="O38" s="50">
        <f t="shared" si="1"/>
        <v>55.734061021882624</v>
      </c>
      <c r="P38" s="50">
        <f t="shared" si="2"/>
        <v>49.901024046434493</v>
      </c>
      <c r="Q38" s="50">
        <f t="shared" si="3"/>
        <v>52.534796976036517</v>
      </c>
    </row>
    <row r="39" spans="1:17">
      <c r="A39" s="78"/>
      <c r="B39" s="46" t="str">
        <f t="shared" si="27"/>
        <v>D65</v>
      </c>
      <c r="C39" s="79"/>
      <c r="D39" s="46">
        <f t="shared" si="27"/>
        <v>508.9</v>
      </c>
      <c r="E39" s="46">
        <f t="shared" si="27"/>
        <v>575.15000000000009</v>
      </c>
      <c r="F39" s="46">
        <f t="shared" si="27"/>
        <v>526.25</v>
      </c>
      <c r="G39" s="5">
        <f t="shared" si="29"/>
        <v>26.214709371292997</v>
      </c>
      <c r="H39" s="5">
        <f t="shared" si="29"/>
        <v>36.991018471445514</v>
      </c>
      <c r="I39" s="5">
        <f t="shared" si="29"/>
        <v>29.042535163531603</v>
      </c>
      <c r="J39" s="96"/>
      <c r="K39" s="53" t="str">
        <f>linefmt("CardGain",J42,J45,J48)</f>
        <v>"CardGain",15.9826,16.65677,14.46884,</v>
      </c>
      <c r="M39" s="46">
        <f t="shared" si="0"/>
        <v>3.6395893524735499</v>
      </c>
      <c r="N39" s="46">
        <f t="shared" si="5"/>
        <v>36</v>
      </c>
      <c r="O39" s="50">
        <f t="shared" si="1"/>
        <v>53.445078573037392</v>
      </c>
      <c r="P39" s="50">
        <f t="shared" si="2"/>
        <v>49.805489220563842</v>
      </c>
      <c r="Q39" s="50">
        <f t="shared" si="3"/>
        <v>52.187851844807909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"Range",1,1.006247,0.7642772,</v>
      </c>
      <c r="M40" s="46">
        <f t="shared" si="0"/>
        <v>2.1309523188861093</v>
      </c>
      <c r="N40" s="46">
        <f t="shared" si="5"/>
        <v>37</v>
      </c>
      <c r="O40" s="50">
        <f t="shared" si="1"/>
        <v>51.156096124192175</v>
      </c>
      <c r="P40" s="50">
        <f t="shared" si="2"/>
        <v>49.709954394693199</v>
      </c>
      <c r="Q40" s="50">
        <f t="shared" si="3"/>
        <v>51.840906713579308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2.6268479070037642</v>
      </c>
      <c r="N41" s="46">
        <f t="shared" si="5"/>
        <v>38</v>
      </c>
      <c r="O41" s="50">
        <f t="shared" si="1"/>
        <v>48.867113675346943</v>
      </c>
      <c r="P41" s="50">
        <f t="shared" si="2"/>
        <v>49.614419568822555</v>
      </c>
      <c r="Q41" s="50">
        <f t="shared" si="3"/>
        <v>51.493961582350707</v>
      </c>
    </row>
    <row r="42" spans="1:17">
      <c r="A42" s="4"/>
      <c r="B42" s="46" t="s">
        <v>3</v>
      </c>
      <c r="C42" s="79">
        <f>C31</f>
        <v>0</v>
      </c>
      <c r="D42" s="46">
        <f>I42/$H$43</f>
        <v>0.2057113780798259</v>
      </c>
      <c r="E42" s="46">
        <f>H42/$H$43</f>
        <v>1.0222654908820787</v>
      </c>
      <c r="F42" s="46">
        <f>G42/$H$43</f>
        <v>-0.43174828362263462</v>
      </c>
      <c r="G42" s="46">
        <f t="array" ref="G42:I42">LINEST($D31:$D33,$G31:$I33,FALSE)</f>
        <v>-6.9004586188116592</v>
      </c>
      <c r="H42" s="46">
        <v>16.338456885300648</v>
      </c>
      <c r="I42" s="46">
        <v>3.2878019570756671</v>
      </c>
      <c r="J42" s="97">
        <f>H43</f>
        <v>15.982596528033769</v>
      </c>
      <c r="K42" s="53" t="str">
        <f t="shared" ref="K42:K50" si="30">linefmt("",D42,E42,F42)</f>
        <v>0.2057114,1.022265,-0.4317483,</v>
      </c>
      <c r="M42" s="46">
        <f t="shared" si="0"/>
        <v>4.5688852246203879</v>
      </c>
      <c r="N42" s="46">
        <f t="shared" si="5"/>
        <v>39</v>
      </c>
      <c r="O42" s="50">
        <f t="shared" si="1"/>
        <v>46.578131226501711</v>
      </c>
      <c r="P42" s="50">
        <f t="shared" si="2"/>
        <v>49.518884742951904</v>
      </c>
      <c r="Q42" s="50">
        <f t="shared" si="3"/>
        <v>51.147016451122099</v>
      </c>
    </row>
    <row r="43" spans="1:17">
      <c r="A43" s="4"/>
      <c r="B43" s="46" t="s">
        <v>4</v>
      </c>
      <c r="C43" s="79"/>
      <c r="D43" s="46">
        <f>I43/$H$43</f>
        <v>4.171435517791932E-2</v>
      </c>
      <c r="E43" s="46">
        <f>H43/$H$43</f>
        <v>1</v>
      </c>
      <c r="F43" s="46">
        <f>G43/$H$43</f>
        <v>-0.12377598413648237</v>
      </c>
      <c r="G43" s="46">
        <f t="array" ref="G43:I43">LINEST($E31:$E33,$G31:$I33,FALSE)</f>
        <v>-1.978261614313706</v>
      </c>
      <c r="H43" s="46">
        <v>15.982596528033769</v>
      </c>
      <c r="I43" s="46">
        <v>0.66670370823578073</v>
      </c>
      <c r="J43" s="97"/>
      <c r="K43" s="53" t="str">
        <f t="shared" si="30"/>
        <v>4.171436E-02,1,-0.123776,</v>
      </c>
      <c r="M43" s="46">
        <f t="shared" si="0"/>
        <v>6.5109225422370045</v>
      </c>
      <c r="N43" s="46">
        <f t="shared" si="5"/>
        <v>40</v>
      </c>
      <c r="O43" s="50">
        <f t="shared" si="1"/>
        <v>44.289148777656493</v>
      </c>
      <c r="P43" s="50">
        <f t="shared" si="2"/>
        <v>49.423349917081261</v>
      </c>
      <c r="Q43" s="50">
        <f t="shared" si="3"/>
        <v>50.800071319893497</v>
      </c>
    </row>
    <row r="44" spans="1:17">
      <c r="A44" s="4"/>
      <c r="B44" s="46" t="s">
        <v>5</v>
      </c>
      <c r="C44" s="79"/>
      <c r="D44" s="46">
        <f>I44/$H$43</f>
        <v>-0.52198844565291669</v>
      </c>
      <c r="E44" s="46">
        <f>H44/$H$43</f>
        <v>0.39657607566559266</v>
      </c>
      <c r="F44" s="46">
        <f>G44/$H$43</f>
        <v>1.0320697300871091</v>
      </c>
      <c r="G44" s="46">
        <f t="array" ref="G44:I44">LINEST($F$31:$F$33,$G31:$I33,FALSE)</f>
        <v>16.495154084778978</v>
      </c>
      <c r="H44" s="46">
        <v>6.3383154100341583</v>
      </c>
      <c r="I44" s="46">
        <v>-8.3427307191660507</v>
      </c>
      <c r="J44" s="97"/>
      <c r="K44" s="53" t="str">
        <f t="shared" si="30"/>
        <v>-0.5219885,0.3965761,1.03207,</v>
      </c>
      <c r="M44" s="46">
        <f t="shared" si="0"/>
        <v>8.4529598598536282</v>
      </c>
      <c r="N44" s="46">
        <f t="shared" si="5"/>
        <v>41</v>
      </c>
      <c r="O44" s="50">
        <f t="shared" si="1"/>
        <v>42.000166328811261</v>
      </c>
      <c r="P44" s="50">
        <f t="shared" si="2"/>
        <v>49.32781509121061</v>
      </c>
      <c r="Q44" s="50">
        <f t="shared" si="3"/>
        <v>50.453126188664889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0.21890839272741291</v>
      </c>
      <c r="E45" s="46">
        <f>H45/$H$46</f>
        <v>1.0196184368087229</v>
      </c>
      <c r="F45" s="46">
        <f>G45/$H$46</f>
        <v>-0.49193809956114504</v>
      </c>
      <c r="G45" s="46">
        <f t="array" ref="G45:I45">LINEST($D34:$D36,$G34:$I36,FALSE)</f>
        <v>-8.1941009323426535</v>
      </c>
      <c r="H45" s="46">
        <v>16.98355218093787</v>
      </c>
      <c r="I45" s="46">
        <v>3.6463072621240884</v>
      </c>
      <c r="J45" s="97">
        <f>H46</f>
        <v>16.65677234524539</v>
      </c>
      <c r="K45" s="53" t="str">
        <f t="shared" si="30"/>
        <v>0.2189084,1.019618,-0.4919381,</v>
      </c>
      <c r="M45" s="46">
        <f t="shared" si="0"/>
        <v>10.394997177470259</v>
      </c>
      <c r="N45" s="46">
        <f t="shared" si="5"/>
        <v>42</v>
      </c>
      <c r="O45" s="50">
        <f t="shared" si="1"/>
        <v>39.711183879966029</v>
      </c>
      <c r="P45" s="50">
        <f t="shared" si="2"/>
        <v>49.232280265339966</v>
      </c>
      <c r="Q45" s="50">
        <f t="shared" si="3"/>
        <v>50.106181057436288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5.6940539884390927E-2</v>
      </c>
      <c r="E46" s="46">
        <f>H46/$H$46</f>
        <v>1</v>
      </c>
      <c r="F46" s="46">
        <f>G46/$H$46</f>
        <v>-0.19584761239114079</v>
      </c>
      <c r="G46" s="46">
        <f t="array" ref="G46:I46">LINEST($E34:$E36,$G34:$I36,FALSE)</f>
        <v>-3.2621890939590923</v>
      </c>
      <c r="H46" s="46">
        <v>16.65677234524539</v>
      </c>
      <c r="I46" s="46">
        <v>0.94844561006966488</v>
      </c>
      <c r="J46" s="97"/>
      <c r="K46" s="53" t="str">
        <f t="shared" si="30"/>
        <v>5.694054E-02,1,-0.1958476,</v>
      </c>
      <c r="M46" s="46">
        <f t="shared" si="0"/>
        <v>12.337034495086868</v>
      </c>
      <c r="N46" s="46">
        <f t="shared" si="5"/>
        <v>43</v>
      </c>
      <c r="O46" s="50">
        <f t="shared" si="1"/>
        <v>37.422201431120811</v>
      </c>
      <c r="P46" s="50">
        <f t="shared" si="2"/>
        <v>49.136745439469323</v>
      </c>
      <c r="Q46" s="50">
        <f t="shared" si="3"/>
        <v>49.75923592620768</v>
      </c>
    </row>
    <row r="47" spans="1:17">
      <c r="A47" s="4"/>
      <c r="B47" s="46" t="str">
        <f t="shared" si="31"/>
        <v>Z</v>
      </c>
      <c r="C47" s="79"/>
      <c r="D47" s="46">
        <f>I47/$H$46</f>
        <v>-0.5078404636998578</v>
      </c>
      <c r="E47" s="46">
        <f>H47/$H$46</f>
        <v>0.40548152424418055</v>
      </c>
      <c r="F47" s="46">
        <f>G47/$H$46</f>
        <v>0.95464948860797139</v>
      </c>
      <c r="G47" s="46">
        <f t="array" ref="G47:I47">LINEST($F$31:$F$33,$G34:$I36,FALSE)</f>
        <v>15.901379201247911</v>
      </c>
      <c r="H47" s="46">
        <v>6.7540134395384142</v>
      </c>
      <c r="I47" s="46">
        <v>-8.4589829915523858</v>
      </c>
      <c r="J47" s="97"/>
      <c r="K47" s="53" t="str">
        <f t="shared" si="30"/>
        <v>-0.5078405,0.4054815,0.9546495,</v>
      </c>
      <c r="M47" s="46">
        <f t="shared" si="0"/>
        <v>14.279071812703499</v>
      </c>
      <c r="N47" s="46">
        <f t="shared" si="5"/>
        <v>44</v>
      </c>
      <c r="O47" s="50">
        <f t="shared" si="1"/>
        <v>35.133218982275579</v>
      </c>
      <c r="P47" s="50">
        <f t="shared" si="2"/>
        <v>49.041210613598672</v>
      </c>
      <c r="Q47" s="50">
        <f t="shared" si="3"/>
        <v>49.412290794979079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0.14805862924555382</v>
      </c>
      <c r="E48" s="46">
        <f>H48/$H$49</f>
        <v>1.0336624256965941</v>
      </c>
      <c r="F48" s="46">
        <f>G48/$H$49</f>
        <v>-0.23914606677845593</v>
      </c>
      <c r="G48" s="46">
        <f t="array" ref="G48:I48">LINEST($D37:$D39,$G37:$I39,FALSE)</f>
        <v>-3.4601665375217219</v>
      </c>
      <c r="H48" s="46">
        <v>14.955897810363233</v>
      </c>
      <c r="I48" s="46">
        <v>2.1422368404720626</v>
      </c>
      <c r="J48" s="97">
        <f>H49</f>
        <v>14.468841508178381</v>
      </c>
      <c r="K48" s="53" t="str">
        <f t="shared" si="30"/>
        <v>0.1480586,1.033662,-0.2391461,</v>
      </c>
      <c r="M48" s="46">
        <f t="shared" si="0"/>
        <v>16.22110913032013</v>
      </c>
      <c r="N48" s="46">
        <f t="shared" si="5"/>
        <v>45</v>
      </c>
      <c r="O48" s="50">
        <f t="shared" si="1"/>
        <v>32.844236533430347</v>
      </c>
      <c r="P48" s="50">
        <f t="shared" si="2"/>
        <v>48.945675787728028</v>
      </c>
      <c r="Q48" s="50">
        <f t="shared" si="3"/>
        <v>49.065345663750477</v>
      </c>
    </row>
    <row r="49" spans="1:24">
      <c r="A49" s="4"/>
      <c r="B49" s="46" t="str">
        <f t="shared" si="31"/>
        <v>Y</v>
      </c>
      <c r="C49" s="79"/>
      <c r="D49" s="46">
        <f>I49/$H$49</f>
        <v>6.5650977947235558E-3</v>
      </c>
      <c r="E49" s="46">
        <f>H49/$H$49</f>
        <v>1</v>
      </c>
      <c r="F49" s="46">
        <f>G49/$H$49</f>
        <v>8.9104338925881446E-2</v>
      </c>
      <c r="G49" s="46">
        <f t="array" ref="G49:I49">LINEST($E37:$E39,$G37:$I39,FALSE)</f>
        <v>1.2892365576095881</v>
      </c>
      <c r="H49" s="46">
        <v>14.468841508178381</v>
      </c>
      <c r="I49" s="46">
        <v>9.4989359477546539E-2</v>
      </c>
      <c r="J49" s="97"/>
      <c r="K49" s="53" t="str">
        <f t="shared" si="30"/>
        <v>6.565098E-03,1,8.910434E-02,</v>
      </c>
      <c r="M49" s="46">
        <f t="shared" si="0"/>
        <v>18.294886877272248</v>
      </c>
      <c r="N49" s="46">
        <f t="shared" si="5"/>
        <v>46</v>
      </c>
      <c r="O49" s="50">
        <f t="shared" si="1"/>
        <v>30.55525408458513</v>
      </c>
      <c r="P49" s="50">
        <f t="shared" si="2"/>
        <v>48.850140961857377</v>
      </c>
      <c r="Q49" s="50">
        <f t="shared" si="3"/>
        <v>48.718400532521869</v>
      </c>
    </row>
    <row r="50" spans="1:24">
      <c r="A50" s="4"/>
      <c r="B50" s="46" t="str">
        <f t="shared" si="31"/>
        <v>Z</v>
      </c>
      <c r="C50" s="79"/>
      <c r="D50" s="46">
        <f>I50/$H$49</f>
        <v>-0.46445799389212927</v>
      </c>
      <c r="E50" s="46">
        <f>H50/$H$49</f>
        <v>0.35697079917328361</v>
      </c>
      <c r="F50" s="46">
        <f>G50/$H$49</f>
        <v>1.2169109187396583</v>
      </c>
      <c r="G50" s="46">
        <f t="array" ref="G50:I50">LINEST($F$31:$F$33,$G37:$I39,FALSE)</f>
        <v>17.607291212815856</v>
      </c>
      <c r="H50" s="46">
        <v>5.1649539162860147</v>
      </c>
      <c r="I50" s="46">
        <v>-6.7201691008317006</v>
      </c>
      <c r="J50" s="97"/>
      <c r="K50" s="54" t="str">
        <f t="shared" si="30"/>
        <v>-0.464458,0.3569708,1.216911,</v>
      </c>
      <c r="M50" s="46">
        <f t="shared" si="0"/>
        <v>20.488334500246836</v>
      </c>
      <c r="N50" s="46">
        <f t="shared" si="5"/>
        <v>47</v>
      </c>
      <c r="O50" s="50">
        <f t="shared" si="1"/>
        <v>28.266271635739898</v>
      </c>
      <c r="P50" s="50">
        <f t="shared" si="2"/>
        <v>48.754606135986734</v>
      </c>
      <c r="Q50" s="50">
        <f t="shared" si="3"/>
        <v>48.371455401293268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0.19089280001759754</v>
      </c>
      <c r="E51" s="46">
        <f t="shared" ref="E51:F51" si="32">(E42+E45+E48)/3</f>
        <v>1.0251821177957987</v>
      </c>
      <c r="F51" s="46">
        <f t="shared" si="32"/>
        <v>-0.38761081665407854</v>
      </c>
      <c r="J51" s="97">
        <f>(J42+J45+J48)/3</f>
        <v>15.702736793819179</v>
      </c>
      <c r="M51" s="46">
        <f t="shared" si="0"/>
        <v>22.681782123221417</v>
      </c>
      <c r="N51" s="46">
        <f t="shared" si="5"/>
        <v>48</v>
      </c>
      <c r="O51" s="50">
        <f t="shared" si="1"/>
        <v>25.977289186894666</v>
      </c>
      <c r="P51" s="50">
        <f t="shared" si="2"/>
        <v>48.659071310116083</v>
      </c>
      <c r="Q51" s="50">
        <f t="shared" si="3"/>
        <v>48.024510270064667</v>
      </c>
    </row>
    <row r="52" spans="1:24">
      <c r="B52" s="46" t="str">
        <f t="shared" si="31"/>
        <v>Y</v>
      </c>
      <c r="C52" s="79"/>
      <c r="D52" s="46">
        <f t="shared" ref="D52:F53" si="33">(D43+D46+D49)/3</f>
        <v>3.5073330952344599E-2</v>
      </c>
      <c r="E52" s="46">
        <f t="shared" si="33"/>
        <v>1</v>
      </c>
      <c r="F52" s="46">
        <f t="shared" si="33"/>
        <v>-7.683975253391391E-2</v>
      </c>
      <c r="J52" s="97"/>
      <c r="M52" s="46">
        <f t="shared" si="0"/>
        <v>24.875229746195991</v>
      </c>
      <c r="N52" s="46">
        <f t="shared" si="5"/>
        <v>49</v>
      </c>
      <c r="O52" s="50">
        <f t="shared" si="1"/>
        <v>23.688306738049448</v>
      </c>
      <c r="P52" s="50">
        <f t="shared" si="2"/>
        <v>48.563536484245439</v>
      </c>
      <c r="Q52" s="50">
        <f t="shared" si="3"/>
        <v>47.677565138836059</v>
      </c>
    </row>
    <row r="53" spans="1:24" ht="15.75" thickBot="1">
      <c r="B53" s="46" t="str">
        <f t="shared" si="31"/>
        <v>Z</v>
      </c>
      <c r="C53" s="79"/>
      <c r="D53" s="46">
        <f t="shared" si="33"/>
        <v>-0.49809563441496801</v>
      </c>
      <c r="E53" s="46">
        <f t="shared" si="33"/>
        <v>0.38634279969435226</v>
      </c>
      <c r="F53" s="46">
        <f t="shared" si="33"/>
        <v>1.0678767124782462</v>
      </c>
      <c r="J53" s="100"/>
      <c r="M53" s="46">
        <f t="shared" si="0"/>
        <v>27.068677369170572</v>
      </c>
      <c r="N53" s="46">
        <f t="shared" si="5"/>
        <v>50</v>
      </c>
      <c r="O53" s="50">
        <f t="shared" si="1"/>
        <v>21.399324289204216</v>
      </c>
      <c r="P53" s="50">
        <f t="shared" si="2"/>
        <v>48.468001658374789</v>
      </c>
      <c r="Q53" s="50">
        <f t="shared" si="3"/>
        <v>47.330620007607457</v>
      </c>
    </row>
    <row r="54" spans="1:24">
      <c r="B54" s="79" t="s">
        <v>14</v>
      </c>
      <c r="C54" s="79"/>
      <c r="D54" s="19">
        <f>I54/$H$55</f>
        <v>0.17294008873064318</v>
      </c>
      <c r="E54" s="20">
        <f>H54/$H$55</f>
        <v>1.0127580707636805</v>
      </c>
      <c r="F54" s="21">
        <f>G54/$H$55</f>
        <v>-0.34878934250392141</v>
      </c>
      <c r="G54" s="46">
        <f t="array" ref="G54:I54">LINEST(D$31:D$39,$G$31:$I$39,FALSE)</f>
        <v>-5.4695817762246985</v>
      </c>
      <c r="H54" s="46">
        <v>15.881686773474831</v>
      </c>
      <c r="I54" s="46">
        <v>2.7119806783923552</v>
      </c>
      <c r="J54" s="98">
        <f>H55</f>
        <v>15.681619561421103</v>
      </c>
      <c r="M54" s="46">
        <f t="shared" si="0"/>
        <v>29.262124992145147</v>
      </c>
      <c r="N54" s="46">
        <f t="shared" si="5"/>
        <v>51</v>
      </c>
      <c r="O54" s="50">
        <f t="shared" si="1"/>
        <v>19.110341840358998</v>
      </c>
      <c r="P54" s="50">
        <f t="shared" si="2"/>
        <v>48.372466832504145</v>
      </c>
      <c r="Q54" s="50">
        <f t="shared" si="3"/>
        <v>46.983674876378856</v>
      </c>
    </row>
    <row r="55" spans="1:24" ht="15" customHeight="1">
      <c r="B55" s="79"/>
      <c r="C55" s="79"/>
      <c r="D55" s="22">
        <f>I55/$H$55</f>
        <v>3.591407208128089E-2</v>
      </c>
      <c r="E55" s="18">
        <f>H55/$H$55</f>
        <v>1</v>
      </c>
      <c r="F55" s="23">
        <f>G55/$H$55</f>
        <v>-8.7343361288530749E-2</v>
      </c>
      <c r="G55" s="46">
        <f t="array" ref="G55:I55">LINEST(E$31:E$39,$G$31:$I$39,FALSE)</f>
        <v>-1.3696853629424945</v>
      </c>
      <c r="H55" s="46">
        <v>15.681619561421103</v>
      </c>
      <c r="I55" s="46">
        <v>0.56319081528010195</v>
      </c>
      <c r="J55" s="98"/>
      <c r="M55" s="46">
        <f t="shared" si="0"/>
        <v>31.455572615119735</v>
      </c>
      <c r="N55" s="46">
        <f t="shared" si="5"/>
        <v>52</v>
      </c>
      <c r="O55" s="50">
        <f t="shared" si="1"/>
        <v>16.821359391513766</v>
      </c>
      <c r="P55" s="50">
        <f t="shared" si="2"/>
        <v>48.276932006633501</v>
      </c>
      <c r="Q55" s="50">
        <f t="shared" si="3"/>
        <v>46.636729745150248</v>
      </c>
    </row>
    <row r="56" spans="1:24" ht="15" customHeight="1" thickBot="1">
      <c r="B56" s="79"/>
      <c r="C56" s="79"/>
      <c r="D56" s="24">
        <f>I56/$H$55</f>
        <v>-0.43361262939489958</v>
      </c>
      <c r="E56" s="25">
        <f>H56/$H$55</f>
        <v>0.42906255398013571</v>
      </c>
      <c r="F56" s="26">
        <f>G56/$H$55</f>
        <v>0.89367358191266166</v>
      </c>
      <c r="G56" s="46">
        <f t="array" ref="G56:I56">LINEST(F$31:F$39,$G$31:$I$39,FALSE)</f>
        <v>14.014249123646859</v>
      </c>
      <c r="H56" s="46">
        <v>6.7283957395681941</v>
      </c>
      <c r="I56" s="46">
        <v>-6.7997482911982967</v>
      </c>
      <c r="J56" s="98"/>
      <c r="M56" s="46">
        <f t="shared" si="0"/>
        <v>33.649020238094316</v>
      </c>
      <c r="N56" s="46">
        <f t="shared" si="5"/>
        <v>53</v>
      </c>
      <c r="O56" s="50">
        <f t="shared" si="1"/>
        <v>14.532376942668535</v>
      </c>
      <c r="P56" s="50">
        <f t="shared" si="2"/>
        <v>48.18139718076285</v>
      </c>
      <c r="Q56" s="50">
        <f t="shared" si="3"/>
        <v>46.28978461392164</v>
      </c>
    </row>
    <row r="57" spans="1:24">
      <c r="M57" s="46">
        <f t="shared" si="0"/>
        <v>35.84246786106889</v>
      </c>
      <c r="N57" s="46">
        <f t="shared" si="5"/>
        <v>54</v>
      </c>
      <c r="O57" s="50">
        <f t="shared" si="1"/>
        <v>12.243394493823317</v>
      </c>
      <c r="P57" s="50">
        <f t="shared" si="2"/>
        <v>48.085862354892207</v>
      </c>
      <c r="Q57" s="50">
        <f t="shared" si="3"/>
        <v>45.942839482693046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38.035915484043471</v>
      </c>
      <c r="N58" s="46">
        <f t="shared" si="5"/>
        <v>55</v>
      </c>
      <c r="O58" s="50">
        <f t="shared" si="1"/>
        <v>9.9544120449780849</v>
      </c>
      <c r="P58" s="50">
        <f t="shared" si="2"/>
        <v>47.990327529021556</v>
      </c>
      <c r="Q58" s="50">
        <f t="shared" si="3"/>
        <v>45.595894351464437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40.229363107018045</v>
      </c>
      <c r="N59" s="46">
        <f t="shared" si="5"/>
        <v>56</v>
      </c>
      <c r="O59" s="50">
        <f t="shared" si="1"/>
        <v>7.6654295961328671</v>
      </c>
      <c r="P59" s="50">
        <f t="shared" si="2"/>
        <v>47.894792703150912</v>
      </c>
      <c r="Q59" s="50">
        <f t="shared" si="3"/>
        <v>45.248949220235829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512.40000000000009</v>
      </c>
      <c r="E60" s="32">
        <f t="shared" ref="E60:E68" si="37">getCCTfromXY(D22/SUM(D22:F22),E22/SUM(D22:F22))</f>
        <v>2863</v>
      </c>
      <c r="F60" s="31">
        <f t="shared" ref="F60:F68" si="38">V60</f>
        <v>518.5509625207593</v>
      </c>
      <c r="G60" s="32">
        <f t="shared" ref="G60:G68" si="39">getCCTfromXY(U60/X60,V60/X60)</f>
        <v>3145</v>
      </c>
      <c r="H60" s="33">
        <f>F60/D60-1</f>
        <v>1.2004220376188979E-2</v>
      </c>
      <c r="I60" s="34">
        <f t="shared" ref="I60:I68" si="40">G60/E60-1</f>
        <v>9.8498078938176636E-2</v>
      </c>
      <c r="M60" s="46">
        <f t="shared" si="0"/>
        <v>42.422810729992641</v>
      </c>
      <c r="N60" s="46">
        <f t="shared" si="5"/>
        <v>57</v>
      </c>
      <c r="O60" s="50">
        <f t="shared" si="1"/>
        <v>5.376447147287621</v>
      </c>
      <c r="P60" s="50">
        <f t="shared" si="2"/>
        <v>47.799257877280262</v>
      </c>
      <c r="Q60" s="50">
        <f t="shared" si="3"/>
        <v>44.902004089007228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546.66353143312062</v>
      </c>
      <c r="V60" s="50">
        <f>$J$54*$J$31*($D$55*G22+$E$55*H22+$F$55*I22)</f>
        <v>518.5509625207593</v>
      </c>
      <c r="W60" s="50">
        <f>$J$54*$J$31*($D$56*G22+$E$56*H22+$F$56*I22)</f>
        <v>201.34239943173606</v>
      </c>
      <c r="X60" s="29">
        <f>SUM(U60:W60)</f>
        <v>1266.5568933856159</v>
      </c>
    </row>
    <row r="61" spans="1:24">
      <c r="A61" s="87"/>
      <c r="B61" s="48" t="str">
        <f t="shared" si="35"/>
        <v>CWF</v>
      </c>
      <c r="C61" s="93"/>
      <c r="D61" s="31">
        <f t="shared" si="36"/>
        <v>1206.5</v>
      </c>
      <c r="E61" s="32">
        <f t="shared" si="37"/>
        <v>3852</v>
      </c>
      <c r="F61" s="31">
        <f t="shared" si="38"/>
        <v>1202.0369838844588</v>
      </c>
      <c r="G61" s="32">
        <f t="shared" si="39"/>
        <v>3966</v>
      </c>
      <c r="H61" s="33">
        <f t="shared" ref="H61:H68" si="41">F61/D61-1</f>
        <v>-3.6991430713146922E-3</v>
      </c>
      <c r="I61" s="34">
        <f t="shared" si="40"/>
        <v>2.9595015576324046E-2</v>
      </c>
      <c r="M61" s="46">
        <f t="shared" si="0"/>
        <v>44.616258352967215</v>
      </c>
      <c r="N61" s="46">
        <f t="shared" si="5"/>
        <v>58</v>
      </c>
      <c r="O61" s="50">
        <f t="shared" si="1"/>
        <v>3.0874646984424032</v>
      </c>
      <c r="P61" s="50">
        <f t="shared" si="2"/>
        <v>47.703723051409618</v>
      </c>
      <c r="Q61" s="50">
        <f t="shared" si="3"/>
        <v>44.555058957778627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1184.7672335216482</v>
      </c>
      <c r="V61" s="50">
        <f>$J$54*$J$31*($D$55*G23+$E$55*H23+$F$55*I23)</f>
        <v>1202.0369838844588</v>
      </c>
      <c r="W61" s="50">
        <f>$J$54*$J$31*($D$56*G23+$E$56*H23+$F$56*I23)</f>
        <v>672.95554262633777</v>
      </c>
      <c r="X61" s="29">
        <f t="shared" ref="X61:X68" si="43">SUM(U61:W61)</f>
        <v>3059.7597600324448</v>
      </c>
    </row>
    <row r="62" spans="1:24">
      <c r="A62" s="87"/>
      <c r="B62" s="48" t="str">
        <f t="shared" si="35"/>
        <v>D65</v>
      </c>
      <c r="C62" s="93"/>
      <c r="D62" s="31">
        <f t="shared" si="36"/>
        <v>575.15000000000009</v>
      </c>
      <c r="E62" s="32">
        <f t="shared" si="37"/>
        <v>6292</v>
      </c>
      <c r="F62" s="31">
        <f t="shared" si="38"/>
        <v>579.79218466484258</v>
      </c>
      <c r="G62" s="32">
        <f t="shared" si="39"/>
        <v>5953</v>
      </c>
      <c r="H62" s="33">
        <f t="shared" si="41"/>
        <v>8.0712590886593549E-3</v>
      </c>
      <c r="I62" s="34">
        <f t="shared" si="40"/>
        <v>-5.3877940241576661E-2</v>
      </c>
      <c r="M62" s="46">
        <f t="shared" si="0"/>
        <v>46.809705975941782</v>
      </c>
      <c r="N62" s="46">
        <f t="shared" si="5"/>
        <v>59</v>
      </c>
      <c r="O62" s="50">
        <f t="shared" si="1"/>
        <v>0.7984822495971855</v>
      </c>
      <c r="P62" s="50">
        <f t="shared" si="2"/>
        <v>47.608188225538967</v>
      </c>
      <c r="Q62" s="50">
        <f t="shared" si="3"/>
        <v>44.208113826550019</v>
      </c>
      <c r="R62" s="78"/>
      <c r="S62" s="46" t="str">
        <f t="shared" si="42"/>
        <v>D65</v>
      </c>
      <c r="T62" s="79"/>
      <c r="U62" s="50">
        <f>$J$54*$J$31*($D$54*G24+$E$54*H24+$F$54*I24)</f>
        <v>519.88297550053142</v>
      </c>
      <c r="V62" s="50">
        <f>$J$54*$J$31*($D$55*G24+$E$55*H24+$F$55*I24)</f>
        <v>579.79218466484258</v>
      </c>
      <c r="W62" s="50">
        <f>$J$54*$J$31*($D$56*G24+$E$56*H24+$F$56*I24)</f>
        <v>507.44791189614398</v>
      </c>
      <c r="X62" s="29">
        <f t="shared" si="43"/>
        <v>1607.1230720615181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512.40000000000009</v>
      </c>
      <c r="E63" s="32">
        <f t="shared" si="37"/>
        <v>2863</v>
      </c>
      <c r="F63" s="31">
        <f t="shared" si="38"/>
        <v>525.25309303496522</v>
      </c>
      <c r="G63" s="32">
        <f t="shared" si="39"/>
        <v>3253</v>
      </c>
      <c r="H63" s="33">
        <f t="shared" si="41"/>
        <v>2.5084100380494023E-2</v>
      </c>
      <c r="I63" s="34">
        <f t="shared" si="40"/>
        <v>0.13622074746769131</v>
      </c>
      <c r="M63" s="46">
        <f t="shared" si="0"/>
        <v>49.003153598916384</v>
      </c>
      <c r="N63" s="46">
        <f t="shared" si="5"/>
        <v>60</v>
      </c>
      <c r="O63" s="50">
        <f t="shared" si="1"/>
        <v>-1.4905001992480607</v>
      </c>
      <c r="P63" s="50">
        <f t="shared" si="2"/>
        <v>47.512653399668324</v>
      </c>
      <c r="Q63" s="50">
        <f t="shared" si="3"/>
        <v>43.861168695321417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548.86470367418781</v>
      </c>
      <c r="V63" s="50">
        <f>$J$54*$J$34*($D$55*G25+$E$55*H25+$F$55*I25)</f>
        <v>525.25309303496522</v>
      </c>
      <c r="W63" s="50">
        <f>$J$54*$J$34*($D$56*G25+$E$56*H25+$F$56*I25)</f>
        <v>219.72599214951785</v>
      </c>
      <c r="X63" s="29">
        <f t="shared" si="43"/>
        <v>1293.8437888586709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1206.5</v>
      </c>
      <c r="E64" s="32">
        <f t="shared" si="37"/>
        <v>3852</v>
      </c>
      <c r="F64" s="31">
        <f t="shared" si="38"/>
        <v>1187.0337635031133</v>
      </c>
      <c r="G64" s="32">
        <f t="shared" si="39"/>
        <v>3997</v>
      </c>
      <c r="H64" s="33">
        <f t="shared" si="41"/>
        <v>-1.6134468708567495E-2</v>
      </c>
      <c r="I64" s="34">
        <f t="shared" si="40"/>
        <v>3.7642782969885769E-2</v>
      </c>
      <c r="M64" s="46">
        <f t="shared" si="0"/>
        <v>51.196601221890958</v>
      </c>
      <c r="N64" s="46">
        <f t="shared" si="5"/>
        <v>61</v>
      </c>
      <c r="O64" s="50">
        <f t="shared" si="1"/>
        <v>-3.7794826480932784</v>
      </c>
      <c r="P64" s="50">
        <f t="shared" si="2"/>
        <v>47.41711857379768</v>
      </c>
      <c r="Q64" s="50">
        <f t="shared" si="3"/>
        <v>43.514223564092816</v>
      </c>
      <c r="R64" s="78"/>
      <c r="S64" s="46" t="str">
        <f t="shared" si="42"/>
        <v>CWF</v>
      </c>
      <c r="T64" s="79"/>
      <c r="U64" s="50">
        <f>$J$54*$J$34*($D$54*G26+$E$54*H26+$F$54*I26)</f>
        <v>1167.8806236242885</v>
      </c>
      <c r="V64" s="50">
        <f>$J$54*$J$34*($D$55*G26+$E$55*H26+$F$55*I26)</f>
        <v>1187.0337635031133</v>
      </c>
      <c r="W64" s="50">
        <f>$J$54*$J$34*($D$56*G26+$E$56*H26+$F$56*I26)</f>
        <v>672.51233049901089</v>
      </c>
      <c r="X64" s="29">
        <f t="shared" si="43"/>
        <v>3027.4267176264129</v>
      </c>
    </row>
    <row r="65" spans="1:24">
      <c r="A65" s="87"/>
      <c r="B65" s="48" t="str">
        <f t="shared" si="35"/>
        <v>D65</v>
      </c>
      <c r="C65" s="93"/>
      <c r="D65" s="31">
        <f t="shared" si="36"/>
        <v>575.15000000000009</v>
      </c>
      <c r="E65" s="32">
        <f t="shared" si="37"/>
        <v>6292</v>
      </c>
      <c r="F65" s="31">
        <f t="shared" si="38"/>
        <v>586.40787942901613</v>
      </c>
      <c r="G65" s="32">
        <f t="shared" si="39"/>
        <v>5955</v>
      </c>
      <c r="H65" s="33">
        <f t="shared" si="41"/>
        <v>1.957381453362772E-2</v>
      </c>
      <c r="I65" s="34">
        <f t="shared" si="40"/>
        <v>-5.3560076287349045E-2</v>
      </c>
      <c r="M65" s="46">
        <f t="shared" si="0"/>
        <v>53.390048844865525</v>
      </c>
      <c r="N65" s="46">
        <f t="shared" si="5"/>
        <v>62</v>
      </c>
      <c r="O65" s="50">
        <f t="shared" si="1"/>
        <v>-6.0684650969384961</v>
      </c>
      <c r="P65" s="50">
        <f t="shared" si="2"/>
        <v>47.321583747927029</v>
      </c>
      <c r="Q65" s="50">
        <f t="shared" si="3"/>
        <v>43.167278432864208</v>
      </c>
      <c r="R65" s="78"/>
      <c r="S65" s="46" t="str">
        <f t="shared" si="42"/>
        <v>D65</v>
      </c>
      <c r="T65" s="79"/>
      <c r="U65" s="50">
        <f>$J$54*$J$34*($D$54*G27+$E$54*H27+$F$54*I27)</f>
        <v>525.77200910013971</v>
      </c>
      <c r="V65" s="50">
        <f>$J$54*$J$34*($D$55*G27+$E$55*H27+$F$55*I27)</f>
        <v>586.40787942901613</v>
      </c>
      <c r="W65" s="50">
        <f>$J$54*$J$34*($D$56*G27+$E$56*H27+$F$56*I27)</f>
        <v>513.42404626496398</v>
      </c>
      <c r="X65" s="29">
        <f t="shared" si="43"/>
        <v>1625.6039347941201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512.40000000000009</v>
      </c>
      <c r="E66" s="32">
        <f t="shared" si="37"/>
        <v>2863</v>
      </c>
      <c r="F66" s="31">
        <f t="shared" si="38"/>
        <v>496.14832118826109</v>
      </c>
      <c r="G66" s="32">
        <f t="shared" si="39"/>
        <v>2404</v>
      </c>
      <c r="H66" s="33">
        <f t="shared" si="41"/>
        <v>-3.1716781443674846E-2</v>
      </c>
      <c r="I66" s="34">
        <f t="shared" si="40"/>
        <v>-0.16032134125043662</v>
      </c>
      <c r="M66" s="46">
        <f t="shared" si="0"/>
        <v>55.583496467840128</v>
      </c>
      <c r="N66" s="46">
        <f t="shared" si="5"/>
        <v>63</v>
      </c>
      <c r="O66" s="50">
        <f t="shared" si="1"/>
        <v>-8.3574475457837423</v>
      </c>
      <c r="P66" s="50">
        <f t="shared" si="2"/>
        <v>47.226048922056385</v>
      </c>
      <c r="Q66" s="50">
        <f t="shared" si="3"/>
        <v>42.820333301635607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563.6891198775827</v>
      </c>
      <c r="V66" s="50">
        <f>$J$54*$J$37*($D$55*G28+$E$55*H28+$F$55*I28)</f>
        <v>496.14832118826109</v>
      </c>
      <c r="W66" s="50">
        <f>$J$54*$J$37*($D$56*G28+$E$56*H28+$F$56*I28)</f>
        <v>56.779347383586192</v>
      </c>
      <c r="X66" s="29">
        <f t="shared" si="43"/>
        <v>1116.61678844943</v>
      </c>
    </row>
    <row r="67" spans="1:24">
      <c r="A67" s="87"/>
      <c r="B67" s="48" t="str">
        <f t="shared" si="35"/>
        <v>CWF</v>
      </c>
      <c r="C67" s="93"/>
      <c r="D67" s="31">
        <f t="shared" si="36"/>
        <v>1206.5</v>
      </c>
      <c r="E67" s="32">
        <f t="shared" si="37"/>
        <v>3852</v>
      </c>
      <c r="F67" s="31">
        <f t="shared" si="38"/>
        <v>1229.6370832563925</v>
      </c>
      <c r="G67" s="32">
        <f t="shared" si="39"/>
        <v>3722</v>
      </c>
      <c r="H67" s="33">
        <f t="shared" si="41"/>
        <v>1.9177027149931636E-2</v>
      </c>
      <c r="I67" s="34">
        <f t="shared" si="40"/>
        <v>-3.3748701973001061E-2</v>
      </c>
      <c r="R67" s="78"/>
      <c r="S67" s="46" t="str">
        <f t="shared" si="42"/>
        <v>CWF</v>
      </c>
      <c r="T67" s="79"/>
      <c r="U67" s="50">
        <f>$J$54*$J$37*($D$54*G29+$E$54*H29+$F$54*I29)</f>
        <v>1230.5227276053768</v>
      </c>
      <c r="V67" s="50">
        <f>$J$54*$J$37*($D$55*G29+$E$55*H29+$F$55*I29)</f>
        <v>1229.6370832563925</v>
      </c>
      <c r="W67" s="50">
        <f>$J$54*$J$37*($D$56*G29+$E$56*H29+$F$56*I29)</f>
        <v>622.94785816255796</v>
      </c>
      <c r="X67" s="29">
        <f t="shared" si="43"/>
        <v>3083.1076690243272</v>
      </c>
    </row>
    <row r="68" spans="1:24">
      <c r="A68" s="87"/>
      <c r="B68" s="48" t="str">
        <f t="shared" si="35"/>
        <v>D65</v>
      </c>
      <c r="C68" s="93"/>
      <c r="D68" s="31">
        <f t="shared" si="36"/>
        <v>575.15000000000009</v>
      </c>
      <c r="E68" s="32">
        <f t="shared" si="37"/>
        <v>6292</v>
      </c>
      <c r="F68" s="31">
        <f t="shared" si="38"/>
        <v>555.06382708562694</v>
      </c>
      <c r="G68" s="32">
        <f t="shared" si="39"/>
        <v>5840</v>
      </c>
      <c r="H68" s="33">
        <f t="shared" si="41"/>
        <v>-3.4923364190860062E-2</v>
      </c>
      <c r="I68" s="34">
        <f t="shared" si="40"/>
        <v>-7.1837253655435473E-2</v>
      </c>
      <c r="R68" s="78"/>
      <c r="S68" s="46" t="str">
        <f t="shared" si="42"/>
        <v>D65</v>
      </c>
      <c r="T68" s="79"/>
      <c r="U68" s="50">
        <f>$J$54*$J$37*($D$54*G30+$E$54*H30+$F$54*I30)</f>
        <v>499.72303303411945</v>
      </c>
      <c r="V68" s="50">
        <f>$J$54*$J$37*($D$55*G30+$E$55*H30+$F$55*I30)</f>
        <v>555.06382708562694</v>
      </c>
      <c r="W68" s="50">
        <f>$J$54*$J$37*($D$56*G30+$E$56*H30+$F$56*I30)</f>
        <v>477.64610879785869</v>
      </c>
      <c r="X68" s="29">
        <f t="shared" si="43"/>
        <v>1532.4329689176052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3.4923364190860062E-2</v>
      </c>
      <c r="G69" s="47"/>
      <c r="H69" s="36" t="str">
        <f>I59</f>
        <v>CCT</v>
      </c>
      <c r="I69" s="38">
        <f>MAX(MAX(I60:I68,-MIN(I60:I68)))</f>
        <v>0.16032134125043662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512.40000000000009</v>
      </c>
      <c r="E72" s="31">
        <f t="shared" ref="E72:E80" si="47">E60</f>
        <v>2863</v>
      </c>
      <c r="F72" s="31">
        <f t="shared" ref="F72:F80" si="48">V72</f>
        <v>524.98704772745668</v>
      </c>
      <c r="G72" s="32">
        <f t="shared" ref="G72:G80" si="49">getCCTfromXY(U72/X72,V72/X72)</f>
        <v>3138</v>
      </c>
      <c r="H72" s="33">
        <f>F72/D72-1</f>
        <v>2.456488627528608E-2</v>
      </c>
      <c r="I72" s="34">
        <f t="shared" ref="I72:I80" si="50">G72/E72-1</f>
        <v>9.6053091163115667E-2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553.73169909601916</v>
      </c>
      <c r="V72" s="50">
        <f>$J$51*$J$31*($D$52*G22+$E$52*H22+$F$52*I22)</f>
        <v>524.98704772745668</v>
      </c>
      <c r="W72" s="50">
        <f>$J$51*$J$31*($D$53*G22+$E$53*H22+$F$53*I22)</f>
        <v>202.7991035215546</v>
      </c>
      <c r="X72" s="29">
        <f>SUM(U72:W72)</f>
        <v>1281.5178503450304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1206.5</v>
      </c>
      <c r="E73" s="31">
        <f t="shared" si="47"/>
        <v>3852</v>
      </c>
      <c r="F73" s="31">
        <f t="shared" si="48"/>
        <v>1209.7828888202075</v>
      </c>
      <c r="G73" s="32">
        <f t="shared" si="49"/>
        <v>3941</v>
      </c>
      <c r="H73" s="33">
        <f t="shared" ref="H73:H80" si="52">F73/D73-1</f>
        <v>2.7210019230894389E-3</v>
      </c>
      <c r="I73" s="34">
        <f t="shared" si="50"/>
        <v>2.3104880581516163E-2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1194.2257044632966</v>
      </c>
      <c r="V73" s="50">
        <f t="shared" ref="V73:V74" si="55">$J$51*$J$31*($D$52*G23+$E$52*H23+$F$52*I23)</f>
        <v>1209.7828888202075</v>
      </c>
      <c r="W73" s="50">
        <f t="shared" ref="W73:W74" si="56">$J$51*$J$31*($D$53*G23+$E$53*H23+$F$53*I23)</f>
        <v>671.09787077335284</v>
      </c>
      <c r="X73" s="29">
        <f t="shared" ref="X73:X80" si="57">SUM(U73:W73)</f>
        <v>3075.106464056857</v>
      </c>
    </row>
    <row r="74" spans="1:24">
      <c r="A74" s="87"/>
      <c r="B74" s="48" t="str">
        <f t="shared" si="46"/>
        <v>X</v>
      </c>
      <c r="C74" s="93"/>
      <c r="D74" s="31">
        <f t="shared" si="51"/>
        <v>575.15000000000009</v>
      </c>
      <c r="E74" s="31">
        <f t="shared" si="47"/>
        <v>6292</v>
      </c>
      <c r="F74" s="31">
        <f t="shared" si="48"/>
        <v>585.41854239304121</v>
      </c>
      <c r="G74" s="32">
        <f t="shared" si="49"/>
        <v>6348</v>
      </c>
      <c r="H74" s="33">
        <f t="shared" si="52"/>
        <v>1.7853677115606592E-2</v>
      </c>
      <c r="I74" s="34">
        <f t="shared" si="50"/>
        <v>8.9001907183725582E-3</v>
      </c>
      <c r="R74" s="78"/>
      <c r="S74" s="46" t="str">
        <f t="shared" si="53"/>
        <v>D65</v>
      </c>
      <c r="T74" s="79"/>
      <c r="U74" s="50">
        <f t="shared" si="54"/>
        <v>516.98397140432007</v>
      </c>
      <c r="V74" s="50">
        <f t="shared" si="55"/>
        <v>585.41854239304121</v>
      </c>
      <c r="W74" s="50">
        <f t="shared" si="56"/>
        <v>539.52067216543662</v>
      </c>
      <c r="X74" s="29">
        <f t="shared" si="57"/>
        <v>1641.923185962798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512.40000000000009</v>
      </c>
      <c r="E75" s="31">
        <f t="shared" si="47"/>
        <v>2863</v>
      </c>
      <c r="F75" s="31">
        <f t="shared" si="48"/>
        <v>531.7772140894067</v>
      </c>
      <c r="G75" s="32">
        <f t="shared" si="49"/>
        <v>3259</v>
      </c>
      <c r="H75" s="33">
        <f t="shared" si="52"/>
        <v>3.7816577067538271E-2</v>
      </c>
      <c r="I75" s="34">
        <f t="shared" si="50"/>
        <v>0.13831645127488645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555.40560920174937</v>
      </c>
      <c r="V75" s="50">
        <f>$J$51*$J$34*($D$52*G25+$E$52*H25+$F$52*I25)</f>
        <v>531.7772140894067</v>
      </c>
      <c r="W75" s="50">
        <f>$J$51*$J$34*($D$53*G25+$E$53*H25+$F$53*I25)</f>
        <v>223.3253823432652</v>
      </c>
      <c r="X75" s="29">
        <f t="shared" si="57"/>
        <v>1310.5082056344213</v>
      </c>
    </row>
    <row r="76" spans="1:24">
      <c r="A76" s="87"/>
      <c r="B76" s="48" t="str">
        <f t="shared" si="46"/>
        <v>Z</v>
      </c>
      <c r="C76" s="93"/>
      <c r="D76" s="31">
        <f t="shared" si="51"/>
        <v>1206.5</v>
      </c>
      <c r="E76" s="31">
        <f t="shared" si="47"/>
        <v>3852</v>
      </c>
      <c r="F76" s="31">
        <f t="shared" si="48"/>
        <v>1194.8209815390373</v>
      </c>
      <c r="G76" s="32">
        <f t="shared" si="49"/>
        <v>3978</v>
      </c>
      <c r="H76" s="33">
        <f t="shared" si="52"/>
        <v>-9.6800816087547759E-3</v>
      </c>
      <c r="I76" s="34">
        <f t="shared" si="50"/>
        <v>3.2710280373831724E-2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1176.8874671782423</v>
      </c>
      <c r="V76" s="50">
        <f t="shared" ref="V76:V77" si="59">$J$51*$J$34*($D$52*G26+$E$52*H26+$F$52*I26)</f>
        <v>1194.8209815390373</v>
      </c>
      <c r="W76" s="50">
        <f t="shared" ref="W76:W77" si="60">$J$51*$J$34*($D$53*G26+$E$53*H26+$F$53*I26)</f>
        <v>672.3665042751901</v>
      </c>
      <c r="X76" s="29">
        <f t="shared" si="57"/>
        <v>3044.0749529924697</v>
      </c>
    </row>
    <row r="77" spans="1:24">
      <c r="A77" s="87"/>
      <c r="B77" s="48" t="str">
        <f t="shared" si="46"/>
        <v>X</v>
      </c>
      <c r="C77" s="93"/>
      <c r="D77" s="31">
        <f t="shared" si="51"/>
        <v>575.15000000000009</v>
      </c>
      <c r="E77" s="31">
        <f t="shared" si="47"/>
        <v>6292</v>
      </c>
      <c r="F77" s="31">
        <f t="shared" si="48"/>
        <v>592.10395374251834</v>
      </c>
      <c r="G77" s="32">
        <f t="shared" si="49"/>
        <v>6351</v>
      </c>
      <c r="H77" s="33">
        <f t="shared" si="52"/>
        <v>2.9477447174681926E-2</v>
      </c>
      <c r="I77" s="34">
        <f t="shared" si="50"/>
        <v>9.3769866497139809E-3</v>
      </c>
      <c r="R77" s="78"/>
      <c r="S77" s="46" t="str">
        <f t="shared" si="53"/>
        <v>D65</v>
      </c>
      <c r="T77" s="79"/>
      <c r="U77" s="50">
        <f t="shared" si="58"/>
        <v>522.83176432222251</v>
      </c>
      <c r="V77" s="50">
        <f t="shared" si="59"/>
        <v>592.10395374251834</v>
      </c>
      <c r="W77" s="50">
        <f t="shared" si="60"/>
        <v>545.91268282564727</v>
      </c>
      <c r="X77" s="29">
        <f t="shared" si="57"/>
        <v>1660.8484008903879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512.40000000000009</v>
      </c>
      <c r="E78" s="31">
        <f t="shared" si="47"/>
        <v>2863</v>
      </c>
      <c r="F78" s="31">
        <f t="shared" si="48"/>
        <v>501.79091742967142</v>
      </c>
      <c r="G78" s="32">
        <f t="shared" si="49"/>
        <v>2325</v>
      </c>
      <c r="H78" s="33">
        <f t="shared" si="52"/>
        <v>-2.0704688857003606E-2</v>
      </c>
      <c r="I78" s="34">
        <f t="shared" si="50"/>
        <v>-0.1879147747118407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575.85352412102725</v>
      </c>
      <c r="V78" s="50">
        <f>$J$51*$J$37*($D$52*G28+$E$52*H28+$F$52*I28)</f>
        <v>501.79091742967142</v>
      </c>
      <c r="W78" s="50">
        <f>$J$51*$J$37*($D$53*G28+$E$53*H28+$F$53*I28)</f>
        <v>37.729131190992476</v>
      </c>
      <c r="X78" s="29">
        <f t="shared" si="57"/>
        <v>1115.3735727416913</v>
      </c>
    </row>
    <row r="79" spans="1:24">
      <c r="A79" s="87"/>
      <c r="B79" s="48" t="str">
        <f t="shared" si="46"/>
        <v>Z</v>
      </c>
      <c r="C79" s="93"/>
      <c r="D79" s="31">
        <f t="shared" si="51"/>
        <v>1206.5</v>
      </c>
      <c r="E79" s="31">
        <f t="shared" si="47"/>
        <v>3852</v>
      </c>
      <c r="F79" s="31">
        <f t="shared" si="48"/>
        <v>1236.9175937011319</v>
      </c>
      <c r="G79" s="32">
        <f t="shared" si="49"/>
        <v>3661</v>
      </c>
      <c r="H79" s="33">
        <f t="shared" si="52"/>
        <v>2.5211432823151192E-2</v>
      </c>
      <c r="I79" s="34">
        <f t="shared" si="50"/>
        <v>-4.958463136033231E-2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1242.8640577758745</v>
      </c>
      <c r="V79" s="50">
        <f t="shared" ref="V79:V80" si="62">$J$51*$J$37*($D$52*G29+$E$52*H29+$F$52*I29)</f>
        <v>1236.9175937011319</v>
      </c>
      <c r="W79" s="50">
        <f t="shared" ref="W79:W80" si="63">$J$51*$J$37*($D$53*G29+$E$53*H29+$F$53*I29)</f>
        <v>609.39741193630744</v>
      </c>
      <c r="X79" s="29">
        <f t="shared" si="57"/>
        <v>3089.179063413314</v>
      </c>
    </row>
    <row r="80" spans="1:24">
      <c r="A80" s="87"/>
      <c r="B80" s="48" t="str">
        <f t="shared" si="46"/>
        <v>X</v>
      </c>
      <c r="C80" s="93"/>
      <c r="D80" s="31">
        <f t="shared" si="51"/>
        <v>575.15000000000009</v>
      </c>
      <c r="E80" s="31">
        <f t="shared" si="47"/>
        <v>6292</v>
      </c>
      <c r="F80" s="31">
        <f t="shared" si="48"/>
        <v>560.2553462292567</v>
      </c>
      <c r="G80" s="32">
        <f t="shared" si="49"/>
        <v>6200</v>
      </c>
      <c r="H80" s="33">
        <f t="shared" si="52"/>
        <v>-2.5896989951740168E-2</v>
      </c>
      <c r="I80" s="34">
        <f t="shared" si="50"/>
        <v>-1.4621741894469187E-2</v>
      </c>
      <c r="R80" s="78"/>
      <c r="S80" s="46" t="str">
        <f t="shared" si="53"/>
        <v>D65</v>
      </c>
      <c r="T80" s="79"/>
      <c r="U80" s="50">
        <f t="shared" si="61"/>
        <v>497.29828073769039</v>
      </c>
      <c r="V80" s="50">
        <f t="shared" si="62"/>
        <v>560.2553462292567</v>
      </c>
      <c r="W80" s="50">
        <f t="shared" si="63"/>
        <v>506.37601968631458</v>
      </c>
      <c r="X80" s="29">
        <f t="shared" si="57"/>
        <v>1563.9296466532617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3.7816577067538271E-2</v>
      </c>
      <c r="G81" s="47"/>
      <c r="H81" s="36" t="str">
        <f>I71</f>
        <v>CCT</v>
      </c>
      <c r="I81" s="38">
        <f>MAX(MAX(I72:I80,-MIN(I72:I80)))</f>
        <v>0.1879147747118407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512.40000000000009</v>
      </c>
      <c r="E84" s="31">
        <f t="shared" ref="E84:E92" si="67">E72</f>
        <v>2863</v>
      </c>
      <c r="F84" s="31">
        <f t="shared" ref="F84:F92" si="68">V84</f>
        <v>512.39999999999952</v>
      </c>
      <c r="G84" s="32">
        <f t="shared" ref="G84:G92" si="69">getCCTfromXY(U84/X84,V84/X84)</f>
        <v>2863</v>
      </c>
      <c r="H84" s="33">
        <f>F84/D84-1</f>
        <v>-1.1102230246251565E-15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553.74999999999966</v>
      </c>
      <c r="V84" s="50">
        <f>$J$42*$J$31*($D$43*G22+$E$43*H22+$F$43*I22)</f>
        <v>512.39999999999952</v>
      </c>
      <c r="W84" s="50">
        <f>$J$42*$J$31*($D$44*G22+$E$44*H22+$F$44*I22)</f>
        <v>153.45000000000039</v>
      </c>
      <c r="X84" s="29">
        <f>SUM(U84:W84)</f>
        <v>1219.5999999999995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1206.5</v>
      </c>
      <c r="E85" s="31">
        <f t="shared" si="67"/>
        <v>3852</v>
      </c>
      <c r="F85" s="31">
        <f t="shared" si="68"/>
        <v>1206.5</v>
      </c>
      <c r="G85" s="32">
        <f t="shared" si="69"/>
        <v>3852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1197.5</v>
      </c>
      <c r="V85" s="50">
        <f t="shared" ref="V85:V86" si="75">$J$42*$J$31*($D$43*G23+$E$43*H23+$F$43*I23)</f>
        <v>1206.5</v>
      </c>
      <c r="W85" s="50">
        <f t="shared" ref="W85:W86" si="76">$J$42*$J$31*($D$44*G23+$E$44*H23+$F$44*I23)</f>
        <v>646.50000000000023</v>
      </c>
      <c r="X85" s="29">
        <f t="shared" ref="X85:X92" si="77">SUM(U85:W85)</f>
        <v>3050.5</v>
      </c>
    </row>
    <row r="86" spans="1:24">
      <c r="A86" s="87"/>
      <c r="B86" s="48">
        <f t="shared" si="66"/>
        <v>0</v>
      </c>
      <c r="C86" s="93"/>
      <c r="D86" s="31">
        <f t="shared" si="71"/>
        <v>575.15000000000009</v>
      </c>
      <c r="E86" s="31">
        <f t="shared" si="67"/>
        <v>6292</v>
      </c>
      <c r="F86" s="31">
        <f t="shared" si="68"/>
        <v>575.15000000000009</v>
      </c>
      <c r="G86" s="32">
        <f t="shared" si="69"/>
        <v>6292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508.89999999999986</v>
      </c>
      <c r="V86" s="50">
        <f t="shared" si="75"/>
        <v>575.15000000000009</v>
      </c>
      <c r="W86" s="50">
        <f t="shared" si="76"/>
        <v>526.25000000000011</v>
      </c>
      <c r="X86" s="29">
        <f t="shared" si="77"/>
        <v>1610.3000000000002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512.40000000000009</v>
      </c>
      <c r="E87" s="31">
        <f t="shared" si="67"/>
        <v>2863</v>
      </c>
      <c r="F87" s="31">
        <f t="shared" si="68"/>
        <v>512.40000000000009</v>
      </c>
      <c r="G87" s="32">
        <f t="shared" si="69"/>
        <v>2863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553.75000000000023</v>
      </c>
      <c r="V87" s="50">
        <f>$J$45*$J$34*($D$46*G25+$E$46*H25+$F$46*I25)</f>
        <v>512.40000000000009</v>
      </c>
      <c r="W87" s="50">
        <f>$J$45*$J$34*($D$47*G25+$E$47*H25+$F$47*I25)</f>
        <v>153.44999999999951</v>
      </c>
      <c r="X87" s="29">
        <f t="shared" si="77"/>
        <v>1219.5999999999999</v>
      </c>
    </row>
    <row r="88" spans="1:24">
      <c r="A88" s="87"/>
      <c r="B88" s="48">
        <f t="shared" si="66"/>
        <v>0</v>
      </c>
      <c r="C88" s="93"/>
      <c r="D88" s="31">
        <f t="shared" si="71"/>
        <v>1206.5</v>
      </c>
      <c r="E88" s="31">
        <f t="shared" si="67"/>
        <v>3852</v>
      </c>
      <c r="F88" s="31">
        <f t="shared" si="68"/>
        <v>1206.4999999999998</v>
      </c>
      <c r="G88" s="32">
        <f t="shared" si="69"/>
        <v>3852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1197.4999999999998</v>
      </c>
      <c r="V88" s="50">
        <f t="shared" ref="V88:V89" si="79">$J$45*$J$34*($D$46*G26+$E$46*H26+$F$46*I26)</f>
        <v>1206.4999999999998</v>
      </c>
      <c r="W88" s="50">
        <f t="shared" ref="W88:W89" si="80">$J$45*$J$34*($D$47*G26+$E$47*H26+$F$47*I26)</f>
        <v>646.5</v>
      </c>
      <c r="X88" s="29">
        <f t="shared" si="77"/>
        <v>3050.4999999999995</v>
      </c>
    </row>
    <row r="89" spans="1:24">
      <c r="A89" s="87"/>
      <c r="B89" s="48" t="str">
        <f t="shared" si="66"/>
        <v>A</v>
      </c>
      <c r="C89" s="93"/>
      <c r="D89" s="31">
        <f t="shared" si="71"/>
        <v>575.15000000000009</v>
      </c>
      <c r="E89" s="31">
        <f t="shared" si="67"/>
        <v>6292</v>
      </c>
      <c r="F89" s="31">
        <f t="shared" si="68"/>
        <v>575.15</v>
      </c>
      <c r="G89" s="32">
        <f t="shared" si="69"/>
        <v>6292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508.89999999999986</v>
      </c>
      <c r="V89" s="50">
        <f t="shared" si="79"/>
        <v>575.15</v>
      </c>
      <c r="W89" s="50">
        <f t="shared" si="80"/>
        <v>526.24999999999989</v>
      </c>
      <c r="X89" s="29">
        <f t="shared" si="77"/>
        <v>1610.2999999999997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512.40000000000009</v>
      </c>
      <c r="E90" s="31">
        <f t="shared" si="67"/>
        <v>2863</v>
      </c>
      <c r="F90" s="31">
        <f t="shared" si="68"/>
        <v>512.4</v>
      </c>
      <c r="G90" s="32">
        <f t="shared" si="69"/>
        <v>2863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553.74999999999966</v>
      </c>
      <c r="V90" s="50">
        <f>$J$48*$J$37*($D$49*G28+$E$49*H28+$F$49*I28)</f>
        <v>512.4</v>
      </c>
      <c r="W90" s="50">
        <f>$J$48*$J$37*($D$50*G28+$E$50*H28+$F$50*I28)</f>
        <v>153.4499999999997</v>
      </c>
      <c r="X90" s="29">
        <f t="shared" si="77"/>
        <v>1219.5999999999995</v>
      </c>
    </row>
    <row r="91" spans="1:24">
      <c r="A91" s="87"/>
      <c r="B91" s="48" t="str">
        <f t="shared" si="66"/>
        <v>D65</v>
      </c>
      <c r="C91" s="93"/>
      <c r="D91" s="31">
        <f t="shared" si="71"/>
        <v>1206.5</v>
      </c>
      <c r="E91" s="31">
        <f t="shared" si="67"/>
        <v>3852</v>
      </c>
      <c r="F91" s="31">
        <f t="shared" si="68"/>
        <v>1206.4999999999998</v>
      </c>
      <c r="G91" s="32">
        <f t="shared" si="69"/>
        <v>3852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1197.4999999999995</v>
      </c>
      <c r="V91" s="50">
        <f t="shared" ref="V91:V92" si="82">$J$48*$J$37*($D$49*G29+$E$49*H29+$F$49*I29)</f>
        <v>1206.4999999999998</v>
      </c>
      <c r="W91" s="50">
        <f t="shared" ref="W91:W92" si="83">$J$48*$J$37*($D$50*G29+$E$50*H29+$F$50*I29)</f>
        <v>646.49999999999989</v>
      </c>
      <c r="X91" s="29">
        <f t="shared" si="77"/>
        <v>3050.4999999999991</v>
      </c>
    </row>
    <row r="92" spans="1:24">
      <c r="A92" s="87"/>
      <c r="B92" s="48" t="str">
        <f t="shared" si="66"/>
        <v>A</v>
      </c>
      <c r="C92" s="93"/>
      <c r="D92" s="31">
        <f t="shared" si="71"/>
        <v>575.15000000000009</v>
      </c>
      <c r="E92" s="31">
        <f t="shared" si="67"/>
        <v>6292</v>
      </c>
      <c r="F92" s="31">
        <f t="shared" si="68"/>
        <v>575.15000000000009</v>
      </c>
      <c r="G92" s="32">
        <f t="shared" si="69"/>
        <v>6292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508.89999999999992</v>
      </c>
      <c r="V92" s="50">
        <f t="shared" si="82"/>
        <v>575.15000000000009</v>
      </c>
      <c r="W92" s="50">
        <f t="shared" si="83"/>
        <v>526.24999999999989</v>
      </c>
      <c r="X92" s="29">
        <f t="shared" si="77"/>
        <v>1610.2999999999997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1.1102230246251565E-15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5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1.7307264898537227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63.341876548935943</v>
      </c>
      <c r="N3" s="46">
        <v>0</v>
      </c>
      <c r="O3" s="50">
        <f>G$5-N3*G$7</f>
        <v>114.53785669781931</v>
      </c>
      <c r="P3" s="50">
        <f>H$5-N3*H$7</f>
        <v>51.195980148883365</v>
      </c>
      <c r="Q3" s="50">
        <f>I$5-N3*I$7</f>
        <v>60.155311738070345</v>
      </c>
    </row>
    <row r="4" spans="1:17">
      <c r="C4" s="46" t="s">
        <v>20</v>
      </c>
      <c r="D4" s="7">
        <v>535</v>
      </c>
      <c r="E4" s="7">
        <v>1209</v>
      </c>
      <c r="F4" s="7">
        <v>574.20000000000005</v>
      </c>
      <c r="G4" s="50">
        <f>AVERAGE(D4:F4)</f>
        <v>772.73333333333323</v>
      </c>
      <c r="H4" s="50">
        <f>G4</f>
        <v>772.73333333333323</v>
      </c>
      <c r="I4" s="50">
        <f>H4</f>
        <v>772.73333333333323</v>
      </c>
      <c r="K4" s="13" t="str">
        <f>linefmt("Compensation",B12)</f>
        <v>"Compensation",30,</v>
      </c>
      <c r="M4" s="46">
        <f t="shared" si="0"/>
        <v>61.27330392162888</v>
      </c>
      <c r="N4" s="46">
        <f>N3+1</f>
        <v>1</v>
      </c>
      <c r="O4" s="50">
        <f t="shared" ref="O4:O66" si="1">G$5-N4*G$7</f>
        <v>112.38242511382698</v>
      </c>
      <c r="P4" s="50">
        <f t="shared" ref="P4:P66" si="2">H$5-N4*H$7</f>
        <v>51.109121192198103</v>
      </c>
      <c r="Q4" s="50">
        <f t="shared" ref="Q4:Q66" si="3">I$5-N4*I$7</f>
        <v>59.827499278073979</v>
      </c>
    </row>
    <row r="5" spans="1:17">
      <c r="C5" s="46">
        <v>0</v>
      </c>
      <c r="D5" s="9">
        <v>79.3</v>
      </c>
      <c r="E5" s="9">
        <v>80.099999999999994</v>
      </c>
      <c r="F5" s="9">
        <v>44.7</v>
      </c>
      <c r="G5" s="50">
        <f>G$4/D$4*D5</f>
        <v>114.53785669781931</v>
      </c>
      <c r="H5" s="50">
        <f t="shared" ref="H5:I6" si="4">H$4/E$4*E5</f>
        <v>51.195980148883365</v>
      </c>
      <c r="I5" s="50">
        <f t="shared" si="4"/>
        <v>60.155311738070345</v>
      </c>
      <c r="K5" s="14" t="str">
        <f>linefmt("CardGain",J54)</f>
        <v>"CardGain",17.24254,</v>
      </c>
      <c r="M5" s="46">
        <f t="shared" si="0"/>
        <v>59.204731294321796</v>
      </c>
      <c r="N5" s="46">
        <f t="shared" ref="N5:N66" si="5">N4+1</f>
        <v>2</v>
      </c>
      <c r="O5" s="50">
        <f t="shared" si="1"/>
        <v>110.22699352983464</v>
      </c>
      <c r="P5" s="50">
        <f t="shared" si="2"/>
        <v>51.022262235512848</v>
      </c>
      <c r="Q5" s="50">
        <f t="shared" si="3"/>
        <v>59.499686818077606</v>
      </c>
    </row>
    <row r="6" spans="1:17">
      <c r="B6" s="50">
        <f>D5/4</f>
        <v>19.824999999999999</v>
      </c>
      <c r="C6" s="7">
        <v>39</v>
      </c>
      <c r="D6" s="9">
        <v>21.1</v>
      </c>
      <c r="E6" s="9">
        <v>74.8</v>
      </c>
      <c r="F6" s="9">
        <v>35.200000000000003</v>
      </c>
      <c r="G6" s="50">
        <f>G$4/D$4*D6</f>
        <v>30.476024922118381</v>
      </c>
      <c r="H6" s="50">
        <f t="shared" si="4"/>
        <v>47.808480838158246</v>
      </c>
      <c r="I6" s="50">
        <f t="shared" si="4"/>
        <v>47.370625798211996</v>
      </c>
      <c r="K6" s="14" t="str">
        <f>linefmt("Range",1,J34,J37)</f>
        <v>"Range",1,0.9202304,0.8872036,</v>
      </c>
      <c r="M6" s="46">
        <f t="shared" si="0"/>
        <v>57.136158667014733</v>
      </c>
      <c r="N6" s="46">
        <f t="shared" si="5"/>
        <v>3</v>
      </c>
      <c r="O6" s="50">
        <f t="shared" si="1"/>
        <v>108.07156194584232</v>
      </c>
      <c r="P6" s="50">
        <f t="shared" si="2"/>
        <v>50.935403278827586</v>
      </c>
      <c r="Q6" s="50">
        <f t="shared" si="3"/>
        <v>59.17187435808124</v>
      </c>
    </row>
    <row r="7" spans="1:17">
      <c r="C7" s="46">
        <f>C5</f>
        <v>0</v>
      </c>
      <c r="D7" s="46">
        <f t="shared" ref="D7:F8" si="6">D$4/D5</f>
        <v>6.7465321563682226</v>
      </c>
      <c r="E7" s="46">
        <f t="shared" si="6"/>
        <v>15.0936329588015</v>
      </c>
      <c r="F7" s="46">
        <f t="shared" si="6"/>
        <v>12.845637583892618</v>
      </c>
      <c r="G7" s="49">
        <f>(G5-G6)/($C6-$C5)</f>
        <v>2.1554315839923315</v>
      </c>
      <c r="H7" s="49">
        <f t="shared" ref="H7:I7" si="7">(H5-H6)/($C6-$C5)</f>
        <v>8.6858956685259447E-2</v>
      </c>
      <c r="I7" s="49">
        <f t="shared" si="7"/>
        <v>0.32781245999636793</v>
      </c>
      <c r="K7" s="14" t="str">
        <f>linefmt("CCM" )</f>
        <v>"CCM",</v>
      </c>
      <c r="M7" s="46">
        <f t="shared" si="0"/>
        <v>55.067586039707656</v>
      </c>
      <c r="N7" s="46">
        <f t="shared" si="5"/>
        <v>4</v>
      </c>
      <c r="O7" s="50">
        <f t="shared" si="1"/>
        <v>105.91613036184998</v>
      </c>
      <c r="P7" s="50">
        <f t="shared" si="2"/>
        <v>50.848544322142324</v>
      </c>
      <c r="Q7" s="50">
        <f t="shared" si="3"/>
        <v>58.844061898084874</v>
      </c>
    </row>
    <row r="8" spans="1:17">
      <c r="C8" s="46">
        <f>C6</f>
        <v>39</v>
      </c>
      <c r="D8" s="46">
        <f t="shared" si="6"/>
        <v>25.355450236966824</v>
      </c>
      <c r="E8" s="46">
        <f t="shared" si="6"/>
        <v>16.163101604278076</v>
      </c>
      <c r="F8" s="46">
        <f t="shared" si="6"/>
        <v>16.3125</v>
      </c>
      <c r="K8" s="15" t="str">
        <f>linefmt("",D54,E54,F54)</f>
        <v>-0.1300571,1.077418,-0.2262737,</v>
      </c>
      <c r="M8" s="46">
        <f t="shared" si="0"/>
        <v>52.999013412400586</v>
      </c>
      <c r="N8" s="46">
        <f t="shared" si="5"/>
        <v>5</v>
      </c>
      <c r="O8" s="50">
        <f t="shared" si="1"/>
        <v>103.76069877785766</v>
      </c>
      <c r="P8" s="50">
        <f t="shared" si="2"/>
        <v>50.761685365457069</v>
      </c>
      <c r="Q8" s="50">
        <f t="shared" si="3"/>
        <v>58.516249438088508</v>
      </c>
    </row>
    <row r="9" spans="1:17">
      <c r="C9" s="46" t="s">
        <v>23</v>
      </c>
      <c r="D9" s="46">
        <f>(D8-D7)/($C8-$C7)</f>
        <v>0.47715174565637442</v>
      </c>
      <c r="E9" s="46">
        <f>(E8-E7)/($C8-$C7)</f>
        <v>2.7422272960937841E-2</v>
      </c>
      <c r="F9" s="46">
        <f>(F8-F7)/($C8-$C7)</f>
        <v>8.8893908105317498E-2</v>
      </c>
      <c r="K9" s="15" t="str">
        <f>linefmt("",D55,E55,F55)</f>
        <v>-0.2403865,1,8.816379E-02,</v>
      </c>
      <c r="M9" s="46">
        <f t="shared" si="0"/>
        <v>50.930440785093509</v>
      </c>
      <c r="N9" s="46">
        <f t="shared" si="5"/>
        <v>6</v>
      </c>
      <c r="O9" s="50">
        <f t="shared" si="1"/>
        <v>101.60526719386532</v>
      </c>
      <c r="P9" s="50">
        <f t="shared" si="2"/>
        <v>50.674826408771807</v>
      </c>
      <c r="Q9" s="50">
        <f t="shared" si="3"/>
        <v>58.188436978092135</v>
      </c>
    </row>
    <row r="10" spans="1:17">
      <c r="K10" s="16" t="str">
        <f>linefmt("",D56,E56,F56)</f>
        <v>-0.4988368,0.2237933,1.166842,</v>
      </c>
      <c r="M10" s="46">
        <f t="shared" si="0"/>
        <v>48.861868157786439</v>
      </c>
      <c r="N10" s="46">
        <f t="shared" si="5"/>
        <v>7</v>
      </c>
      <c r="O10" s="50">
        <f t="shared" si="1"/>
        <v>99.449835609872991</v>
      </c>
      <c r="P10" s="50">
        <f t="shared" si="2"/>
        <v>50.587967452086552</v>
      </c>
      <c r="Q10" s="50">
        <f t="shared" si="3"/>
        <v>57.860624518095769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46.793295530479362</v>
      </c>
      <c r="N11" s="46">
        <f t="shared" si="5"/>
        <v>8</v>
      </c>
      <c r="O11" s="50">
        <f t="shared" si="1"/>
        <v>97.294404025880652</v>
      </c>
      <c r="P11" s="50">
        <f t="shared" si="2"/>
        <v>50.50110849540129</v>
      </c>
      <c r="Q11" s="50">
        <f t="shared" si="3"/>
        <v>57.532812058099402</v>
      </c>
    </row>
    <row r="12" spans="1:17">
      <c r="A12" s="46" t="s">
        <v>16</v>
      </c>
      <c r="B12" s="10">
        <f>MATCH(M2,M3:M66,0)-1</f>
        <v>30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Compensation=30</v>
      </c>
      <c r="M12" s="46">
        <f t="shared" si="0"/>
        <v>44.724722903172299</v>
      </c>
      <c r="N12" s="46">
        <f t="shared" si="5"/>
        <v>9</v>
      </c>
      <c r="O12" s="50">
        <f t="shared" si="1"/>
        <v>95.138972441888328</v>
      </c>
      <c r="P12" s="50">
        <f t="shared" si="2"/>
        <v>50.414249538716028</v>
      </c>
      <c r="Q12" s="50">
        <f t="shared" si="3"/>
        <v>57.204999598103036</v>
      </c>
    </row>
    <row r="13" spans="1:17">
      <c r="A13" s="78" t="s">
        <v>12</v>
      </c>
      <c r="B13" s="79" t="s">
        <v>0</v>
      </c>
      <c r="C13" s="46">
        <v>0</v>
      </c>
      <c r="D13" s="7">
        <v>556.5</v>
      </c>
      <c r="E13" s="7">
        <v>516</v>
      </c>
      <c r="F13" s="7">
        <v>156</v>
      </c>
      <c r="G13" s="8">
        <v>75.2</v>
      </c>
      <c r="H13" s="8">
        <v>33.1</v>
      </c>
      <c r="I13" s="8">
        <v>32.799999999999997</v>
      </c>
      <c r="M13" s="46">
        <f t="shared" si="0"/>
        <v>42.656150275865215</v>
      </c>
      <c r="N13" s="46">
        <f t="shared" si="5"/>
        <v>10</v>
      </c>
      <c r="O13" s="50">
        <f t="shared" si="1"/>
        <v>92.983540857895989</v>
      </c>
      <c r="P13" s="50">
        <f t="shared" si="2"/>
        <v>50.327390582030773</v>
      </c>
      <c r="Q13" s="50">
        <f t="shared" si="3"/>
        <v>56.877187138106663</v>
      </c>
    </row>
    <row r="14" spans="1:17">
      <c r="A14" s="78"/>
      <c r="B14" s="79"/>
      <c r="C14" s="46">
        <f>C13+1</f>
        <v>1</v>
      </c>
      <c r="D14" s="7"/>
      <c r="E14" s="7"/>
      <c r="F14" s="7"/>
      <c r="G14" s="8">
        <v>80.400000000000006</v>
      </c>
      <c r="H14" s="8">
        <v>36.6</v>
      </c>
      <c r="I14" s="8">
        <v>36.1</v>
      </c>
      <c r="M14" s="46">
        <f t="shared" si="0"/>
        <v>40.587577648558153</v>
      </c>
      <c r="N14" s="46">
        <f t="shared" si="5"/>
        <v>11</v>
      </c>
      <c r="O14" s="50">
        <f t="shared" si="1"/>
        <v>90.828109273903664</v>
      </c>
      <c r="P14" s="50">
        <f t="shared" si="2"/>
        <v>50.240531625345511</v>
      </c>
      <c r="Q14" s="50">
        <f t="shared" si="3"/>
        <v>56.549374678110297</v>
      </c>
    </row>
    <row r="15" spans="1:17">
      <c r="A15" s="78"/>
      <c r="B15" s="79"/>
      <c r="C15" s="46">
        <f>C14+1</f>
        <v>2</v>
      </c>
      <c r="D15" s="6">
        <f>2*(D13-D14)/(D13+D14)</f>
        <v>2</v>
      </c>
      <c r="E15" s="6">
        <f t="shared" ref="E15:F15" si="8">2*(E13-E14)/(E13+E14)</f>
        <v>2</v>
      </c>
      <c r="F15" s="6">
        <f t="shared" si="8"/>
        <v>2</v>
      </c>
      <c r="G15" s="8">
        <v>98</v>
      </c>
      <c r="H15" s="8">
        <v>34.799999999999997</v>
      </c>
      <c r="I15" s="8">
        <v>34.299999999999997</v>
      </c>
      <c r="M15" s="46">
        <f t="shared" si="0"/>
        <v>38.519005021251076</v>
      </c>
      <c r="N15" s="46">
        <f t="shared" si="5"/>
        <v>12</v>
      </c>
      <c r="O15" s="50">
        <f t="shared" si="1"/>
        <v>88.672677689911325</v>
      </c>
      <c r="P15" s="50">
        <f t="shared" si="2"/>
        <v>50.153672668660249</v>
      </c>
      <c r="Q15" s="50">
        <f t="shared" si="3"/>
        <v>56.221562218113931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1209</v>
      </c>
      <c r="F16" s="7">
        <v>651</v>
      </c>
      <c r="G16" s="8">
        <v>62.3</v>
      </c>
      <c r="H16" s="8">
        <v>75.8</v>
      </c>
      <c r="I16" s="8">
        <v>42.4</v>
      </c>
      <c r="M16" s="46">
        <f t="shared" si="0"/>
        <v>36.450432393944006</v>
      </c>
      <c r="N16" s="46">
        <f t="shared" si="5"/>
        <v>13</v>
      </c>
      <c r="O16" s="50">
        <f t="shared" si="1"/>
        <v>86.517246105919</v>
      </c>
      <c r="P16" s="50">
        <f t="shared" si="2"/>
        <v>50.066813711974994</v>
      </c>
      <c r="Q16" s="50">
        <f t="shared" si="3"/>
        <v>55.893749758117565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1211</v>
      </c>
      <c r="F17" s="7">
        <v>651</v>
      </c>
      <c r="G17" s="8">
        <v>67.7</v>
      </c>
      <c r="H17" s="8">
        <v>81.2</v>
      </c>
      <c r="I17" s="8">
        <v>46.3</v>
      </c>
      <c r="M17" s="46">
        <f t="shared" si="0"/>
        <v>34.381859766636943</v>
      </c>
      <c r="N17" s="46">
        <f t="shared" si="5"/>
        <v>14</v>
      </c>
      <c r="O17" s="50">
        <f t="shared" si="1"/>
        <v>84.361814521926675</v>
      </c>
      <c r="P17" s="50">
        <f t="shared" si="2"/>
        <v>49.979954755289732</v>
      </c>
      <c r="Q17" s="50">
        <f t="shared" si="3"/>
        <v>55.565937298121192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-1.652892561983471E-3</v>
      </c>
      <c r="F18" s="6">
        <f t="shared" si="10"/>
        <v>0</v>
      </c>
      <c r="G18" s="8">
        <v>58.5</v>
      </c>
      <c r="H18" s="8">
        <v>98.7</v>
      </c>
      <c r="I18" s="8">
        <v>46.2</v>
      </c>
      <c r="M18" s="46">
        <f t="shared" si="0"/>
        <v>32.313287139329866</v>
      </c>
      <c r="N18" s="46">
        <f t="shared" si="5"/>
        <v>15</v>
      </c>
      <c r="O18" s="50">
        <f t="shared" si="1"/>
        <v>82.206382937934336</v>
      </c>
      <c r="P18" s="50">
        <f t="shared" si="2"/>
        <v>49.89309579860447</v>
      </c>
      <c r="Q18" s="50">
        <f t="shared" si="3"/>
        <v>55.238124838124826</v>
      </c>
    </row>
    <row r="19" spans="1:21">
      <c r="A19" s="78"/>
      <c r="B19" s="79" t="s">
        <v>2</v>
      </c>
      <c r="C19" s="46">
        <f t="shared" si="9"/>
        <v>0</v>
      </c>
      <c r="D19" s="7">
        <v>508.9</v>
      </c>
      <c r="E19" s="7">
        <v>575.6</v>
      </c>
      <c r="F19" s="7">
        <v>532.5</v>
      </c>
      <c r="G19" s="8">
        <v>26</v>
      </c>
      <c r="H19" s="8">
        <v>37.5</v>
      </c>
      <c r="I19" s="8">
        <v>30.2</v>
      </c>
      <c r="M19" s="46">
        <f t="shared" si="0"/>
        <v>30.244714512022782</v>
      </c>
      <c r="N19" s="46">
        <f t="shared" si="5"/>
        <v>16</v>
      </c>
      <c r="O19" s="50">
        <f t="shared" si="1"/>
        <v>80.050951353941997</v>
      </c>
      <c r="P19" s="50">
        <f t="shared" si="2"/>
        <v>49.806236841919215</v>
      </c>
      <c r="Q19" s="50">
        <f t="shared" si="3"/>
        <v>54.910312378128459</v>
      </c>
    </row>
    <row r="20" spans="1:21">
      <c r="A20" s="78"/>
      <c r="B20" s="79"/>
      <c r="C20" s="46">
        <f t="shared" si="9"/>
        <v>1</v>
      </c>
      <c r="D20" s="7">
        <v>510.6</v>
      </c>
      <c r="E20" s="7">
        <v>577.1</v>
      </c>
      <c r="F20" s="7">
        <v>532.70000000000005</v>
      </c>
      <c r="G20" s="8">
        <v>28.6</v>
      </c>
      <c r="H20" s="8">
        <v>41.1</v>
      </c>
      <c r="I20" s="8">
        <v>33.299999999999997</v>
      </c>
      <c r="M20" s="46">
        <f t="shared" si="0"/>
        <v>28.176141884715719</v>
      </c>
      <c r="N20" s="46">
        <f t="shared" si="5"/>
        <v>17</v>
      </c>
      <c r="O20" s="50">
        <f t="shared" si="1"/>
        <v>77.895519769949672</v>
      </c>
      <c r="P20" s="50">
        <f t="shared" si="2"/>
        <v>49.719377885233953</v>
      </c>
      <c r="Q20" s="50">
        <f t="shared" si="3"/>
        <v>54.582499918132093</v>
      </c>
    </row>
    <row r="21" spans="1:21">
      <c r="A21" s="78"/>
      <c r="B21" s="79"/>
      <c r="C21" s="46">
        <f t="shared" si="9"/>
        <v>2</v>
      </c>
      <c r="D21" s="6">
        <f>2*(D19-D20)/(D19+D20)</f>
        <v>-3.3349681216283383E-3</v>
      </c>
      <c r="E21" s="6">
        <f t="shared" ref="E21:F21" si="11">2*(E19-E20)/(E19+E20)</f>
        <v>-2.6025852346664353E-3</v>
      </c>
      <c r="F21" s="6">
        <f t="shared" si="11"/>
        <v>-3.7551633496065616E-4</v>
      </c>
      <c r="G21" s="8">
        <v>26.2</v>
      </c>
      <c r="H21" s="8">
        <v>40.4</v>
      </c>
      <c r="I21" s="8">
        <v>31</v>
      </c>
      <c r="M21" s="46">
        <f t="shared" si="0"/>
        <v>26.107569257408656</v>
      </c>
      <c r="N21" s="46">
        <f t="shared" si="5"/>
        <v>18</v>
      </c>
      <c r="O21" s="50">
        <f t="shared" si="1"/>
        <v>75.740088185957347</v>
      </c>
      <c r="P21" s="50">
        <f t="shared" si="2"/>
        <v>49.632518928548691</v>
      </c>
      <c r="Q21" s="50">
        <f t="shared" si="3"/>
        <v>54.25468745813572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278.25</v>
      </c>
      <c r="E22" s="46">
        <f t="shared" ref="E22:F22" si="12">(E13+E14)/2</f>
        <v>258</v>
      </c>
      <c r="F22" s="46">
        <f t="shared" si="12"/>
        <v>78</v>
      </c>
      <c r="G22" s="5">
        <f>G13</f>
        <v>75.2</v>
      </c>
      <c r="H22" s="5">
        <f t="shared" ref="H22:I22" si="13">H13</f>
        <v>33.1</v>
      </c>
      <c r="I22" s="5">
        <f t="shared" si="13"/>
        <v>32.799999999999997</v>
      </c>
      <c r="J22" s="99">
        <f>AVERAGE(G22:I24)</f>
        <v>46.144444444444446</v>
      </c>
      <c r="M22" s="46">
        <f t="shared" si="0"/>
        <v>24.038996630101572</v>
      </c>
      <c r="N22" s="46">
        <f t="shared" si="5"/>
        <v>19</v>
      </c>
      <c r="O22" s="50">
        <f t="shared" si="1"/>
        <v>73.584656601965008</v>
      </c>
      <c r="P22" s="50">
        <f t="shared" si="2"/>
        <v>49.545659971863437</v>
      </c>
      <c r="Q22" s="50">
        <f t="shared" si="3"/>
        <v>53.926874998139354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1210</v>
      </c>
      <c r="F23" s="46">
        <f>(F16+F17)/2</f>
        <v>651</v>
      </c>
      <c r="G23" s="5">
        <f>G16</f>
        <v>62.3</v>
      </c>
      <c r="H23" s="5">
        <f>H16</f>
        <v>75.8</v>
      </c>
      <c r="I23" s="5">
        <f>I16</f>
        <v>42.4</v>
      </c>
      <c r="J23" s="99"/>
      <c r="M23" s="46">
        <f t="shared" si="0"/>
        <v>21.970424002794495</v>
      </c>
      <c r="N23" s="46">
        <f t="shared" si="5"/>
        <v>20</v>
      </c>
      <c r="O23" s="50">
        <f t="shared" si="1"/>
        <v>71.429225017972669</v>
      </c>
      <c r="P23" s="50">
        <f t="shared" si="2"/>
        <v>49.458801015178175</v>
      </c>
      <c r="Q23" s="50">
        <f t="shared" si="3"/>
        <v>53.599062538142988</v>
      </c>
    </row>
    <row r="24" spans="1:21">
      <c r="A24" s="78"/>
      <c r="B24" s="46" t="str">
        <f>B19</f>
        <v>D65</v>
      </c>
      <c r="C24" s="79"/>
      <c r="D24" s="46">
        <f>(D19+D20)/2</f>
        <v>509.75</v>
      </c>
      <c r="E24" s="46">
        <f>(E19+E20)/2</f>
        <v>576.35</v>
      </c>
      <c r="F24" s="46">
        <f>(F19+F20)/2</f>
        <v>532.6</v>
      </c>
      <c r="G24" s="5">
        <f>G19</f>
        <v>26</v>
      </c>
      <c r="H24" s="5">
        <f>H19</f>
        <v>37.5</v>
      </c>
      <c r="I24" s="5">
        <f>I19</f>
        <v>30.2</v>
      </c>
      <c r="J24" s="99"/>
      <c r="M24" s="46">
        <f t="shared" si="0"/>
        <v>19.901851375487425</v>
      </c>
      <c r="N24" s="46">
        <f t="shared" si="5"/>
        <v>21</v>
      </c>
      <c r="O24" s="50">
        <f t="shared" si="1"/>
        <v>69.273793433980345</v>
      </c>
      <c r="P24" s="50">
        <f t="shared" si="2"/>
        <v>49.37194205849292</v>
      </c>
      <c r="Q24" s="50">
        <f t="shared" si="3"/>
        <v>53.271250078146622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278.25</v>
      </c>
      <c r="E25" s="46">
        <f t="shared" ref="E25:F25" si="15">(E13+E14)/2</f>
        <v>258</v>
      </c>
      <c r="F25" s="46">
        <f t="shared" si="15"/>
        <v>78</v>
      </c>
      <c r="G25" s="5">
        <f t="shared" ref="G25:I25" si="16">G14</f>
        <v>80.400000000000006</v>
      </c>
      <c r="H25" s="5">
        <f t="shared" si="16"/>
        <v>36.6</v>
      </c>
      <c r="I25" s="5">
        <f t="shared" si="16"/>
        <v>36.1</v>
      </c>
      <c r="J25" s="99">
        <f>AVERAGE(G25:I27)</f>
        <v>50.144444444444453</v>
      </c>
      <c r="M25" s="46">
        <f t="shared" si="0"/>
        <v>17.833278748180362</v>
      </c>
      <c r="N25" s="46">
        <f t="shared" si="5"/>
        <v>22</v>
      </c>
      <c r="O25" s="50">
        <f t="shared" si="1"/>
        <v>67.11836184998802</v>
      </c>
      <c r="P25" s="50">
        <f t="shared" si="2"/>
        <v>49.285083101807658</v>
      </c>
      <c r="Q25" s="50">
        <f t="shared" si="3"/>
        <v>52.943437618150249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1210</v>
      </c>
      <c r="F26" s="46">
        <f>(F16+F17)/2</f>
        <v>651</v>
      </c>
      <c r="G26" s="5">
        <f>G17</f>
        <v>67.7</v>
      </c>
      <c r="H26" s="5">
        <f>H17</f>
        <v>81.2</v>
      </c>
      <c r="I26" s="5">
        <f>I17</f>
        <v>46.3</v>
      </c>
      <c r="J26" s="99"/>
      <c r="M26" s="46">
        <f t="shared" si="0"/>
        <v>15.764706120873285</v>
      </c>
      <c r="N26" s="46">
        <f t="shared" si="5"/>
        <v>23</v>
      </c>
      <c r="O26" s="50">
        <f t="shared" si="1"/>
        <v>64.962930265995681</v>
      </c>
      <c r="P26" s="50">
        <f t="shared" si="2"/>
        <v>49.198224145122396</v>
      </c>
      <c r="Q26" s="50">
        <f t="shared" si="3"/>
        <v>52.615625158153883</v>
      </c>
    </row>
    <row r="27" spans="1:21">
      <c r="A27" s="78"/>
      <c r="B27" s="46" t="str">
        <f>B19</f>
        <v>D65</v>
      </c>
      <c r="C27" s="79"/>
      <c r="D27" s="46">
        <f>(D19+D20)/2</f>
        <v>509.75</v>
      </c>
      <c r="E27" s="46">
        <f>(E19+E20)/2</f>
        <v>576.35</v>
      </c>
      <c r="F27" s="46">
        <f>(F19+F20)/2</f>
        <v>532.6</v>
      </c>
      <c r="G27" s="5">
        <f>G20</f>
        <v>28.6</v>
      </c>
      <c r="H27" s="5">
        <f>H20</f>
        <v>41.1</v>
      </c>
      <c r="I27" s="5">
        <f>I20</f>
        <v>33.299999999999997</v>
      </c>
      <c r="J27" s="99"/>
      <c r="M27" s="46">
        <f t="shared" si="0"/>
        <v>13.696133493566215</v>
      </c>
      <c r="N27" s="46">
        <f t="shared" si="5"/>
        <v>24</v>
      </c>
      <c r="O27" s="50">
        <f t="shared" si="1"/>
        <v>62.807498682003356</v>
      </c>
      <c r="P27" s="50">
        <f t="shared" si="2"/>
        <v>49.111365188437141</v>
      </c>
      <c r="Q27" s="50">
        <f t="shared" si="3"/>
        <v>52.287812698157516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278.25</v>
      </c>
      <c r="E28" s="46">
        <f t="shared" ref="E28:F28" si="17">(E13+E14)/2</f>
        <v>258</v>
      </c>
      <c r="F28" s="46">
        <f t="shared" si="17"/>
        <v>78</v>
      </c>
      <c r="G28" s="5">
        <f t="shared" ref="G28:I28" si="18">G15</f>
        <v>98</v>
      </c>
      <c r="H28" s="5">
        <f t="shared" si="18"/>
        <v>34.799999999999997</v>
      </c>
      <c r="I28" s="5">
        <f t="shared" si="18"/>
        <v>34.299999999999997</v>
      </c>
      <c r="J28" s="99">
        <f>AVERAGE(G28:I30)</f>
        <v>52.011111111111106</v>
      </c>
      <c r="M28" s="46">
        <f t="shared" si="0"/>
        <v>11.627560866259145</v>
      </c>
      <c r="N28" s="46">
        <f t="shared" si="5"/>
        <v>25</v>
      </c>
      <c r="O28" s="50">
        <f t="shared" si="1"/>
        <v>60.652067098011024</v>
      </c>
      <c r="P28" s="50">
        <f t="shared" si="2"/>
        <v>49.024506231751879</v>
      </c>
      <c r="Q28" s="50">
        <f t="shared" si="3"/>
        <v>51.960000238161143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1210</v>
      </c>
      <c r="F29" s="46">
        <f t="shared" si="20"/>
        <v>651</v>
      </c>
      <c r="G29" s="5">
        <f t="shared" ref="G29:I29" si="21">G18</f>
        <v>58.5</v>
      </c>
      <c r="H29" s="5">
        <f t="shared" si="21"/>
        <v>98.7</v>
      </c>
      <c r="I29" s="5">
        <f t="shared" si="21"/>
        <v>46.2</v>
      </c>
      <c r="J29" s="99"/>
      <c r="M29" s="46">
        <f t="shared" si="0"/>
        <v>9.5589882389520753</v>
      </c>
      <c r="N29" s="46">
        <f t="shared" si="5"/>
        <v>26</v>
      </c>
      <c r="O29" s="50">
        <f t="shared" si="1"/>
        <v>58.496635514018692</v>
      </c>
      <c r="P29" s="50">
        <f t="shared" si="2"/>
        <v>48.937647275066617</v>
      </c>
      <c r="Q29" s="50">
        <f t="shared" si="3"/>
        <v>51.632187778164777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509.75</v>
      </c>
      <c r="E30" s="46">
        <f t="shared" si="23"/>
        <v>576.35</v>
      </c>
      <c r="F30" s="46">
        <f t="shared" si="23"/>
        <v>532.6</v>
      </c>
      <c r="G30" s="5">
        <f t="shared" ref="G30:I30" si="24">G21</f>
        <v>26.2</v>
      </c>
      <c r="H30" s="5">
        <f t="shared" si="24"/>
        <v>40.4</v>
      </c>
      <c r="I30" s="5">
        <f t="shared" si="24"/>
        <v>31</v>
      </c>
      <c r="J30" s="99"/>
      <c r="M30" s="46">
        <f t="shared" si="0"/>
        <v>7.4904156116449983</v>
      </c>
      <c r="N30" s="46">
        <f t="shared" si="5"/>
        <v>27</v>
      </c>
      <c r="O30" s="50">
        <f t="shared" si="1"/>
        <v>56.34120393002636</v>
      </c>
      <c r="P30" s="50">
        <f t="shared" si="2"/>
        <v>48.850788318381362</v>
      </c>
      <c r="Q30" s="50">
        <f t="shared" si="3"/>
        <v>51.304375318168411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278.25</v>
      </c>
      <c r="E31" s="46">
        <f t="shared" si="25"/>
        <v>258</v>
      </c>
      <c r="F31" s="46">
        <f t="shared" si="25"/>
        <v>78</v>
      </c>
      <c r="G31" s="5">
        <f t="shared" ref="G31:I33" si="26">G22*$J$31</f>
        <v>75.2</v>
      </c>
      <c r="H31" s="5">
        <f t="shared" si="26"/>
        <v>33.1</v>
      </c>
      <c r="I31" s="5">
        <f t="shared" si="26"/>
        <v>32.799999999999997</v>
      </c>
      <c r="J31" s="96">
        <f>J$22/J22</f>
        <v>1</v>
      </c>
      <c r="M31" s="46">
        <f t="shared" si="0"/>
        <v>5.4218429843379283</v>
      </c>
      <c r="N31" s="46">
        <f t="shared" si="5"/>
        <v>28</v>
      </c>
      <c r="O31" s="50">
        <f t="shared" si="1"/>
        <v>54.185772346034028</v>
      </c>
      <c r="P31" s="50">
        <f t="shared" si="2"/>
        <v>48.7639293616961</v>
      </c>
      <c r="Q31" s="50">
        <f t="shared" si="3"/>
        <v>50.976562858172045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1210</v>
      </c>
      <c r="F32" s="46">
        <f t="shared" si="27"/>
        <v>651</v>
      </c>
      <c r="G32" s="5">
        <f t="shared" si="26"/>
        <v>62.3</v>
      </c>
      <c r="H32" s="5">
        <f t="shared" si="26"/>
        <v>75.8</v>
      </c>
      <c r="I32" s="5">
        <f t="shared" si="26"/>
        <v>42.4</v>
      </c>
      <c r="J32" s="96"/>
      <c r="M32" s="46">
        <f t="shared" si="0"/>
        <v>3.3532703570308584</v>
      </c>
      <c r="N32" s="46">
        <f t="shared" si="5"/>
        <v>29</v>
      </c>
      <c r="O32" s="50">
        <f t="shared" si="1"/>
        <v>52.030340762041696</v>
      </c>
      <c r="P32" s="50">
        <f t="shared" si="2"/>
        <v>48.677070405010838</v>
      </c>
      <c r="Q32" s="50">
        <f t="shared" si="3"/>
        <v>50.648750398175679</v>
      </c>
    </row>
    <row r="33" spans="1:17">
      <c r="A33" s="78"/>
      <c r="B33" s="46" t="str">
        <f t="shared" si="27"/>
        <v>D65</v>
      </c>
      <c r="C33" s="79"/>
      <c r="D33" s="46">
        <f t="shared" si="27"/>
        <v>509.75</v>
      </c>
      <c r="E33" s="46">
        <f t="shared" si="27"/>
        <v>576.35</v>
      </c>
      <c r="F33" s="46">
        <f t="shared" si="27"/>
        <v>532.6</v>
      </c>
      <c r="G33" s="5">
        <f t="shared" si="26"/>
        <v>26</v>
      </c>
      <c r="H33" s="5">
        <f t="shared" si="26"/>
        <v>37.5</v>
      </c>
      <c r="I33" s="5">
        <f t="shared" si="26"/>
        <v>30.2</v>
      </c>
      <c r="J33" s="96"/>
      <c r="M33" s="46">
        <f t="shared" si="0"/>
        <v>1.7307264898537227</v>
      </c>
      <c r="N33" s="46">
        <f t="shared" si="5"/>
        <v>30</v>
      </c>
      <c r="O33" s="50">
        <f t="shared" si="1"/>
        <v>49.874909178049364</v>
      </c>
      <c r="P33" s="50">
        <f t="shared" si="2"/>
        <v>48.590211448325583</v>
      </c>
      <c r="Q33" s="50">
        <f t="shared" si="3"/>
        <v>50.320937938179306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278.25</v>
      </c>
      <c r="E34" s="46">
        <f t="shared" si="27"/>
        <v>258</v>
      </c>
      <c r="F34" s="46">
        <f t="shared" si="27"/>
        <v>78</v>
      </c>
      <c r="G34" s="5">
        <f t="shared" ref="G34:I36" si="28">G25*$J$34</f>
        <v>73.986527808553063</v>
      </c>
      <c r="H34" s="5">
        <f t="shared" si="28"/>
        <v>33.680434300908487</v>
      </c>
      <c r="I34" s="5">
        <f t="shared" si="28"/>
        <v>33.220319078218481</v>
      </c>
      <c r="J34" s="96">
        <f>J$22/J25</f>
        <v>0.9202304453800132</v>
      </c>
      <c r="M34" s="46">
        <f t="shared" si="0"/>
        <v>2.2736478841259142</v>
      </c>
      <c r="N34" s="46">
        <f t="shared" si="5"/>
        <v>31</v>
      </c>
      <c r="O34" s="50">
        <f t="shared" si="1"/>
        <v>47.719477594057025</v>
      </c>
      <c r="P34" s="50">
        <f t="shared" si="2"/>
        <v>48.503352491640321</v>
      </c>
      <c r="Q34" s="50">
        <f t="shared" si="3"/>
        <v>49.99312547818294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1210</v>
      </c>
      <c r="F35" s="46">
        <f t="shared" si="27"/>
        <v>651</v>
      </c>
      <c r="G35" s="5">
        <f t="shared" si="28"/>
        <v>62.299601152226899</v>
      </c>
      <c r="H35" s="5">
        <f t="shared" si="28"/>
        <v>74.722712164857072</v>
      </c>
      <c r="I35" s="5">
        <f t="shared" si="28"/>
        <v>42.606669621094611</v>
      </c>
      <c r="J35" s="96"/>
      <c r="M35" s="46">
        <f t="shared" si="0"/>
        <v>4.1012670081218729</v>
      </c>
      <c r="N35" s="46">
        <f t="shared" si="5"/>
        <v>32</v>
      </c>
      <c r="O35" s="50">
        <f t="shared" si="1"/>
        <v>45.5640460100647</v>
      </c>
      <c r="P35" s="50">
        <f t="shared" si="2"/>
        <v>48.416493534955066</v>
      </c>
      <c r="Q35" s="50">
        <f t="shared" si="3"/>
        <v>49.665313018186573</v>
      </c>
    </row>
    <row r="36" spans="1:17">
      <c r="A36" s="78"/>
      <c r="B36" s="46" t="str">
        <f t="shared" si="27"/>
        <v>D65</v>
      </c>
      <c r="C36" s="79"/>
      <c r="D36" s="46">
        <f t="shared" si="27"/>
        <v>509.75</v>
      </c>
      <c r="E36" s="46">
        <f t="shared" si="27"/>
        <v>576.35</v>
      </c>
      <c r="F36" s="46">
        <f t="shared" si="27"/>
        <v>532.6</v>
      </c>
      <c r="G36" s="5">
        <f t="shared" si="28"/>
        <v>26.31859073786838</v>
      </c>
      <c r="H36" s="5">
        <f t="shared" si="28"/>
        <v>37.821471305118543</v>
      </c>
      <c r="I36" s="5">
        <f t="shared" si="28"/>
        <v>30.643673831154437</v>
      </c>
      <c r="J36" s="96"/>
      <c r="M36" s="46">
        <f t="shared" si="0"/>
        <v>5.9288861321178246</v>
      </c>
      <c r="N36" s="46">
        <f t="shared" si="5"/>
        <v>33</v>
      </c>
      <c r="O36" s="50">
        <f t="shared" si="1"/>
        <v>43.408614426072376</v>
      </c>
      <c r="P36" s="50">
        <f t="shared" si="2"/>
        <v>48.329634578269804</v>
      </c>
      <c r="Q36" s="50">
        <f t="shared" si="3"/>
        <v>49.3375005581902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278.25</v>
      </c>
      <c r="E37" s="46">
        <f t="shared" si="27"/>
        <v>258</v>
      </c>
      <c r="F37" s="46">
        <f t="shared" si="27"/>
        <v>78</v>
      </c>
      <c r="G37" s="5">
        <f t="shared" ref="G37:I39" si="29">G28*$J$37</f>
        <v>86.945951719718025</v>
      </c>
      <c r="H37" s="5">
        <f t="shared" si="29"/>
        <v>30.87468489638966</v>
      </c>
      <c r="I37" s="5">
        <f t="shared" si="29"/>
        <v>30.431083101901304</v>
      </c>
      <c r="J37" s="96">
        <f>J$22/J28</f>
        <v>0.88720358897671447</v>
      </c>
      <c r="K37" s="51" t="str">
        <f>CHAR(34) &amp; "EEpromVersion" &amp;CHAR(34)  &amp; ",3,"</f>
        <v>"EEpromVersion",3,</v>
      </c>
      <c r="M37" s="46">
        <f t="shared" si="0"/>
        <v>7.7565052561137975</v>
      </c>
      <c r="N37" s="46">
        <f t="shared" si="5"/>
        <v>34</v>
      </c>
      <c r="O37" s="50">
        <f t="shared" si="1"/>
        <v>41.253182842080037</v>
      </c>
      <c r="P37" s="50">
        <f t="shared" si="2"/>
        <v>48.242775621584542</v>
      </c>
      <c r="Q37" s="50">
        <f t="shared" si="3"/>
        <v>49.009688098193834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1210</v>
      </c>
      <c r="F38" s="46">
        <f t="shared" si="27"/>
        <v>651</v>
      </c>
      <c r="G38" s="5">
        <f t="shared" si="29"/>
        <v>51.901409955137794</v>
      </c>
      <c r="H38" s="5">
        <f t="shared" si="29"/>
        <v>87.566994232001719</v>
      </c>
      <c r="I38" s="5">
        <f t="shared" si="29"/>
        <v>40.988805810724209</v>
      </c>
      <c r="J38" s="96"/>
      <c r="K38" s="52" t="str">
        <f>K4</f>
        <v>"Compensation",30,</v>
      </c>
      <c r="M38" s="46">
        <f t="shared" si="0"/>
        <v>9.5841243801097562</v>
      </c>
      <c r="N38" s="46">
        <f t="shared" si="5"/>
        <v>35</v>
      </c>
      <c r="O38" s="50">
        <f t="shared" si="1"/>
        <v>39.097751258087712</v>
      </c>
      <c r="P38" s="50">
        <f t="shared" si="2"/>
        <v>48.155916664899287</v>
      </c>
      <c r="Q38" s="50">
        <f t="shared" si="3"/>
        <v>48.681875638197468</v>
      </c>
    </row>
    <row r="39" spans="1:17">
      <c r="A39" s="78"/>
      <c r="B39" s="46" t="str">
        <f t="shared" si="27"/>
        <v>D65</v>
      </c>
      <c r="C39" s="79"/>
      <c r="D39" s="46">
        <f t="shared" si="27"/>
        <v>509.75</v>
      </c>
      <c r="E39" s="46">
        <f t="shared" si="27"/>
        <v>576.35</v>
      </c>
      <c r="F39" s="46">
        <f t="shared" si="27"/>
        <v>532.6</v>
      </c>
      <c r="G39" s="5">
        <f t="shared" si="29"/>
        <v>23.244734031189918</v>
      </c>
      <c r="H39" s="5">
        <f t="shared" si="29"/>
        <v>35.843024994659267</v>
      </c>
      <c r="I39" s="5">
        <f t="shared" si="29"/>
        <v>27.503311258278149</v>
      </c>
      <c r="J39" s="96"/>
      <c r="K39" s="53" t="str">
        <f>linefmt("CardGain",J42,J45,J48)</f>
        <v>"CardGain",22.05265,23.44657,12.50736,</v>
      </c>
      <c r="M39" s="46">
        <f t="shared" si="0"/>
        <v>11.411743504105729</v>
      </c>
      <c r="N39" s="46">
        <f t="shared" si="5"/>
        <v>36</v>
      </c>
      <c r="O39" s="50">
        <f t="shared" si="1"/>
        <v>36.942319674095373</v>
      </c>
      <c r="P39" s="50">
        <f t="shared" si="2"/>
        <v>48.069057708214025</v>
      </c>
      <c r="Q39" s="50">
        <f t="shared" si="3"/>
        <v>48.354063178201102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"Range",1,0.9202304,0.8872036,</v>
      </c>
      <c r="M40" s="46">
        <f t="shared" si="0"/>
        <v>13.239362628101688</v>
      </c>
      <c r="N40" s="46">
        <f t="shared" si="5"/>
        <v>37</v>
      </c>
      <c r="O40" s="50">
        <f t="shared" si="1"/>
        <v>34.786888090103048</v>
      </c>
      <c r="P40" s="50">
        <f t="shared" si="2"/>
        <v>47.982198751528763</v>
      </c>
      <c r="Q40" s="50">
        <f t="shared" si="3"/>
        <v>48.026250718204736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15.263883288732799</v>
      </c>
      <c r="N41" s="46">
        <f t="shared" si="5"/>
        <v>38</v>
      </c>
      <c r="O41" s="50">
        <f t="shared" si="1"/>
        <v>32.631456506110709</v>
      </c>
      <c r="P41" s="50">
        <f t="shared" si="2"/>
        <v>47.895339794843508</v>
      </c>
      <c r="Q41" s="50">
        <f t="shared" si="3"/>
        <v>47.698438258208363</v>
      </c>
    </row>
    <row r="42" spans="1:17">
      <c r="A42" s="4"/>
      <c r="B42" s="46" t="s">
        <v>3</v>
      </c>
      <c r="C42" s="79">
        <f>C31</f>
        <v>0</v>
      </c>
      <c r="D42" s="46">
        <f>I42/$H$43</f>
        <v>-9.4271681891836934E-2</v>
      </c>
      <c r="E42" s="46">
        <f>H42/$H$43</f>
        <v>1.0566331540978664</v>
      </c>
      <c r="F42" s="46">
        <f>G42/$H$43</f>
        <v>-0.46548157179108379</v>
      </c>
      <c r="G42" s="46">
        <f t="array" ref="G42:I42">LINEST($D31:$D33,$G31:$I33,FALSE)</f>
        <v>-10.265102069268076</v>
      </c>
      <c r="H42" s="46">
        <v>23.301560864917196</v>
      </c>
      <c r="I42" s="46">
        <v>-2.0789403824037991</v>
      </c>
      <c r="J42" s="97">
        <f>H43</f>
        <v>22.052649753179129</v>
      </c>
      <c r="K42" s="53" t="str">
        <f t="shared" ref="K42:K50" si="30">linefmt("",D42,E42,F42)</f>
        <v>-9.427168E-02,1.056633,-0.4654816,</v>
      </c>
      <c r="M42" s="46">
        <f t="shared" si="0"/>
        <v>17.332455916039862</v>
      </c>
      <c r="N42" s="46">
        <f t="shared" si="5"/>
        <v>39</v>
      </c>
      <c r="O42" s="50">
        <f t="shared" si="1"/>
        <v>30.476024922118384</v>
      </c>
      <c r="P42" s="50">
        <f t="shared" si="2"/>
        <v>47.808480838158246</v>
      </c>
      <c r="Q42" s="50">
        <f t="shared" si="3"/>
        <v>47.370625798211996</v>
      </c>
    </row>
    <row r="43" spans="1:17">
      <c r="A43" s="4"/>
      <c r="B43" s="46" t="s">
        <v>4</v>
      </c>
      <c r="C43" s="79"/>
      <c r="D43" s="46">
        <f>I43/$H$43</f>
        <v>-0.19286993848540609</v>
      </c>
      <c r="E43" s="46">
        <f>H43/$H$43</f>
        <v>1</v>
      </c>
      <c r="F43" s="46">
        <f>G43/$H$43</f>
        <v>-0.21027153225829337</v>
      </c>
      <c r="G43" s="46">
        <f t="array" ref="G43:I43">LINEST($E31:$E33,$G31:$I33,FALSE)</f>
        <v>-4.6370444539564506</v>
      </c>
      <c r="H43" s="46">
        <v>22.052649753179129</v>
      </c>
      <c r="I43" s="46">
        <v>-4.2532932013358646</v>
      </c>
      <c r="J43" s="97"/>
      <c r="K43" s="53" t="str">
        <f t="shared" si="30"/>
        <v>-0.1928699,1,-0.2102715,</v>
      </c>
      <c r="M43" s="46">
        <f t="shared" si="0"/>
        <v>19.401028543346939</v>
      </c>
      <c r="N43" s="46">
        <f t="shared" si="5"/>
        <v>40</v>
      </c>
      <c r="O43" s="50">
        <f t="shared" si="1"/>
        <v>28.320593338126045</v>
      </c>
      <c r="P43" s="50">
        <f t="shared" si="2"/>
        <v>47.721621881472984</v>
      </c>
      <c r="Q43" s="50">
        <f t="shared" si="3"/>
        <v>47.04281333821563</v>
      </c>
    </row>
    <row r="44" spans="1:17">
      <c r="A44" s="4"/>
      <c r="B44" s="46" t="s">
        <v>5</v>
      </c>
      <c r="C44" s="79"/>
      <c r="D44" s="46">
        <f>I44/$H$43</f>
        <v>-0.43524119695627417</v>
      </c>
      <c r="E44" s="46">
        <f>H44/$H$43</f>
        <v>0.29546328299737168</v>
      </c>
      <c r="F44" s="46">
        <f>G44/$H$43</f>
        <v>0.80753942893461317</v>
      </c>
      <c r="G44" s="46">
        <f t="array" ref="G44:I44">LINEST($F$31:$F$33,$G31:$I33,FALSE)</f>
        <v>17.80838418817731</v>
      </c>
      <c r="H44" s="46">
        <v>6.5157482948654835</v>
      </c>
      <c r="I44" s="46">
        <v>-9.5982216746311675</v>
      </c>
      <c r="J44" s="97"/>
      <c r="K44" s="53" t="str">
        <f t="shared" si="30"/>
        <v>-0.4352412,0.2954633,0.8075394,</v>
      </c>
      <c r="M44" s="46">
        <f t="shared" si="0"/>
        <v>21.469601170654009</v>
      </c>
      <c r="N44" s="46">
        <f t="shared" si="5"/>
        <v>41</v>
      </c>
      <c r="O44" s="50">
        <f t="shared" si="1"/>
        <v>26.16516175413372</v>
      </c>
      <c r="P44" s="50">
        <f t="shared" si="2"/>
        <v>47.634762924787729</v>
      </c>
      <c r="Q44" s="50">
        <f t="shared" si="3"/>
        <v>46.715000878219257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-8.8049332844152617E-2</v>
      </c>
      <c r="E45" s="46">
        <f>H45/$H$46</f>
        <v>1.0516415356574325</v>
      </c>
      <c r="F45" s="46">
        <f>G45/$H$46</f>
        <v>-0.51287498104719575</v>
      </c>
      <c r="G45" s="46">
        <f t="array" ref="G45:I45">LINEST($D34:$D36,$G34:$I36,FALSE)</f>
        <v>-12.025157880132516</v>
      </c>
      <c r="H45" s="46">
        <v>24.65738428839817</v>
      </c>
      <c r="I45" s="46">
        <v>-2.064454628941705</v>
      </c>
      <c r="J45" s="97">
        <f>H46</f>
        <v>23.44656753499531</v>
      </c>
      <c r="K45" s="53" t="str">
        <f t="shared" si="30"/>
        <v>-8.804933E-02,1.051642,-0.512875,</v>
      </c>
      <c r="M45" s="46">
        <f t="shared" si="0"/>
        <v>23.538173797961086</v>
      </c>
      <c r="N45" s="46">
        <f t="shared" si="5"/>
        <v>42</v>
      </c>
      <c r="O45" s="50">
        <f t="shared" si="1"/>
        <v>24.009730170141381</v>
      </c>
      <c r="P45" s="50">
        <f t="shared" si="2"/>
        <v>47.547903968102467</v>
      </c>
      <c r="Q45" s="50">
        <f t="shared" si="3"/>
        <v>46.387188418222891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-0.18311237338391467</v>
      </c>
      <c r="E46" s="46">
        <f>H46/$H$46</f>
        <v>1</v>
      </c>
      <c r="F46" s="46">
        <f>G46/$H$46</f>
        <v>-0.27479696141452187</v>
      </c>
      <c r="G46" s="46">
        <f t="array" ref="G46:I46">LINEST($E34:$E36,$G34:$I36,FALSE)</f>
        <v>-6.4430455142170873</v>
      </c>
      <c r="H46" s="46">
        <v>23.44656753499531</v>
      </c>
      <c r="I46" s="46">
        <v>-4.2933566290392333</v>
      </c>
      <c r="J46" s="97"/>
      <c r="K46" s="53" t="str">
        <f t="shared" si="30"/>
        <v>-0.1831124,1,-0.274797,</v>
      </c>
      <c r="M46" s="46">
        <f t="shared" si="0"/>
        <v>25.606746425268149</v>
      </c>
      <c r="N46" s="46">
        <f t="shared" si="5"/>
        <v>43</v>
      </c>
      <c r="O46" s="50">
        <f t="shared" si="1"/>
        <v>21.854298586149056</v>
      </c>
      <c r="P46" s="50">
        <f t="shared" si="2"/>
        <v>47.461045011417205</v>
      </c>
      <c r="Q46" s="50">
        <f t="shared" si="3"/>
        <v>46.059375958226525</v>
      </c>
    </row>
    <row r="47" spans="1:17">
      <c r="A47" s="4"/>
      <c r="B47" s="46" t="str">
        <f t="shared" si="31"/>
        <v>Z</v>
      </c>
      <c r="C47" s="79"/>
      <c r="D47" s="46">
        <f>I47/$H$46</f>
        <v>-0.41813949785278332</v>
      </c>
      <c r="E47" s="46">
        <f>H47/$H$46</f>
        <v>0.31309812932219466</v>
      </c>
      <c r="F47" s="46">
        <f>G47/$H$46</f>
        <v>0.71396429130752348</v>
      </c>
      <c r="G47" s="46">
        <f t="array" ref="G47:I47">LINEST($F$31:$F$33,$G34:$I36,FALSE)</f>
        <v>16.740011973716914</v>
      </c>
      <c r="H47" s="46">
        <v>7.3410764342335328</v>
      </c>
      <c r="I47" s="46">
        <v>-9.8039359754543103</v>
      </c>
      <c r="J47" s="97"/>
      <c r="K47" s="53" t="str">
        <f t="shared" si="30"/>
        <v>-0.4181395,0.3130981,0.7139643,</v>
      </c>
      <c r="M47" s="46">
        <f t="shared" si="0"/>
        <v>27.675319052575233</v>
      </c>
      <c r="N47" s="46">
        <f t="shared" si="5"/>
        <v>44</v>
      </c>
      <c r="O47" s="50">
        <f t="shared" si="1"/>
        <v>19.698867002156717</v>
      </c>
      <c r="P47" s="50">
        <f t="shared" si="2"/>
        <v>47.37418605473195</v>
      </c>
      <c r="Q47" s="50">
        <f t="shared" si="3"/>
        <v>45.731563498230159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-0.20956963930641756</v>
      </c>
      <c r="E48" s="46">
        <f>H48/$H$49</f>
        <v>1.1403111307870935</v>
      </c>
      <c r="F48" s="46">
        <f>G48/$H$49</f>
        <v>0.17289496256805065</v>
      </c>
      <c r="G48" s="46">
        <f t="array" ref="G48:I48">LINEST($D37:$D39,$G37:$I39,FALSE)</f>
        <v>2.1624600196952155</v>
      </c>
      <c r="H48" s="46">
        <v>14.26228499497187</v>
      </c>
      <c r="I48" s="46">
        <v>-2.6211635065058827</v>
      </c>
      <c r="J48" s="97">
        <f>H49</f>
        <v>12.507362780127741</v>
      </c>
      <c r="K48" s="53" t="str">
        <f t="shared" si="30"/>
        <v>-0.2095696,1.140311,0.172895,</v>
      </c>
      <c r="M48" s="46">
        <f t="shared" si="0"/>
        <v>29.743891679882296</v>
      </c>
      <c r="N48" s="46">
        <f t="shared" si="5"/>
        <v>45</v>
      </c>
      <c r="O48" s="50">
        <f t="shared" si="1"/>
        <v>17.543435418164393</v>
      </c>
      <c r="P48" s="50">
        <f t="shared" si="2"/>
        <v>47.287327098046688</v>
      </c>
      <c r="Q48" s="50">
        <f t="shared" si="3"/>
        <v>45.403751038233793</v>
      </c>
    </row>
    <row r="49" spans="1:24">
      <c r="A49" s="4"/>
      <c r="B49" s="46" t="str">
        <f t="shared" si="31"/>
        <v>Y</v>
      </c>
      <c r="C49" s="79"/>
      <c r="D49" s="46">
        <f>I49/$H$49</f>
        <v>-0.35237034985705318</v>
      </c>
      <c r="E49" s="46">
        <f>H49/$H$49</f>
        <v>1</v>
      </c>
      <c r="F49" s="46">
        <f>G49/$H$49</f>
        <v>0.67004977100863583</v>
      </c>
      <c r="G49" s="46">
        <f t="array" ref="G49:I49">LINEST($E37:$E39,$G37:$I39,FALSE)</f>
        <v>8.3805555667465281</v>
      </c>
      <c r="H49" s="46">
        <v>12.507362780127741</v>
      </c>
      <c r="I49" s="46">
        <v>-4.407223798622697</v>
      </c>
      <c r="J49" s="97"/>
      <c r="K49" s="53" t="str">
        <f t="shared" si="30"/>
        <v>-0.3523704,1,0.6700498,</v>
      </c>
      <c r="M49" s="46">
        <f t="shared" si="0"/>
        <v>31.812464307189373</v>
      </c>
      <c r="N49" s="46">
        <f t="shared" si="5"/>
        <v>46</v>
      </c>
      <c r="O49" s="50">
        <f t="shared" si="1"/>
        <v>15.388003834172054</v>
      </c>
      <c r="P49" s="50">
        <f t="shared" si="2"/>
        <v>47.200468141361426</v>
      </c>
      <c r="Q49" s="50">
        <f t="shared" si="3"/>
        <v>45.07593857823742</v>
      </c>
    </row>
    <row r="50" spans="1:24">
      <c r="A50" s="4"/>
      <c r="B50" s="46" t="str">
        <f t="shared" si="31"/>
        <v>Z</v>
      </c>
      <c r="C50" s="79"/>
      <c r="D50" s="46">
        <f>I50/$H$49</f>
        <v>-0.66724197850254774</v>
      </c>
      <c r="E50" s="46">
        <f>H50/$H$49</f>
        <v>3.0208322892801586E-3</v>
      </c>
      <c r="F50" s="46">
        <f>G50/$H$49</f>
        <v>2.1082735718671937</v>
      </c>
      <c r="G50" s="46">
        <f t="array" ref="G50:I50">LINEST($F$31:$F$33,$G37:$I39,FALSE)</f>
        <v>26.368942403098707</v>
      </c>
      <c r="H50" s="46">
        <v>3.7782645339950731E-2</v>
      </c>
      <c r="I50" s="46">
        <v>-8.3454374872615595</v>
      </c>
      <c r="J50" s="97"/>
      <c r="K50" s="54" t="str">
        <f t="shared" si="30"/>
        <v>-0.667242,3.020832E-03,2.108274,</v>
      </c>
      <c r="M50" s="46">
        <f t="shared" si="0"/>
        <v>33.881036934496443</v>
      </c>
      <c r="N50" s="46">
        <f t="shared" si="5"/>
        <v>47</v>
      </c>
      <c r="O50" s="50">
        <f t="shared" si="1"/>
        <v>13.232572250179729</v>
      </c>
      <c r="P50" s="50">
        <f t="shared" si="2"/>
        <v>47.113609184676172</v>
      </c>
      <c r="Q50" s="50">
        <f t="shared" si="3"/>
        <v>44.748126118241053</v>
      </c>
    </row>
    <row r="51" spans="1:24">
      <c r="B51" s="46" t="str">
        <f t="shared" si="31"/>
        <v>X</v>
      </c>
      <c r="C51" s="79" t="s">
        <v>28</v>
      </c>
      <c r="D51" s="46">
        <f>(D42+D45+D48)/3</f>
        <v>-0.13063021801413569</v>
      </c>
      <c r="E51" s="46">
        <f t="shared" ref="E51:F51" si="32">(E42+E45+E48)/3</f>
        <v>1.0828619401807975</v>
      </c>
      <c r="F51" s="46">
        <f t="shared" si="32"/>
        <v>-0.26848719675674299</v>
      </c>
      <c r="J51" s="97">
        <f>(J42+J45+J48)/3</f>
        <v>19.335526689434058</v>
      </c>
      <c r="M51" s="46">
        <f t="shared" si="0"/>
        <v>35.949609561803506</v>
      </c>
      <c r="N51" s="46">
        <f t="shared" si="5"/>
        <v>48</v>
      </c>
      <c r="O51" s="50">
        <f t="shared" si="1"/>
        <v>11.077140666187404</v>
      </c>
      <c r="P51" s="50">
        <f t="shared" si="2"/>
        <v>47.02675022799091</v>
      </c>
      <c r="Q51" s="50">
        <f t="shared" si="3"/>
        <v>44.42031365824468</v>
      </c>
    </row>
    <row r="52" spans="1:24">
      <c r="B52" s="46" t="str">
        <f t="shared" si="31"/>
        <v>Y</v>
      </c>
      <c r="C52" s="79"/>
      <c r="D52" s="46">
        <f t="shared" ref="D52:F53" si="33">(D43+D46+D49)/3</f>
        <v>-0.24278422057545798</v>
      </c>
      <c r="E52" s="46">
        <f t="shared" si="33"/>
        <v>1</v>
      </c>
      <c r="F52" s="46">
        <f t="shared" si="33"/>
        <v>6.1660425778606864E-2</v>
      </c>
      <c r="J52" s="97"/>
      <c r="M52" s="46">
        <f t="shared" si="0"/>
        <v>38.01818218911059</v>
      </c>
      <c r="N52" s="46">
        <f t="shared" si="5"/>
        <v>49</v>
      </c>
      <c r="O52" s="50">
        <f t="shared" si="1"/>
        <v>8.9217090821950649</v>
      </c>
      <c r="P52" s="50">
        <f t="shared" si="2"/>
        <v>46.939891271305655</v>
      </c>
      <c r="Q52" s="50">
        <f t="shared" si="3"/>
        <v>44.092501198248314</v>
      </c>
    </row>
    <row r="53" spans="1:24" ht="15.75" thickBot="1">
      <c r="B53" s="46" t="str">
        <f t="shared" si="31"/>
        <v>Z</v>
      </c>
      <c r="C53" s="79"/>
      <c r="D53" s="46">
        <f t="shared" si="33"/>
        <v>-0.50687422443720165</v>
      </c>
      <c r="E53" s="46">
        <f t="shared" si="33"/>
        <v>0.20386074820294886</v>
      </c>
      <c r="F53" s="46">
        <f t="shared" si="33"/>
        <v>1.2099257640364434</v>
      </c>
      <c r="J53" s="100"/>
      <c r="M53" s="46">
        <f t="shared" si="0"/>
        <v>40.086754816417653</v>
      </c>
      <c r="N53" s="46">
        <f t="shared" si="5"/>
        <v>50</v>
      </c>
      <c r="O53" s="50">
        <f t="shared" si="1"/>
        <v>6.76627749820274</v>
      </c>
      <c r="P53" s="50">
        <f t="shared" si="2"/>
        <v>46.853032314620393</v>
      </c>
      <c r="Q53" s="50">
        <f t="shared" si="3"/>
        <v>43.764688738251948</v>
      </c>
    </row>
    <row r="54" spans="1:24">
      <c r="B54" s="79" t="s">
        <v>14</v>
      </c>
      <c r="C54" s="79"/>
      <c r="D54" s="19">
        <f>I54/$H$55</f>
        <v>-0.13005710840405232</v>
      </c>
      <c r="E54" s="20">
        <f>H54/$H$55</f>
        <v>1.0774179167738329</v>
      </c>
      <c r="F54" s="21">
        <f>G54/$H$55</f>
        <v>-0.22627373252693891</v>
      </c>
      <c r="G54" s="46">
        <f t="array" ref="G54:I54">LINEST(D$31:D$39,$G$31:$I$39,FALSE)</f>
        <v>-3.9015330516699196</v>
      </c>
      <c r="H54" s="46">
        <v>18.577417563278161</v>
      </c>
      <c r="I54" s="46">
        <v>-2.2425144155105006</v>
      </c>
      <c r="J54" s="98">
        <f>H55</f>
        <v>17.242536321379788</v>
      </c>
      <c r="M54" s="46">
        <f t="shared" si="0"/>
        <v>42.15532744372473</v>
      </c>
      <c r="N54" s="46">
        <f t="shared" si="5"/>
        <v>51</v>
      </c>
      <c r="O54" s="50">
        <f t="shared" si="1"/>
        <v>4.610845914210401</v>
      </c>
      <c r="P54" s="50">
        <f t="shared" si="2"/>
        <v>46.766173357935131</v>
      </c>
      <c r="Q54" s="50">
        <f t="shared" si="3"/>
        <v>43.436876278255582</v>
      </c>
    </row>
    <row r="55" spans="1:24" ht="15" customHeight="1">
      <c r="B55" s="79"/>
      <c r="C55" s="79"/>
      <c r="D55" s="22">
        <f>I55/$H$55</f>
        <v>-0.24038646238835401</v>
      </c>
      <c r="E55" s="18">
        <f>H55/$H$55</f>
        <v>1</v>
      </c>
      <c r="F55" s="23">
        <f>G55/$H$55</f>
        <v>8.8163788011317523E-2</v>
      </c>
      <c r="G55" s="46">
        <f t="array" ref="G55:I55">LINEST(E$31:E$39,$G$31:$I$39,FALSE)</f>
        <v>1.5201673170155703</v>
      </c>
      <c r="H55" s="46">
        <v>17.242536321379788</v>
      </c>
      <c r="I55" s="46">
        <v>-4.1448723088991901</v>
      </c>
      <c r="J55" s="98"/>
      <c r="M55" s="46">
        <f t="shared" si="0"/>
        <v>44.2239000710318</v>
      </c>
      <c r="N55" s="46">
        <f t="shared" si="5"/>
        <v>52</v>
      </c>
      <c r="O55" s="50">
        <f t="shared" si="1"/>
        <v>2.4554143302180762</v>
      </c>
      <c r="P55" s="50">
        <f t="shared" si="2"/>
        <v>46.679314401249876</v>
      </c>
      <c r="Q55" s="50">
        <f t="shared" si="3"/>
        <v>43.109063818259216</v>
      </c>
    </row>
    <row r="56" spans="1:24" ht="15" customHeight="1" thickBot="1">
      <c r="B56" s="79"/>
      <c r="C56" s="79"/>
      <c r="D56" s="24">
        <f>I56/$H$55</f>
        <v>-0.49883681977037259</v>
      </c>
      <c r="E56" s="25">
        <f>H56/$H$55</f>
        <v>0.22379330160123556</v>
      </c>
      <c r="F56" s="26">
        <f>G56/$H$55</f>
        <v>1.1668416349938777</v>
      </c>
      <c r="G56" s="46">
        <f t="array" ref="G56:I56">LINEST(F$31:F$39,$G$31:$I$39,FALSE)</f>
        <v>20.119309272680113</v>
      </c>
      <c r="H56" s="46">
        <v>3.8587641313408056</v>
      </c>
      <c r="I56" s="46">
        <v>-8.6012119833322327</v>
      </c>
      <c r="J56" s="98"/>
      <c r="M56" s="46">
        <f t="shared" si="0"/>
        <v>46.292472698338877</v>
      </c>
      <c r="N56" s="46">
        <f t="shared" si="5"/>
        <v>53</v>
      </c>
      <c r="O56" s="50">
        <f t="shared" si="1"/>
        <v>0.29998274622573717</v>
      </c>
      <c r="P56" s="50">
        <f t="shared" si="2"/>
        <v>46.592455444564614</v>
      </c>
      <c r="Q56" s="50">
        <f t="shared" si="3"/>
        <v>42.78125135826285</v>
      </c>
    </row>
    <row r="57" spans="1:24">
      <c r="M57" s="46">
        <f t="shared" si="0"/>
        <v>48.361045325645939</v>
      </c>
      <c r="N57" s="46">
        <f t="shared" si="5"/>
        <v>54</v>
      </c>
      <c r="O57" s="50">
        <f t="shared" si="1"/>
        <v>-1.8554488377665876</v>
      </c>
      <c r="P57" s="50">
        <f t="shared" si="2"/>
        <v>46.505596487879352</v>
      </c>
      <c r="Q57" s="50">
        <f t="shared" si="3"/>
        <v>42.453438898266477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50.429617952953024</v>
      </c>
      <c r="N58" s="46">
        <f t="shared" si="5"/>
        <v>55</v>
      </c>
      <c r="O58" s="50">
        <f t="shared" si="1"/>
        <v>-4.0108804217589267</v>
      </c>
      <c r="P58" s="50">
        <f t="shared" si="2"/>
        <v>46.418737531194097</v>
      </c>
      <c r="Q58" s="50">
        <f t="shared" si="3"/>
        <v>42.12562643827011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52.498190580260086</v>
      </c>
      <c r="N59" s="46">
        <f t="shared" si="5"/>
        <v>56</v>
      </c>
      <c r="O59" s="50">
        <f t="shared" si="1"/>
        <v>-6.1663120057512515</v>
      </c>
      <c r="P59" s="50">
        <f t="shared" si="2"/>
        <v>46.331878574508835</v>
      </c>
      <c r="Q59" s="50">
        <f t="shared" si="3"/>
        <v>41.797813978273737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258</v>
      </c>
      <c r="E60" s="32">
        <f t="shared" ref="E60:E68" si="37">getCCTfromXY(D22/SUM(D22:F22),E22/SUM(D22:F22))</f>
        <v>2878</v>
      </c>
      <c r="F60" s="31">
        <f t="shared" ref="F60:F68" si="38">V60</f>
        <v>308.89504260656258</v>
      </c>
      <c r="G60" s="32">
        <f t="shared" ref="G60:G68" si="39">getCCTfromXY(U60/X60,V60/X60)</f>
        <v>3415</v>
      </c>
      <c r="H60" s="33">
        <f>F60/D60-1</f>
        <v>0.1972676070021806</v>
      </c>
      <c r="I60" s="34">
        <f t="shared" ref="I60:I68" si="40">G60/E60-1</f>
        <v>0.18658790826963179</v>
      </c>
      <c r="M60" s="46">
        <f t="shared" si="0"/>
        <v>54.566763207567163</v>
      </c>
      <c r="N60" s="46">
        <f t="shared" si="5"/>
        <v>57</v>
      </c>
      <c r="O60" s="50">
        <f t="shared" si="1"/>
        <v>-8.3217435897435905</v>
      </c>
      <c r="P60" s="50">
        <f t="shared" si="2"/>
        <v>46.245019617823573</v>
      </c>
      <c r="Q60" s="50">
        <f t="shared" si="3"/>
        <v>41.470001518277371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318.3051532033441</v>
      </c>
      <c r="V60" s="50">
        <f>$J$54*$J$31*($D$55*G22+$E$55*H22+$F$55*I22)</f>
        <v>308.89504260656258</v>
      </c>
      <c r="W60" s="50">
        <f>$J$54*$J$31*($D$56*G22+$E$56*H22+$F$56*I22)</f>
        <v>140.82729574470449</v>
      </c>
      <c r="X60" s="29">
        <f>SUM(U60:W60)</f>
        <v>768.02749155461129</v>
      </c>
    </row>
    <row r="61" spans="1:24">
      <c r="A61" s="87"/>
      <c r="B61" s="48" t="str">
        <f t="shared" si="35"/>
        <v>CWF</v>
      </c>
      <c r="C61" s="93"/>
      <c r="D61" s="31">
        <f t="shared" si="36"/>
        <v>1210</v>
      </c>
      <c r="E61" s="32">
        <f t="shared" si="37"/>
        <v>3855</v>
      </c>
      <c r="F61" s="31">
        <f t="shared" si="38"/>
        <v>1113.2138025576285</v>
      </c>
      <c r="G61" s="32">
        <f t="shared" si="39"/>
        <v>3895</v>
      </c>
      <c r="H61" s="33">
        <f t="shared" ref="H61:H68" si="41">F61/D61-1</f>
        <v>-7.998859292757976E-2</v>
      </c>
      <c r="I61" s="34">
        <f t="shared" si="40"/>
        <v>1.037613488975353E-2</v>
      </c>
      <c r="M61" s="46">
        <f t="shared" si="0"/>
        <v>56.635335834874233</v>
      </c>
      <c r="N61" s="46">
        <f t="shared" si="5"/>
        <v>58</v>
      </c>
      <c r="O61" s="50">
        <f t="shared" si="1"/>
        <v>-10.477175173735915</v>
      </c>
      <c r="P61" s="50">
        <f t="shared" si="2"/>
        <v>46.158160661138318</v>
      </c>
      <c r="Q61" s="50">
        <f t="shared" si="3"/>
        <v>41.142189058281005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1103.0346018193754</v>
      </c>
      <c r="V61" s="50">
        <f>$J$54*$J$31*($D$55*G23+$E$55*H23+$F$55*I23)</f>
        <v>1113.2138025576285</v>
      </c>
      <c r="W61" s="50">
        <f>$J$54*$J$31*($D$56*G23+$E$56*H23+$F$56*I23)</f>
        <v>609.69752775567167</v>
      </c>
      <c r="X61" s="29">
        <f t="shared" ref="X61:X68" si="43">SUM(U61:W61)</f>
        <v>2825.9459321326754</v>
      </c>
    </row>
    <row r="62" spans="1:24">
      <c r="A62" s="87"/>
      <c r="B62" s="48" t="str">
        <f t="shared" si="35"/>
        <v>D65</v>
      </c>
      <c r="C62" s="93"/>
      <c r="D62" s="31">
        <f t="shared" si="36"/>
        <v>576.35</v>
      </c>
      <c r="E62" s="32">
        <f t="shared" si="37"/>
        <v>6348</v>
      </c>
      <c r="F62" s="31">
        <f t="shared" si="38"/>
        <v>584.73748499423334</v>
      </c>
      <c r="G62" s="32">
        <f t="shared" si="39"/>
        <v>6175</v>
      </c>
      <c r="H62" s="33">
        <f t="shared" si="41"/>
        <v>1.4552763067985364E-2</v>
      </c>
      <c r="I62" s="34">
        <f t="shared" si="40"/>
        <v>-2.7252678008821696E-2</v>
      </c>
      <c r="M62" s="46">
        <f t="shared" si="0"/>
        <v>58.70390846218131</v>
      </c>
      <c r="N62" s="46">
        <f t="shared" si="5"/>
        <v>59</v>
      </c>
      <c r="O62" s="50">
        <f t="shared" si="1"/>
        <v>-12.632606757728254</v>
      </c>
      <c r="P62" s="50">
        <f t="shared" si="2"/>
        <v>46.071301704453056</v>
      </c>
      <c r="Q62" s="50">
        <f t="shared" si="3"/>
        <v>40.814376598284639</v>
      </c>
      <c r="R62" s="78"/>
      <c r="S62" s="46" t="str">
        <f t="shared" si="42"/>
        <v>D65</v>
      </c>
      <c r="T62" s="79"/>
      <c r="U62" s="50">
        <f>$J$54*$J$31*($D$54*G24+$E$54*H24+$F$54*I24)</f>
        <v>520.5214856592263</v>
      </c>
      <c r="V62" s="50">
        <f>$J$54*$J$31*($D$55*G24+$E$55*H24+$F$55*I24)</f>
        <v>584.73748499423334</v>
      </c>
      <c r="W62" s="50">
        <f>$J$54*$J$31*($D$56*G24+$E$56*H24+$F$56*I24)</f>
        <v>528.67528339358159</v>
      </c>
      <c r="X62" s="29">
        <f t="shared" si="43"/>
        <v>1633.9342540470411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258</v>
      </c>
      <c r="E63" s="32">
        <f t="shared" si="37"/>
        <v>2878</v>
      </c>
      <c r="F63" s="31">
        <f t="shared" si="38"/>
        <v>324.57184473152529</v>
      </c>
      <c r="G63" s="32">
        <f t="shared" si="39"/>
        <v>3594</v>
      </c>
      <c r="H63" s="33">
        <f t="shared" si="41"/>
        <v>0.25803040593614446</v>
      </c>
      <c r="I63" s="34">
        <f t="shared" si="40"/>
        <v>0.24878387769284216</v>
      </c>
      <c r="M63" s="46">
        <f t="shared" si="0"/>
        <v>60.77248108948838</v>
      </c>
      <c r="N63" s="46">
        <f t="shared" si="5"/>
        <v>60</v>
      </c>
      <c r="O63" s="50">
        <f t="shared" si="1"/>
        <v>-14.788038341720579</v>
      </c>
      <c r="P63" s="50">
        <f t="shared" si="2"/>
        <v>45.984442747767801</v>
      </c>
      <c r="Q63" s="50">
        <f t="shared" si="3"/>
        <v>40.486564138288273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330.16946368559445</v>
      </c>
      <c r="V63" s="50">
        <f>$J$54*$J$34*($D$55*G25+$E$55*H25+$F$55*I25)</f>
        <v>324.57184473152529</v>
      </c>
      <c r="W63" s="50">
        <f>$J$54*$J$34*($D$56*G25+$E$56*H25+$F$56*I25)</f>
        <v>161.96091588804927</v>
      </c>
      <c r="X63" s="29">
        <f t="shared" si="43"/>
        <v>816.70222430516901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</v>
      </c>
      <c r="E64" s="32">
        <f t="shared" si="37"/>
        <v>3855</v>
      </c>
      <c r="F64" s="31">
        <f t="shared" si="38"/>
        <v>1094.9544535080943</v>
      </c>
      <c r="G64" s="32">
        <f t="shared" si="39"/>
        <v>3938</v>
      </c>
      <c r="H64" s="33">
        <f t="shared" si="41"/>
        <v>-9.5078964042897285E-2</v>
      </c>
      <c r="I64" s="34">
        <f t="shared" si="40"/>
        <v>2.1530479896238575E-2</v>
      </c>
      <c r="M64" s="46">
        <f t="shared" si="0"/>
        <v>62.841053716795457</v>
      </c>
      <c r="N64" s="46">
        <f t="shared" si="5"/>
        <v>61</v>
      </c>
      <c r="O64" s="50">
        <f t="shared" si="1"/>
        <v>-16.943469925712918</v>
      </c>
      <c r="P64" s="50">
        <f t="shared" si="2"/>
        <v>45.897583791082539</v>
      </c>
      <c r="Q64" s="50">
        <f t="shared" si="3"/>
        <v>40.158751678291907</v>
      </c>
      <c r="R64" s="78"/>
      <c r="S64" s="46" t="str">
        <f t="shared" si="42"/>
        <v>CWF</v>
      </c>
      <c r="T64" s="79"/>
      <c r="U64" s="50">
        <f>$J$54*$J$34*($D$54*G26+$E$54*H26+$F$54*I26)</f>
        <v>1082.2159419344896</v>
      </c>
      <c r="V64" s="50">
        <f>$J$54*$J$34*($D$55*G26+$E$55*H26+$F$55*I26)</f>
        <v>1094.9544535080943</v>
      </c>
      <c r="W64" s="50">
        <f>$J$54*$J$34*($D$56*G26+$E$56*H26+$F$56*I26)</f>
        <v>609.70200869660812</v>
      </c>
      <c r="X64" s="29">
        <f t="shared" si="43"/>
        <v>2786.872404139192</v>
      </c>
    </row>
    <row r="65" spans="1:24">
      <c r="A65" s="87"/>
      <c r="B65" s="48" t="str">
        <f t="shared" si="35"/>
        <v>D65</v>
      </c>
      <c r="C65" s="93"/>
      <c r="D65" s="31">
        <f t="shared" si="36"/>
        <v>576.35</v>
      </c>
      <c r="E65" s="32">
        <f t="shared" si="37"/>
        <v>6348</v>
      </c>
      <c r="F65" s="31">
        <f t="shared" si="38"/>
        <v>589.63440617929484</v>
      </c>
      <c r="G65" s="32">
        <f t="shared" si="39"/>
        <v>6218</v>
      </c>
      <c r="H65" s="33">
        <f t="shared" si="41"/>
        <v>2.3049199582362734E-2</v>
      </c>
      <c r="I65" s="34">
        <f t="shared" si="40"/>
        <v>-2.0478890989288012E-2</v>
      </c>
      <c r="M65" s="46">
        <f t="shared" si="0"/>
        <v>64.909626344102534</v>
      </c>
      <c r="N65" s="46">
        <f t="shared" si="5"/>
        <v>62</v>
      </c>
      <c r="O65" s="50">
        <f t="shared" si="1"/>
        <v>-19.098901509705257</v>
      </c>
      <c r="P65" s="50">
        <f t="shared" si="2"/>
        <v>45.810724834397277</v>
      </c>
      <c r="Q65" s="50">
        <f t="shared" si="3"/>
        <v>39.830939218295534</v>
      </c>
      <c r="R65" s="78"/>
      <c r="S65" s="46" t="str">
        <f t="shared" si="42"/>
        <v>D65</v>
      </c>
      <c r="T65" s="79"/>
      <c r="U65" s="50">
        <f>$J$54*$J$34*($D$54*G27+$E$54*H27+$F$54*I27)</f>
        <v>524.04813989029765</v>
      </c>
      <c r="V65" s="50">
        <f>$J$54*$J$34*($D$55*G27+$E$55*H27+$F$55*I27)</f>
        <v>589.63440617929484</v>
      </c>
      <c r="W65" s="50">
        <f>$J$54*$J$34*($D$56*G27+$E$56*H27+$F$56*I27)</f>
        <v>536.10190988788713</v>
      </c>
      <c r="X65" s="29">
        <f t="shared" si="43"/>
        <v>1649.7844559574796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258</v>
      </c>
      <c r="E66" s="32">
        <f t="shared" si="37"/>
        <v>2878</v>
      </c>
      <c r="F66" s="31">
        <f t="shared" si="38"/>
        <v>218.23834603610467</v>
      </c>
      <c r="G66" s="32">
        <f t="shared" si="39"/>
        <v>2064</v>
      </c>
      <c r="H66" s="33">
        <f t="shared" si="41"/>
        <v>-0.15411493784455554</v>
      </c>
      <c r="I66" s="34">
        <f t="shared" si="40"/>
        <v>-0.28283530229325926</v>
      </c>
      <c r="M66" s="46">
        <f t="shared" si="0"/>
        <v>66.978198971409597</v>
      </c>
      <c r="N66" s="46">
        <f t="shared" si="5"/>
        <v>63</v>
      </c>
      <c r="O66" s="50">
        <f t="shared" si="1"/>
        <v>-21.254333093697568</v>
      </c>
      <c r="P66" s="50">
        <f t="shared" si="2"/>
        <v>45.723865877712022</v>
      </c>
      <c r="Q66" s="50">
        <f t="shared" si="3"/>
        <v>39.503126758299167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259.86648683293862</v>
      </c>
      <c r="V66" s="50">
        <f>$J$54*$J$37*($D$55*G28+$E$55*H28+$F$55*I28)</f>
        <v>218.23834603610467</v>
      </c>
      <c r="W66" s="50">
        <f>$J$54*$J$37*($D$56*G28+$E$56*H28+$F$56*I28)</f>
        <v>-16.450062759444204</v>
      </c>
      <c r="X66" s="29">
        <f t="shared" si="43"/>
        <v>461.6547701095991</v>
      </c>
    </row>
    <row r="67" spans="1:24">
      <c r="A67" s="87"/>
      <c r="B67" s="48" t="str">
        <f t="shared" si="35"/>
        <v>CWF</v>
      </c>
      <c r="C67" s="93"/>
      <c r="D67" s="31">
        <f t="shared" si="36"/>
        <v>1210</v>
      </c>
      <c r="E67" s="32">
        <f t="shared" si="37"/>
        <v>3855</v>
      </c>
      <c r="F67" s="31">
        <f t="shared" si="38"/>
        <v>1357.0622046404296</v>
      </c>
      <c r="G67" s="32">
        <f t="shared" si="39"/>
        <v>3813</v>
      </c>
      <c r="H67" s="33">
        <f t="shared" si="41"/>
        <v>0.12153901209952855</v>
      </c>
      <c r="I67" s="34">
        <f t="shared" si="40"/>
        <v>-1.0894941634241206E-2</v>
      </c>
      <c r="R67" s="78"/>
      <c r="S67" s="46" t="str">
        <f t="shared" si="42"/>
        <v>CWF</v>
      </c>
      <c r="T67" s="79"/>
      <c r="U67" s="50">
        <f>$J$54*$J$37*($D$54*G29+$E$54*H29+$F$54*I29)</f>
        <v>1350.4597759803287</v>
      </c>
      <c r="V67" s="50">
        <f>$J$54*$J$37*($D$55*G29+$E$55*H29+$F$55*I29)</f>
        <v>1357.0622046404296</v>
      </c>
      <c r="W67" s="50">
        <f>$J$54*$J$37*($D$56*G29+$E$56*H29+$F$56*I29)</f>
        <v>716.15180799759344</v>
      </c>
      <c r="X67" s="29">
        <f t="shared" si="43"/>
        <v>3423.6737886183519</v>
      </c>
    </row>
    <row r="68" spans="1:24">
      <c r="A68" s="87"/>
      <c r="B68" s="48" t="str">
        <f t="shared" si="35"/>
        <v>D65</v>
      </c>
      <c r="C68" s="93"/>
      <c r="D68" s="31">
        <f t="shared" si="36"/>
        <v>576.35</v>
      </c>
      <c r="E68" s="32">
        <f t="shared" si="37"/>
        <v>6348</v>
      </c>
      <c r="F68" s="31">
        <f t="shared" si="38"/>
        <v>563.48784080947098</v>
      </c>
      <c r="G68" s="32">
        <f t="shared" si="39"/>
        <v>5918</v>
      </c>
      <c r="H68" s="33">
        <f t="shared" si="41"/>
        <v>-2.231657706346668E-2</v>
      </c>
      <c r="I68" s="34">
        <f t="shared" si="40"/>
        <v>-6.7737870195337169E-2</v>
      </c>
      <c r="R68" s="78"/>
      <c r="S68" s="46" t="str">
        <f t="shared" si="42"/>
        <v>D65</v>
      </c>
      <c r="T68" s="79"/>
      <c r="U68" s="50">
        <f>$J$54*$J$37*($D$54*G30+$E$54*H30+$F$54*I30)</f>
        <v>506.43911300261254</v>
      </c>
      <c r="V68" s="50">
        <f>$J$54*$J$37*($D$55*G30+$E$55*H30+$F$55*I30)</f>
        <v>563.48784080947098</v>
      </c>
      <c r="W68" s="50">
        <f>$J$54*$J$37*($D$56*G30+$E$56*H30+$F$56*I30)</f>
        <v>491.72451953778472</v>
      </c>
      <c r="X68" s="29">
        <f t="shared" si="43"/>
        <v>1561.6514733498682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0.25803040593614446</v>
      </c>
      <c r="G69" s="47"/>
      <c r="H69" s="36" t="str">
        <f>I59</f>
        <v>CCT</v>
      </c>
      <c r="I69" s="38">
        <f>MAX(MAX(I60:I68,-MIN(I60:I68)))</f>
        <v>0.28283530229325926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258</v>
      </c>
      <c r="E72" s="31">
        <f t="shared" ref="E72:E80" si="47">E60</f>
        <v>2878</v>
      </c>
      <c r="F72" s="31">
        <f t="shared" ref="F72:F80" si="48">V72</f>
        <v>326.09537032469046</v>
      </c>
      <c r="G72" s="32">
        <f t="shared" ref="G72:G80" si="49">getCCTfromXY(U72/X72,V72/X72)</f>
        <v>3559</v>
      </c>
      <c r="H72" s="33">
        <f>F72/D72-1</f>
        <v>0.26393554389414908</v>
      </c>
      <c r="I72" s="34">
        <f t="shared" ref="I72:I80" si="50">G72/E72-1</f>
        <v>0.23662265462126486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332.82160439881108</v>
      </c>
      <c r="V72" s="50">
        <f>$J$51*$J$31*($D$52*G22+$E$52*H22+$F$52*I22)</f>
        <v>326.09537032469046</v>
      </c>
      <c r="W72" s="50">
        <f>$J$51*$J$31*($D$53*G22+$E$53*H22+$F$53*I22)</f>
        <v>160.80224772359222</v>
      </c>
      <c r="X72" s="29">
        <f>SUM(U72:W72)</f>
        <v>819.71922244709378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</v>
      </c>
      <c r="E73" s="31">
        <f t="shared" si="47"/>
        <v>3855</v>
      </c>
      <c r="F73" s="31">
        <f t="shared" si="48"/>
        <v>1223.725087342998</v>
      </c>
      <c r="G73" s="32">
        <f t="shared" si="49"/>
        <v>3934</v>
      </c>
      <c r="H73" s="33">
        <f t="shared" ref="H73:H80" si="52">F73/D73-1</f>
        <v>1.1343047390907524E-2</v>
      </c>
      <c r="I73" s="34">
        <f t="shared" si="50"/>
        <v>2.0492866407263222E-2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1209.6076436840813</v>
      </c>
      <c r="V73" s="50">
        <f t="shared" ref="V73:V74" si="55">$J$51*$J$31*($D$52*G23+$E$52*H23+$F$52*I23)</f>
        <v>1223.725087342998</v>
      </c>
      <c r="W73" s="50">
        <f t="shared" ref="W73:W74" si="56">$J$51*$J$31*($D$53*G23+$E$53*H23+$F$53*I23)</f>
        <v>680.13165505722759</v>
      </c>
      <c r="X73" s="29">
        <f t="shared" ref="X73:X80" si="57">SUM(U73:W73)</f>
        <v>3113.4643860843071</v>
      </c>
    </row>
    <row r="74" spans="1:24">
      <c r="A74" s="87"/>
      <c r="B74" s="48" t="str">
        <f t="shared" si="46"/>
        <v>X</v>
      </c>
      <c r="C74" s="93"/>
      <c r="D74" s="31">
        <f t="shared" si="51"/>
        <v>576.35</v>
      </c>
      <c r="E74" s="31">
        <f t="shared" si="47"/>
        <v>6348</v>
      </c>
      <c r="F74" s="31">
        <f t="shared" si="48"/>
        <v>639.03442227070002</v>
      </c>
      <c r="G74" s="32">
        <f t="shared" si="49"/>
        <v>6472</v>
      </c>
      <c r="H74" s="33">
        <f t="shared" si="52"/>
        <v>0.10876103456354635</v>
      </c>
      <c r="I74" s="34">
        <f t="shared" si="50"/>
        <v>1.953371140516702E-2</v>
      </c>
      <c r="R74" s="78"/>
      <c r="S74" s="46" t="str">
        <f t="shared" si="53"/>
        <v>D65</v>
      </c>
      <c r="T74" s="79"/>
      <c r="U74" s="50">
        <f t="shared" si="54"/>
        <v>562.71455818027687</v>
      </c>
      <c r="V74" s="50">
        <f t="shared" si="55"/>
        <v>639.03442227070002</v>
      </c>
      <c r="W74" s="50">
        <f t="shared" si="56"/>
        <v>599.51359516651348</v>
      </c>
      <c r="X74" s="29">
        <f t="shared" si="57"/>
        <v>1801.2625756174903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258</v>
      </c>
      <c r="E75" s="31">
        <f t="shared" si="47"/>
        <v>2878</v>
      </c>
      <c r="F75" s="31">
        <f t="shared" si="48"/>
        <v>343.51596937681944</v>
      </c>
      <c r="G75" s="32">
        <f t="shared" si="49"/>
        <v>3759</v>
      </c>
      <c r="H75" s="33">
        <f t="shared" si="52"/>
        <v>0.33145724564658696</v>
      </c>
      <c r="I75" s="34">
        <f t="shared" si="50"/>
        <v>0.30611535788742184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345.85754029340762</v>
      </c>
      <c r="V75" s="50">
        <f>$J$51*$J$34*($D$52*G25+$E$52*H25+$F$52*I25)</f>
        <v>343.51596937681944</v>
      </c>
      <c r="W75" s="50">
        <f>$J$51*$J$34*($D$53*G25+$E$53*H25+$F$53*I25)</f>
        <v>184.81620673867016</v>
      </c>
      <c r="X75" s="29">
        <f t="shared" si="57"/>
        <v>874.18971640889731</v>
      </c>
    </row>
    <row r="76" spans="1:24">
      <c r="A76" s="87"/>
      <c r="B76" s="48" t="str">
        <f t="shared" si="46"/>
        <v>Z</v>
      </c>
      <c r="C76" s="93"/>
      <c r="D76" s="31">
        <f t="shared" si="51"/>
        <v>1210</v>
      </c>
      <c r="E76" s="31">
        <f t="shared" si="47"/>
        <v>3855</v>
      </c>
      <c r="F76" s="31">
        <f t="shared" si="48"/>
        <v>1203.1434311191626</v>
      </c>
      <c r="G76" s="32">
        <f t="shared" si="49"/>
        <v>3981</v>
      </c>
      <c r="H76" s="33">
        <f t="shared" si="52"/>
        <v>-5.6665858519316936E-3</v>
      </c>
      <c r="I76" s="34">
        <f t="shared" si="50"/>
        <v>3.2684824902723841E-2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1185.9798226331288</v>
      </c>
      <c r="V76" s="50">
        <f t="shared" ref="V76:V77" si="59">$J$51*$J$34*($D$52*G26+$E$52*H26+$F$52*I26)</f>
        <v>1203.1434311191626</v>
      </c>
      <c r="W76" s="50">
        <f t="shared" ref="W76:W77" si="60">$J$51*$J$34*($D$53*G26+$E$53*H26+$F$53*I26)</f>
        <v>680.7241025704667</v>
      </c>
      <c r="X76" s="29">
        <f t="shared" si="57"/>
        <v>3069.8473563227581</v>
      </c>
    </row>
    <row r="77" spans="1:24">
      <c r="A77" s="87"/>
      <c r="B77" s="48" t="str">
        <f t="shared" si="46"/>
        <v>X</v>
      </c>
      <c r="C77" s="93"/>
      <c r="D77" s="31">
        <f t="shared" si="51"/>
        <v>576.35</v>
      </c>
      <c r="E77" s="31">
        <f t="shared" si="47"/>
        <v>6348</v>
      </c>
      <c r="F77" s="31">
        <f t="shared" si="48"/>
        <v>644.28362367942691</v>
      </c>
      <c r="G77" s="32">
        <f t="shared" si="49"/>
        <v>6522</v>
      </c>
      <c r="H77" s="33">
        <f t="shared" si="52"/>
        <v>0.11786869728364158</v>
      </c>
      <c r="I77" s="34">
        <f t="shared" si="50"/>
        <v>2.7410207939508435E-2</v>
      </c>
      <c r="R77" s="78"/>
      <c r="S77" s="46" t="str">
        <f t="shared" si="53"/>
        <v>D65</v>
      </c>
      <c r="T77" s="79"/>
      <c r="U77" s="50">
        <f t="shared" si="58"/>
        <v>566.33746974591349</v>
      </c>
      <c r="V77" s="50">
        <f t="shared" si="59"/>
        <v>644.28362367942691</v>
      </c>
      <c r="W77" s="50">
        <f t="shared" si="60"/>
        <v>608.03790083865499</v>
      </c>
      <c r="X77" s="29">
        <f t="shared" si="57"/>
        <v>1818.6589942639953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258</v>
      </c>
      <c r="E78" s="31">
        <f t="shared" si="47"/>
        <v>2878</v>
      </c>
      <c r="F78" s="31">
        <f t="shared" si="48"/>
        <v>225.10368578648163</v>
      </c>
      <c r="G78" s="32">
        <f t="shared" si="49"/>
        <v>2048</v>
      </c>
      <c r="H78" s="33">
        <f t="shared" si="52"/>
        <v>-0.12750509385084641</v>
      </c>
      <c r="I78" s="34">
        <f t="shared" si="50"/>
        <v>-0.28839471855455179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268.85849476923744</v>
      </c>
      <c r="V78" s="50">
        <f>$J$51*$J$37*($D$52*G28+$E$52*H28+$F$52*I28)</f>
        <v>225.10368578648163</v>
      </c>
      <c r="W78" s="50">
        <f>$J$51*$J$37*($D$53*G28+$E$53*H28+$F$53*I28)</f>
        <v>-18.50746361395948</v>
      </c>
      <c r="X78" s="29">
        <f t="shared" si="57"/>
        <v>475.45471694175961</v>
      </c>
    </row>
    <row r="79" spans="1:24">
      <c r="A79" s="87"/>
      <c r="B79" s="48" t="str">
        <f t="shared" si="46"/>
        <v>Z</v>
      </c>
      <c r="C79" s="93"/>
      <c r="D79" s="31">
        <f t="shared" si="51"/>
        <v>1210</v>
      </c>
      <c r="E79" s="31">
        <f t="shared" si="47"/>
        <v>3855</v>
      </c>
      <c r="F79" s="31">
        <f t="shared" si="48"/>
        <v>1498.3783739538269</v>
      </c>
      <c r="G79" s="32">
        <f t="shared" si="49"/>
        <v>3828</v>
      </c>
      <c r="H79" s="33">
        <f t="shared" si="52"/>
        <v>0.23832923467258427</v>
      </c>
      <c r="I79" s="34">
        <f t="shared" si="50"/>
        <v>-7.0038910505836327E-3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1489.5723005590251</v>
      </c>
      <c r="V79" s="50">
        <f t="shared" ref="V79:V80" si="62">$J$51*$J$37*($D$52*G29+$E$52*H29+$F$52*I29)</f>
        <v>1498.3783739538269</v>
      </c>
      <c r="W79" s="50">
        <f t="shared" ref="W79:W80" si="63">$J$51*$J$37*($D$53*G29+$E$53*H29+$F$53*I29)</f>
        <v>795.41326143505</v>
      </c>
      <c r="X79" s="29">
        <f t="shared" si="57"/>
        <v>3783.3639359479021</v>
      </c>
    </row>
    <row r="80" spans="1:24">
      <c r="A80" s="87"/>
      <c r="B80" s="48" t="str">
        <f t="shared" si="46"/>
        <v>X</v>
      </c>
      <c r="C80" s="93"/>
      <c r="D80" s="31">
        <f t="shared" si="51"/>
        <v>576.35</v>
      </c>
      <c r="E80" s="31">
        <f t="shared" si="47"/>
        <v>6348</v>
      </c>
      <c r="F80" s="31">
        <f t="shared" si="48"/>
        <v>616.7150587461216</v>
      </c>
      <c r="G80" s="32">
        <f t="shared" si="49"/>
        <v>6169</v>
      </c>
      <c r="H80" s="33">
        <f t="shared" si="52"/>
        <v>7.0035670592732746E-2</v>
      </c>
      <c r="I80" s="34">
        <f t="shared" si="50"/>
        <v>-2.8197857592942688E-2</v>
      </c>
      <c r="R80" s="78"/>
      <c r="S80" s="46" t="str">
        <f t="shared" si="53"/>
        <v>D65</v>
      </c>
      <c r="T80" s="79"/>
      <c r="U80" s="50">
        <f t="shared" si="61"/>
        <v>548.97999654531282</v>
      </c>
      <c r="V80" s="50">
        <f t="shared" si="62"/>
        <v>616.7150587461216</v>
      </c>
      <c r="W80" s="50">
        <f t="shared" si="63"/>
        <v>556.89786135996246</v>
      </c>
      <c r="X80" s="29">
        <f t="shared" si="57"/>
        <v>1722.592916651397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0.33145724564658696</v>
      </c>
      <c r="G81" s="47"/>
      <c r="H81" s="36" t="str">
        <f>I71</f>
        <v>CCT</v>
      </c>
      <c r="I81" s="38">
        <f>MAX(MAX(I72:I80,-MIN(I72:I80)))</f>
        <v>0.30611535788742184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258</v>
      </c>
      <c r="E84" s="31">
        <f t="shared" ref="E84:E92" si="67">E72</f>
        <v>2878</v>
      </c>
      <c r="F84" s="31">
        <f t="shared" ref="F84:F92" si="68">V84</f>
        <v>258.00000000000057</v>
      </c>
      <c r="G84" s="32">
        <f t="shared" ref="G84:G92" si="69">getCCTfromXY(U84/X84,V84/X84)</f>
        <v>2878</v>
      </c>
      <c r="H84" s="33">
        <f>F84/D84-1</f>
        <v>2.2204460492503131E-15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278.25000000000063</v>
      </c>
      <c r="V84" s="50">
        <f>$J$42*$J$31*($D$43*G22+$E$43*H22+$F$43*I22)</f>
        <v>258.00000000000057</v>
      </c>
      <c r="W84" s="50">
        <f>$J$42*$J$31*($D$44*G22+$E$44*H22+$F$44*I22)</f>
        <v>77.999999999999417</v>
      </c>
      <c r="X84" s="29">
        <f>SUM(U84:W84)</f>
        <v>614.25000000000057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</v>
      </c>
      <c r="E85" s="31">
        <f t="shared" si="67"/>
        <v>3855</v>
      </c>
      <c r="F85" s="31">
        <f t="shared" si="68"/>
        <v>1210</v>
      </c>
      <c r="G85" s="32">
        <f t="shared" si="69"/>
        <v>3855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1201.5000000000002</v>
      </c>
      <c r="V85" s="50">
        <f t="shared" ref="V85:V86" si="75">$J$42*$J$31*($D$43*G23+$E$43*H23+$F$43*I23)</f>
        <v>1210</v>
      </c>
      <c r="W85" s="50">
        <f t="shared" ref="W85:W86" si="76">$J$42*$J$31*($D$44*G23+$E$44*H23+$F$44*I23)</f>
        <v>650.99999999999989</v>
      </c>
      <c r="X85" s="29">
        <f t="shared" ref="X85:X92" si="77">SUM(U85:W85)</f>
        <v>3062.5</v>
      </c>
    </row>
    <row r="86" spans="1:24">
      <c r="A86" s="87"/>
      <c r="B86" s="48">
        <f t="shared" si="66"/>
        <v>0</v>
      </c>
      <c r="C86" s="93"/>
      <c r="D86" s="31">
        <f t="shared" si="71"/>
        <v>576.35</v>
      </c>
      <c r="E86" s="31">
        <f t="shared" si="67"/>
        <v>6348</v>
      </c>
      <c r="F86" s="31">
        <f t="shared" si="68"/>
        <v>576.35000000000014</v>
      </c>
      <c r="G86" s="32">
        <f t="shared" si="69"/>
        <v>6348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509.75000000000034</v>
      </c>
      <c r="V86" s="50">
        <f t="shared" si="75"/>
        <v>576.35000000000014</v>
      </c>
      <c r="W86" s="50">
        <f t="shared" si="76"/>
        <v>532.6</v>
      </c>
      <c r="X86" s="29">
        <f t="shared" si="77"/>
        <v>1618.7000000000003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258</v>
      </c>
      <c r="E87" s="31">
        <f t="shared" si="67"/>
        <v>2878</v>
      </c>
      <c r="F87" s="31">
        <f t="shared" si="68"/>
        <v>258.00000000000063</v>
      </c>
      <c r="G87" s="32">
        <f t="shared" si="69"/>
        <v>2878</v>
      </c>
      <c r="H87" s="33">
        <f t="shared" si="72"/>
        <v>2.4424906541753444E-15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278.25000000000063</v>
      </c>
      <c r="V87" s="50">
        <f>$J$45*$J$34*($D$46*G25+$E$46*H25+$F$46*I25)</f>
        <v>258.00000000000063</v>
      </c>
      <c r="W87" s="50">
        <f>$J$45*$J$34*($D$47*G25+$E$47*H25+$F$47*I25)</f>
        <v>77.999999999999616</v>
      </c>
      <c r="X87" s="29">
        <f t="shared" si="77"/>
        <v>614.25000000000091</v>
      </c>
    </row>
    <row r="88" spans="1:24">
      <c r="A88" s="87"/>
      <c r="B88" s="48">
        <f t="shared" si="66"/>
        <v>0</v>
      </c>
      <c r="C88" s="93"/>
      <c r="D88" s="31">
        <f t="shared" si="71"/>
        <v>1210</v>
      </c>
      <c r="E88" s="31">
        <f t="shared" si="67"/>
        <v>3855</v>
      </c>
      <c r="F88" s="31">
        <f t="shared" si="68"/>
        <v>1210.0000000000005</v>
      </c>
      <c r="G88" s="32">
        <f t="shared" si="69"/>
        <v>3855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1201.5000000000005</v>
      </c>
      <c r="V88" s="50">
        <f t="shared" ref="V88:V89" si="79">$J$45*$J$34*($D$46*G26+$E$46*H26+$F$46*I26)</f>
        <v>1210.0000000000005</v>
      </c>
      <c r="W88" s="50">
        <f t="shared" ref="W88:W89" si="80">$J$45*$J$34*($D$47*G26+$E$47*H26+$F$47*I26)</f>
        <v>651</v>
      </c>
      <c r="X88" s="29">
        <f t="shared" si="77"/>
        <v>3062.5000000000009</v>
      </c>
    </row>
    <row r="89" spans="1:24">
      <c r="A89" s="87"/>
      <c r="B89" s="48" t="str">
        <f t="shared" si="66"/>
        <v>A</v>
      </c>
      <c r="C89" s="93"/>
      <c r="D89" s="31">
        <f t="shared" si="71"/>
        <v>576.35</v>
      </c>
      <c r="E89" s="31">
        <f t="shared" si="67"/>
        <v>6348</v>
      </c>
      <c r="F89" s="31">
        <f t="shared" si="68"/>
        <v>576.35000000000014</v>
      </c>
      <c r="G89" s="32">
        <f t="shared" si="69"/>
        <v>6348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509.75000000000017</v>
      </c>
      <c r="V89" s="50">
        <f t="shared" si="79"/>
        <v>576.35000000000014</v>
      </c>
      <c r="W89" s="50">
        <f t="shared" si="80"/>
        <v>532.6</v>
      </c>
      <c r="X89" s="29">
        <f t="shared" si="77"/>
        <v>1618.7000000000003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258</v>
      </c>
      <c r="E90" s="31">
        <f t="shared" si="67"/>
        <v>2878</v>
      </c>
      <c r="F90" s="31">
        <f t="shared" si="68"/>
        <v>258</v>
      </c>
      <c r="G90" s="32">
        <f t="shared" si="69"/>
        <v>2878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278.24999999999983</v>
      </c>
      <c r="V90" s="50">
        <f>$J$48*$J$37*($D$49*G28+$E$49*H28+$F$49*I28)</f>
        <v>258</v>
      </c>
      <c r="W90" s="50">
        <f>$J$48*$J$37*($D$50*G28+$E$50*H28+$F$50*I28)</f>
        <v>78.000000000000384</v>
      </c>
      <c r="X90" s="29">
        <f t="shared" si="77"/>
        <v>614.25000000000011</v>
      </c>
    </row>
    <row r="91" spans="1:24">
      <c r="A91" s="87"/>
      <c r="B91" s="48" t="str">
        <f t="shared" si="66"/>
        <v>D65</v>
      </c>
      <c r="C91" s="93"/>
      <c r="D91" s="31">
        <f t="shared" si="71"/>
        <v>1210</v>
      </c>
      <c r="E91" s="31">
        <f t="shared" si="67"/>
        <v>3855</v>
      </c>
      <c r="F91" s="31">
        <f t="shared" si="68"/>
        <v>1209.9999999999998</v>
      </c>
      <c r="G91" s="32">
        <f t="shared" si="69"/>
        <v>3855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1201.5</v>
      </c>
      <c r="V91" s="50">
        <f t="shared" ref="V91:V92" si="82">$J$48*$J$37*($D$49*G29+$E$49*H29+$F$49*I29)</f>
        <v>1209.9999999999998</v>
      </c>
      <c r="W91" s="50">
        <f t="shared" ref="W91:W92" si="83">$J$48*$J$37*($D$50*G29+$E$50*H29+$F$50*I29)</f>
        <v>651.00000000000011</v>
      </c>
      <c r="X91" s="29">
        <f t="shared" si="77"/>
        <v>3062.5</v>
      </c>
    </row>
    <row r="92" spans="1:24">
      <c r="A92" s="87"/>
      <c r="B92" s="48" t="str">
        <f t="shared" si="66"/>
        <v>A</v>
      </c>
      <c r="C92" s="93"/>
      <c r="D92" s="31">
        <f t="shared" si="71"/>
        <v>576.35</v>
      </c>
      <c r="E92" s="31">
        <f t="shared" si="67"/>
        <v>6348</v>
      </c>
      <c r="F92" s="31">
        <f t="shared" si="68"/>
        <v>576.3499999999998</v>
      </c>
      <c r="G92" s="32">
        <f t="shared" si="69"/>
        <v>6348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509.74999999999989</v>
      </c>
      <c r="V92" s="50">
        <f t="shared" si="82"/>
        <v>576.3499999999998</v>
      </c>
      <c r="W92" s="50">
        <f t="shared" si="83"/>
        <v>532.60000000000014</v>
      </c>
      <c r="X92" s="29">
        <f t="shared" si="77"/>
        <v>1618.6999999999998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2.4424906541753444E-15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4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5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1.805653548734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73.813121182555818</v>
      </c>
      <c r="N3" s="46">
        <v>0</v>
      </c>
      <c r="O3" s="50">
        <f>G$5-N3*G$7</f>
        <v>123.19862269396005</v>
      </c>
      <c r="P3" s="50">
        <f>H$5-N3*H$7</f>
        <v>49.385501511404222</v>
      </c>
      <c r="Q3" s="50">
        <f>I$5-N3*I$7</f>
        <v>59.578167912393532</v>
      </c>
    </row>
    <row r="4" spans="1:17">
      <c r="C4" s="46" t="s">
        <v>20</v>
      </c>
      <c r="D4" s="7">
        <v>527.6</v>
      </c>
      <c r="E4" s="7">
        <v>1213</v>
      </c>
      <c r="F4" s="7">
        <v>575.29999999999995</v>
      </c>
      <c r="G4" s="50">
        <f>AVERAGE(D4:F4)</f>
        <v>771.96666666666658</v>
      </c>
      <c r="H4" s="50">
        <f>G4</f>
        <v>771.96666666666658</v>
      </c>
      <c r="I4" s="50">
        <f>H4</f>
        <v>771.96666666666658</v>
      </c>
      <c r="K4" s="13" t="str">
        <f>linefmt("Compensation",B12)</f>
        <v>"Compensation",37,</v>
      </c>
      <c r="M4" s="46">
        <f t="shared" si="0"/>
        <v>71.8578830364265</v>
      </c>
      <c r="N4" s="46">
        <f>N3+1</f>
        <v>1</v>
      </c>
      <c r="O4" s="50">
        <f t="shared" ref="O4:O66" si="1">G$5-N4*G$7</f>
        <v>121.15994398113047</v>
      </c>
      <c r="P4" s="50">
        <f t="shared" ref="P4:P66" si="2">H$5-N4*H$7</f>
        <v>49.302060944703967</v>
      </c>
      <c r="Q4" s="50">
        <f t="shared" ref="Q4:Q66" si="3">I$5-N4*I$7</f>
        <v>59.268051322659353</v>
      </c>
    </row>
    <row r="5" spans="1:17">
      <c r="C5" s="46">
        <v>0</v>
      </c>
      <c r="D5" s="9">
        <v>84.2</v>
      </c>
      <c r="E5" s="9">
        <v>77.599999999999994</v>
      </c>
      <c r="F5" s="9">
        <v>44.4</v>
      </c>
      <c r="G5" s="50">
        <f>G$4/D$4*D5</f>
        <v>123.19862269396005</v>
      </c>
      <c r="H5" s="50">
        <f t="shared" ref="H5:I6" si="4">H$4/E$4*E5</f>
        <v>49.385501511404222</v>
      </c>
      <c r="I5" s="50">
        <f t="shared" si="4"/>
        <v>59.578167912393532</v>
      </c>
      <c r="K5" s="14" t="str">
        <f>linefmt("CardGain",J54)</f>
        <v>"CardGain",16.27742,</v>
      </c>
      <c r="M5" s="46">
        <f t="shared" si="0"/>
        <v>69.902644890297154</v>
      </c>
      <c r="N5" s="46">
        <f t="shared" ref="N5:N66" si="5">N4+1</f>
        <v>2</v>
      </c>
      <c r="O5" s="50">
        <f t="shared" si="1"/>
        <v>119.12126526830087</v>
      </c>
      <c r="P5" s="50">
        <f t="shared" si="2"/>
        <v>49.218620378003713</v>
      </c>
      <c r="Q5" s="50">
        <f t="shared" si="3"/>
        <v>58.957934732925168</v>
      </c>
    </row>
    <row r="6" spans="1:17">
      <c r="B6" s="50">
        <f>D5/4</f>
        <v>21.05</v>
      </c>
      <c r="C6" s="7">
        <v>45</v>
      </c>
      <c r="D6" s="9">
        <v>21.5</v>
      </c>
      <c r="E6" s="9">
        <v>71.7</v>
      </c>
      <c r="F6" s="9">
        <v>34</v>
      </c>
      <c r="G6" s="50">
        <f>G$4/D$4*D6</f>
        <v>31.458080616628752</v>
      </c>
      <c r="H6" s="50">
        <f t="shared" si="4"/>
        <v>45.630676009892824</v>
      </c>
      <c r="I6" s="50">
        <f t="shared" si="4"/>
        <v>45.622921374355407</v>
      </c>
      <c r="K6" s="14" t="str">
        <f>linefmt("Range",1,J34,J37)</f>
        <v>"Range",1,0.9728727,0.8459678,</v>
      </c>
      <c r="M6" s="46">
        <f t="shared" si="0"/>
        <v>67.947406744167836</v>
      </c>
      <c r="N6" s="46">
        <f t="shared" si="5"/>
        <v>3</v>
      </c>
      <c r="O6" s="50">
        <f t="shared" si="1"/>
        <v>117.08258655547129</v>
      </c>
      <c r="P6" s="50">
        <f t="shared" si="2"/>
        <v>49.135179811303459</v>
      </c>
      <c r="Q6" s="50">
        <f t="shared" si="3"/>
        <v>58.647818143190989</v>
      </c>
    </row>
    <row r="7" spans="1:17">
      <c r="C7" s="46">
        <f>C5</f>
        <v>0</v>
      </c>
      <c r="D7" s="46">
        <f t="shared" ref="D7:F8" si="6">D$4/D5</f>
        <v>6.2660332541567696</v>
      </c>
      <c r="E7" s="46">
        <f t="shared" si="6"/>
        <v>15.631443298969073</v>
      </c>
      <c r="F7" s="46">
        <f t="shared" si="6"/>
        <v>12.957207207207206</v>
      </c>
      <c r="G7" s="49">
        <f>(G5-G6)/($C6-$C5)</f>
        <v>2.0386787128295842</v>
      </c>
      <c r="H7" s="49">
        <f t="shared" ref="H7:I7" si="7">(H5-H6)/($C6-$C5)</f>
        <v>8.3440566700253294E-2</v>
      </c>
      <c r="I7" s="49">
        <f t="shared" si="7"/>
        <v>0.31011658973418055</v>
      </c>
      <c r="K7" s="14" t="str">
        <f>linefmt("CCM" )</f>
        <v>"CCM",</v>
      </c>
      <c r="M7" s="46">
        <f t="shared" si="0"/>
        <v>65.992168598038504</v>
      </c>
      <c r="N7" s="46">
        <f t="shared" si="5"/>
        <v>4</v>
      </c>
      <c r="O7" s="50">
        <f t="shared" si="1"/>
        <v>115.04390784264172</v>
      </c>
      <c r="P7" s="50">
        <f t="shared" si="2"/>
        <v>49.051739244603212</v>
      </c>
      <c r="Q7" s="50">
        <f t="shared" si="3"/>
        <v>58.33770155345681</v>
      </c>
    </row>
    <row r="8" spans="1:17">
      <c r="C8" s="46">
        <f>C6</f>
        <v>45</v>
      </c>
      <c r="D8" s="46">
        <f t="shared" si="6"/>
        <v>24.539534883720933</v>
      </c>
      <c r="E8" s="46">
        <f t="shared" si="6"/>
        <v>16.917712691771268</v>
      </c>
      <c r="F8" s="46">
        <f t="shared" si="6"/>
        <v>16.920588235294115</v>
      </c>
      <c r="K8" s="15" t="str">
        <f>linefmt("",D54,E54,F54)</f>
        <v>0.1895878,1.036927,-0.3677636,</v>
      </c>
      <c r="M8" s="46">
        <f t="shared" si="0"/>
        <v>64.036930451909171</v>
      </c>
      <c r="N8" s="46">
        <f t="shared" si="5"/>
        <v>5</v>
      </c>
      <c r="O8" s="50">
        <f t="shared" si="1"/>
        <v>113.00522912981212</v>
      </c>
      <c r="P8" s="50">
        <f t="shared" si="2"/>
        <v>48.968298677902958</v>
      </c>
      <c r="Q8" s="50">
        <f t="shared" si="3"/>
        <v>58.027584963722632</v>
      </c>
    </row>
    <row r="9" spans="1:17">
      <c r="C9" s="46" t="s">
        <v>23</v>
      </c>
      <c r="D9" s="46">
        <f>(D8-D7)/($C8-$C7)</f>
        <v>0.40607781399031473</v>
      </c>
      <c r="E9" s="46">
        <f>(E8-E7)/($C8-$C7)</f>
        <v>2.8583764284493225E-2</v>
      </c>
      <c r="F9" s="46">
        <f>(F8-F7)/($C8-$C7)</f>
        <v>8.8075133957486867E-2</v>
      </c>
      <c r="K9" s="15" t="str">
        <f>linefmt("",D55,E55,F55)</f>
        <v>2.131464E-02,1,-3.235926E-02,</v>
      </c>
      <c r="M9" s="46">
        <f t="shared" si="0"/>
        <v>62.081692305779839</v>
      </c>
      <c r="N9" s="46">
        <f t="shared" si="5"/>
        <v>6</v>
      </c>
      <c r="O9" s="50">
        <f t="shared" si="1"/>
        <v>110.96655041698254</v>
      </c>
      <c r="P9" s="50">
        <f t="shared" si="2"/>
        <v>48.884858111202703</v>
      </c>
      <c r="Q9" s="50">
        <f t="shared" si="3"/>
        <v>57.717468373988446</v>
      </c>
    </row>
    <row r="10" spans="1:17">
      <c r="K10" s="16" t="str">
        <f>linefmt("",D56,E56,F56)</f>
        <v>-0.5547329,0.3500131,1.18331,</v>
      </c>
      <c r="M10" s="46">
        <f t="shared" si="0"/>
        <v>60.126454159650514</v>
      </c>
      <c r="N10" s="46">
        <f t="shared" si="5"/>
        <v>7</v>
      </c>
      <c r="O10" s="50">
        <f t="shared" si="1"/>
        <v>108.92787170415296</v>
      </c>
      <c r="P10" s="50">
        <f t="shared" si="2"/>
        <v>48.801417544502449</v>
      </c>
      <c r="Q10" s="50">
        <f t="shared" si="3"/>
        <v>57.407351784254267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58.171216013521175</v>
      </c>
      <c r="N11" s="46">
        <f t="shared" si="5"/>
        <v>8</v>
      </c>
      <c r="O11" s="50">
        <f t="shared" si="1"/>
        <v>106.88919299132337</v>
      </c>
      <c r="P11" s="50">
        <f t="shared" si="2"/>
        <v>48.717976977802195</v>
      </c>
      <c r="Q11" s="50">
        <f t="shared" si="3"/>
        <v>57.097235194520088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56.21597786739185</v>
      </c>
      <c r="N12" s="46">
        <f t="shared" si="5"/>
        <v>9</v>
      </c>
      <c r="O12" s="50">
        <f t="shared" si="1"/>
        <v>104.85051427849379</v>
      </c>
      <c r="P12" s="50">
        <f t="shared" si="2"/>
        <v>48.634536411101941</v>
      </c>
      <c r="Q12" s="50">
        <f t="shared" si="3"/>
        <v>56.78711860478591</v>
      </c>
    </row>
    <row r="13" spans="1:17">
      <c r="A13" s="78" t="s">
        <v>12</v>
      </c>
      <c r="B13" s="79" t="s">
        <v>0</v>
      </c>
      <c r="C13" s="46">
        <v>0</v>
      </c>
      <c r="D13" s="7">
        <v>551.6</v>
      </c>
      <c r="E13" s="7">
        <v>511.7</v>
      </c>
      <c r="F13" s="7">
        <v>155.6</v>
      </c>
      <c r="G13" s="8">
        <v>82.9</v>
      </c>
      <c r="H13" s="8">
        <v>31.7</v>
      </c>
      <c r="I13" s="8">
        <v>39.299999999999997</v>
      </c>
      <c r="M13" s="46">
        <f t="shared" si="0"/>
        <v>54.260739721262524</v>
      </c>
      <c r="N13" s="46">
        <f t="shared" si="5"/>
        <v>10</v>
      </c>
      <c r="O13" s="50">
        <f t="shared" si="1"/>
        <v>102.81183556566421</v>
      </c>
      <c r="P13" s="50">
        <f t="shared" si="2"/>
        <v>48.551095844401686</v>
      </c>
      <c r="Q13" s="50">
        <f t="shared" si="3"/>
        <v>56.477002015051724</v>
      </c>
    </row>
    <row r="14" spans="1:17">
      <c r="A14" s="78"/>
      <c r="B14" s="79"/>
      <c r="C14" s="46">
        <f>C13+1</f>
        <v>1</v>
      </c>
      <c r="D14" s="7">
        <v>557.20000000000005</v>
      </c>
      <c r="E14" s="7">
        <v>516.79999999999995</v>
      </c>
      <c r="F14" s="7">
        <v>155.4</v>
      </c>
      <c r="G14" s="8">
        <v>84.6</v>
      </c>
      <c r="H14" s="8">
        <v>33</v>
      </c>
      <c r="I14" s="8">
        <v>40.700000000000003</v>
      </c>
      <c r="M14" s="46">
        <f t="shared" si="0"/>
        <v>52.305501575133185</v>
      </c>
      <c r="N14" s="46">
        <f t="shared" si="5"/>
        <v>11</v>
      </c>
      <c r="O14" s="50">
        <f t="shared" si="1"/>
        <v>100.77315685283462</v>
      </c>
      <c r="P14" s="50">
        <f t="shared" si="2"/>
        <v>48.467655277701432</v>
      </c>
      <c r="Q14" s="50">
        <f t="shared" si="3"/>
        <v>56.166885425317545</v>
      </c>
    </row>
    <row r="15" spans="1:17">
      <c r="A15" s="78"/>
      <c r="B15" s="79"/>
      <c r="C15" s="46">
        <f>C14+1</f>
        <v>2</v>
      </c>
      <c r="D15" s="6">
        <f>2*(D13-D14)/(D13+D14)</f>
        <v>-1.010101010101014E-2</v>
      </c>
      <c r="E15" s="6">
        <f t="shared" ref="E15:F15" si="8">2*(E13-E14)/(E13+E14)</f>
        <v>-9.9173553719007594E-3</v>
      </c>
      <c r="F15" s="6">
        <f t="shared" si="8"/>
        <v>1.2861736334404414E-3</v>
      </c>
      <c r="G15" s="8">
        <v>108</v>
      </c>
      <c r="H15" s="8">
        <v>35.700000000000003</v>
      </c>
      <c r="I15" s="8">
        <v>45.9</v>
      </c>
      <c r="M15" s="46">
        <f t="shared" si="0"/>
        <v>50.350263429003853</v>
      </c>
      <c r="N15" s="46">
        <f t="shared" si="5"/>
        <v>12</v>
      </c>
      <c r="O15" s="50">
        <f t="shared" si="1"/>
        <v>98.734478140005038</v>
      </c>
      <c r="P15" s="50">
        <f t="shared" si="2"/>
        <v>48.384214711001185</v>
      </c>
      <c r="Q15" s="50">
        <f t="shared" si="3"/>
        <v>55.856768835583367</v>
      </c>
    </row>
    <row r="16" spans="1:17">
      <c r="A16" s="78"/>
      <c r="B16" s="79" t="s">
        <v>1</v>
      </c>
      <c r="C16" s="46">
        <f>C13</f>
        <v>0</v>
      </c>
      <c r="D16" s="7">
        <v>1189</v>
      </c>
      <c r="E16" s="7">
        <v>1197</v>
      </c>
      <c r="F16" s="7">
        <v>643</v>
      </c>
      <c r="G16" s="8">
        <v>61.6</v>
      </c>
      <c r="H16" s="8">
        <v>71.900000000000006</v>
      </c>
      <c r="I16" s="8">
        <v>39.5</v>
      </c>
      <c r="M16" s="46">
        <f t="shared" si="0"/>
        <v>48.395025282874514</v>
      </c>
      <c r="N16" s="46">
        <f t="shared" si="5"/>
        <v>13</v>
      </c>
      <c r="O16" s="50">
        <f t="shared" si="1"/>
        <v>96.695799427175444</v>
      </c>
      <c r="P16" s="50">
        <f t="shared" si="2"/>
        <v>48.300774144300931</v>
      </c>
      <c r="Q16" s="50">
        <f t="shared" si="3"/>
        <v>55.546652245849188</v>
      </c>
    </row>
    <row r="17" spans="1:21">
      <c r="A17" s="78"/>
      <c r="B17" s="79"/>
      <c r="C17" s="46">
        <f t="shared" ref="C17:C21" si="9">C14</f>
        <v>1</v>
      </c>
      <c r="D17" s="7">
        <v>1190</v>
      </c>
      <c r="E17" s="7">
        <v>1199</v>
      </c>
      <c r="F17" s="7">
        <v>643</v>
      </c>
      <c r="G17" s="8">
        <v>63</v>
      </c>
      <c r="H17" s="8">
        <v>72.900000000000006</v>
      </c>
      <c r="I17" s="8">
        <v>40.9</v>
      </c>
      <c r="M17" s="46">
        <f t="shared" si="0"/>
        <v>46.439787136745188</v>
      </c>
      <c r="N17" s="46">
        <f t="shared" si="5"/>
        <v>14</v>
      </c>
      <c r="O17" s="50">
        <f t="shared" si="1"/>
        <v>94.657120714345865</v>
      </c>
      <c r="P17" s="50">
        <f t="shared" si="2"/>
        <v>48.217333577600677</v>
      </c>
      <c r="Q17" s="50">
        <f t="shared" si="3"/>
        <v>55.236535656115002</v>
      </c>
    </row>
    <row r="18" spans="1:21">
      <c r="A18" s="78"/>
      <c r="B18" s="79"/>
      <c r="C18" s="46">
        <f t="shared" si="9"/>
        <v>2</v>
      </c>
      <c r="D18" s="6">
        <f>2*(D16-D17)/(D16+D17)</f>
        <v>-8.4068936527952921E-4</v>
      </c>
      <c r="E18" s="6">
        <f t="shared" ref="E18:F18" si="10">2*(E16-E17)/(E16+E17)</f>
        <v>-1.6694490818030051E-3</v>
      </c>
      <c r="F18" s="6">
        <f t="shared" si="10"/>
        <v>0</v>
      </c>
      <c r="G18" s="8">
        <v>65.099999999999994</v>
      </c>
      <c r="H18" s="8">
        <v>91.6</v>
      </c>
      <c r="I18" s="8">
        <v>46.1</v>
      </c>
      <c r="M18" s="46">
        <f t="shared" si="0"/>
        <v>44.484548990615863</v>
      </c>
      <c r="N18" s="46">
        <f t="shared" si="5"/>
        <v>15</v>
      </c>
      <c r="O18" s="50">
        <f t="shared" si="1"/>
        <v>92.618442001516286</v>
      </c>
      <c r="P18" s="50">
        <f t="shared" si="2"/>
        <v>48.133893010900422</v>
      </c>
      <c r="Q18" s="50">
        <f t="shared" si="3"/>
        <v>54.926419066380824</v>
      </c>
    </row>
    <row r="19" spans="1:21">
      <c r="A19" s="78"/>
      <c r="B19" s="79" t="s">
        <v>2</v>
      </c>
      <c r="C19" s="46">
        <f t="shared" si="9"/>
        <v>0</v>
      </c>
      <c r="D19" s="7">
        <v>509.7</v>
      </c>
      <c r="E19" s="7">
        <v>576.5</v>
      </c>
      <c r="F19" s="7">
        <v>531.9</v>
      </c>
      <c r="G19" s="8">
        <v>27.2</v>
      </c>
      <c r="H19" s="8">
        <v>35.799999999999997</v>
      </c>
      <c r="I19" s="8">
        <v>29.7</v>
      </c>
      <c r="M19" s="46">
        <f t="shared" si="0"/>
        <v>42.529310844486538</v>
      </c>
      <c r="N19" s="46">
        <f t="shared" si="5"/>
        <v>16</v>
      </c>
      <c r="O19" s="50">
        <f t="shared" si="1"/>
        <v>90.579763288686706</v>
      </c>
      <c r="P19" s="50">
        <f t="shared" si="2"/>
        <v>48.050452444200168</v>
      </c>
      <c r="Q19" s="50">
        <f t="shared" si="3"/>
        <v>54.616302476646645</v>
      </c>
    </row>
    <row r="20" spans="1:21">
      <c r="A20" s="78"/>
      <c r="B20" s="79"/>
      <c r="C20" s="46">
        <f t="shared" si="9"/>
        <v>1</v>
      </c>
      <c r="D20" s="7">
        <v>510.9</v>
      </c>
      <c r="E20" s="7">
        <v>577.5</v>
      </c>
      <c r="F20" s="7">
        <v>532</v>
      </c>
      <c r="G20" s="8">
        <v>28.3</v>
      </c>
      <c r="H20" s="8">
        <v>37.1</v>
      </c>
      <c r="I20" s="8">
        <v>30.8</v>
      </c>
      <c r="M20" s="46">
        <f t="shared" si="0"/>
        <v>40.574072698357199</v>
      </c>
      <c r="N20" s="46">
        <f t="shared" si="5"/>
        <v>17</v>
      </c>
      <c r="O20" s="50">
        <f t="shared" si="1"/>
        <v>88.541084575857113</v>
      </c>
      <c r="P20" s="50">
        <f t="shared" si="2"/>
        <v>47.967011877499914</v>
      </c>
      <c r="Q20" s="50">
        <f t="shared" si="3"/>
        <v>54.306185886912459</v>
      </c>
    </row>
    <row r="21" spans="1:21">
      <c r="A21" s="78"/>
      <c r="B21" s="79"/>
      <c r="C21" s="46">
        <f t="shared" si="9"/>
        <v>2</v>
      </c>
      <c r="D21" s="6">
        <f>2*(D19-D20)/(D19+D20)</f>
        <v>-2.3515579071134406E-3</v>
      </c>
      <c r="E21" s="6">
        <f t="shared" ref="E21:F21" si="11">2*(E19-E20)/(E19+E20)</f>
        <v>-1.7331022530329288E-3</v>
      </c>
      <c r="F21" s="6">
        <f t="shared" si="11"/>
        <v>-1.8798759281891668E-4</v>
      </c>
      <c r="G21" s="8">
        <v>29.5</v>
      </c>
      <c r="H21" s="8">
        <v>41.5</v>
      </c>
      <c r="I21" s="8">
        <v>32.6</v>
      </c>
      <c r="M21" s="46">
        <f t="shared" si="0"/>
        <v>38.618834552227874</v>
      </c>
      <c r="N21" s="46">
        <f t="shared" si="5"/>
        <v>18</v>
      </c>
      <c r="O21" s="50">
        <f t="shared" si="1"/>
        <v>86.502405863027533</v>
      </c>
      <c r="P21" s="50">
        <f t="shared" si="2"/>
        <v>47.88357131079966</v>
      </c>
      <c r="Q21" s="50">
        <f t="shared" si="3"/>
        <v>53.996069297178281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554.40000000000009</v>
      </c>
      <c r="E22" s="46">
        <f t="shared" ref="E22:F22" si="12">(E13+E14)/2</f>
        <v>514.25</v>
      </c>
      <c r="F22" s="46">
        <f t="shared" si="12"/>
        <v>155.5</v>
      </c>
      <c r="G22" s="5">
        <f>G13</f>
        <v>82.9</v>
      </c>
      <c r="H22" s="5">
        <f t="shared" ref="H22:I22" si="13">H13</f>
        <v>31.7</v>
      </c>
      <c r="I22" s="5">
        <f t="shared" si="13"/>
        <v>39.299999999999997</v>
      </c>
      <c r="J22" s="99">
        <f>AVERAGE(G22:I24)</f>
        <v>46.62222222222222</v>
      </c>
      <c r="M22" s="46">
        <f t="shared" si="0"/>
        <v>36.663596406098527</v>
      </c>
      <c r="N22" s="46">
        <f t="shared" si="5"/>
        <v>19</v>
      </c>
      <c r="O22" s="50">
        <f t="shared" si="1"/>
        <v>84.46372715019794</v>
      </c>
      <c r="P22" s="50">
        <f t="shared" si="2"/>
        <v>47.800130744099413</v>
      </c>
      <c r="Q22" s="50">
        <f t="shared" si="3"/>
        <v>53.685952707444102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1189.5</v>
      </c>
      <c r="E23" s="46">
        <f>(E16+E17)/2</f>
        <v>1198</v>
      </c>
      <c r="F23" s="46">
        <f>(F16+F17)/2</f>
        <v>643</v>
      </c>
      <c r="G23" s="5">
        <f>G16</f>
        <v>61.6</v>
      </c>
      <c r="H23" s="5">
        <f>H16</f>
        <v>71.900000000000006</v>
      </c>
      <c r="I23" s="5">
        <f>I16</f>
        <v>39.5</v>
      </c>
      <c r="J23" s="99"/>
      <c r="M23" s="46">
        <f t="shared" si="0"/>
        <v>34.708358259969202</v>
      </c>
      <c r="N23" s="46">
        <f t="shared" si="5"/>
        <v>20</v>
      </c>
      <c r="O23" s="50">
        <f t="shared" si="1"/>
        <v>82.425048437368361</v>
      </c>
      <c r="P23" s="50">
        <f t="shared" si="2"/>
        <v>47.716690177399158</v>
      </c>
      <c r="Q23" s="50">
        <f t="shared" si="3"/>
        <v>53.375836117709923</v>
      </c>
    </row>
    <row r="24" spans="1:21">
      <c r="A24" s="78"/>
      <c r="B24" s="46" t="str">
        <f>B19</f>
        <v>D65</v>
      </c>
      <c r="C24" s="79"/>
      <c r="D24" s="46">
        <f>(D19+D20)/2</f>
        <v>510.29999999999995</v>
      </c>
      <c r="E24" s="46">
        <f>(E19+E20)/2</f>
        <v>577</v>
      </c>
      <c r="F24" s="46">
        <f>(F19+F20)/2</f>
        <v>531.95000000000005</v>
      </c>
      <c r="G24" s="5">
        <f>G19</f>
        <v>27.2</v>
      </c>
      <c r="H24" s="5">
        <f>H19</f>
        <v>35.799999999999997</v>
      </c>
      <c r="I24" s="5">
        <f>I19</f>
        <v>29.7</v>
      </c>
      <c r="J24" s="99"/>
      <c r="M24" s="46">
        <f t="shared" si="0"/>
        <v>32.753120113839877</v>
      </c>
      <c r="N24" s="46">
        <f t="shared" si="5"/>
        <v>21</v>
      </c>
      <c r="O24" s="50">
        <f t="shared" si="1"/>
        <v>80.386369724538781</v>
      </c>
      <c r="P24" s="50">
        <f t="shared" si="2"/>
        <v>47.633249610698904</v>
      </c>
      <c r="Q24" s="50">
        <f t="shared" si="3"/>
        <v>53.065719527975737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554.40000000000009</v>
      </c>
      <c r="E25" s="46">
        <f t="shared" ref="E25:F25" si="15">(E13+E14)/2</f>
        <v>514.25</v>
      </c>
      <c r="F25" s="46">
        <f t="shared" si="15"/>
        <v>155.5</v>
      </c>
      <c r="G25" s="5">
        <f t="shared" ref="G25:I25" si="16">G14</f>
        <v>84.6</v>
      </c>
      <c r="H25" s="5">
        <f t="shared" si="16"/>
        <v>33</v>
      </c>
      <c r="I25" s="5">
        <f t="shared" si="16"/>
        <v>40.700000000000003</v>
      </c>
      <c r="J25" s="99">
        <f>AVERAGE(G25:I27)</f>
        <v>47.922222222222231</v>
      </c>
      <c r="M25" s="46">
        <f t="shared" si="0"/>
        <v>30.797881967710552</v>
      </c>
      <c r="N25" s="46">
        <f t="shared" si="5"/>
        <v>22</v>
      </c>
      <c r="O25" s="50">
        <f t="shared" si="1"/>
        <v>78.347691011709202</v>
      </c>
      <c r="P25" s="50">
        <f t="shared" si="2"/>
        <v>47.54980904399865</v>
      </c>
      <c r="Q25" s="50">
        <f t="shared" si="3"/>
        <v>52.755602938241559</v>
      </c>
    </row>
    <row r="26" spans="1:21">
      <c r="A26" s="78"/>
      <c r="B26" s="46" t="str">
        <f>B16</f>
        <v>CWF</v>
      </c>
      <c r="C26" s="79"/>
      <c r="D26" s="46">
        <f>(D16+D17)/2</f>
        <v>1189.5</v>
      </c>
      <c r="E26" s="46">
        <f>(E16+E17)/2</f>
        <v>1198</v>
      </c>
      <c r="F26" s="46">
        <f>(F16+F17)/2</f>
        <v>643</v>
      </c>
      <c r="G26" s="5">
        <f>G17</f>
        <v>63</v>
      </c>
      <c r="H26" s="5">
        <f>H17</f>
        <v>72.900000000000006</v>
      </c>
      <c r="I26" s="5">
        <f>I17</f>
        <v>40.9</v>
      </c>
      <c r="J26" s="99"/>
      <c r="M26" s="46">
        <f t="shared" si="0"/>
        <v>28.842643821581213</v>
      </c>
      <c r="N26" s="46">
        <f t="shared" si="5"/>
        <v>23</v>
      </c>
      <c r="O26" s="50">
        <f t="shared" si="1"/>
        <v>76.309012298879608</v>
      </c>
      <c r="P26" s="50">
        <f t="shared" si="2"/>
        <v>47.466368477298396</v>
      </c>
      <c r="Q26" s="50">
        <f t="shared" si="3"/>
        <v>52.44548634850738</v>
      </c>
    </row>
    <row r="27" spans="1:21">
      <c r="A27" s="78"/>
      <c r="B27" s="46" t="str">
        <f>B19</f>
        <v>D65</v>
      </c>
      <c r="C27" s="79"/>
      <c r="D27" s="46">
        <f>(D19+D20)/2</f>
        <v>510.29999999999995</v>
      </c>
      <c r="E27" s="46">
        <f>(E19+E20)/2</f>
        <v>577</v>
      </c>
      <c r="F27" s="46">
        <f>(F19+F20)/2</f>
        <v>531.95000000000005</v>
      </c>
      <c r="G27" s="5">
        <f>G20</f>
        <v>28.3</v>
      </c>
      <c r="H27" s="5">
        <f>H20</f>
        <v>37.1</v>
      </c>
      <c r="I27" s="5">
        <f>I20</f>
        <v>30.8</v>
      </c>
      <c r="J27" s="99"/>
      <c r="M27" s="46">
        <f t="shared" si="0"/>
        <v>26.887405675451888</v>
      </c>
      <c r="N27" s="46">
        <f t="shared" si="5"/>
        <v>24</v>
      </c>
      <c r="O27" s="50">
        <f t="shared" si="1"/>
        <v>74.270333586050029</v>
      </c>
      <c r="P27" s="50">
        <f t="shared" si="2"/>
        <v>47.382927910598141</v>
      </c>
      <c r="Q27" s="50">
        <f t="shared" si="3"/>
        <v>52.135369758773201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554.40000000000009</v>
      </c>
      <c r="E28" s="46">
        <f t="shared" ref="E28:F28" si="17">(E13+E14)/2</f>
        <v>514.25</v>
      </c>
      <c r="F28" s="46">
        <f t="shared" si="17"/>
        <v>155.5</v>
      </c>
      <c r="G28" s="5">
        <f t="shared" ref="G28:I28" si="18">G15</f>
        <v>108</v>
      </c>
      <c r="H28" s="5">
        <f t="shared" si="18"/>
        <v>35.700000000000003</v>
      </c>
      <c r="I28" s="5">
        <f t="shared" si="18"/>
        <v>45.9</v>
      </c>
      <c r="J28" s="99">
        <f>AVERAGE(G28:I30)</f>
        <v>55.111111111111114</v>
      </c>
      <c r="M28" s="46">
        <f t="shared" si="0"/>
        <v>24.932167529322548</v>
      </c>
      <c r="N28" s="46">
        <f t="shared" si="5"/>
        <v>25</v>
      </c>
      <c r="O28" s="50">
        <f t="shared" si="1"/>
        <v>72.231654873220435</v>
      </c>
      <c r="P28" s="50">
        <f t="shared" si="2"/>
        <v>47.299487343897887</v>
      </c>
      <c r="Q28" s="50">
        <f t="shared" si="3"/>
        <v>51.825253169039016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1189.5</v>
      </c>
      <c r="E29" s="46">
        <f t="shared" si="20"/>
        <v>1198</v>
      </c>
      <c r="F29" s="46">
        <f t="shared" si="20"/>
        <v>643</v>
      </c>
      <c r="G29" s="5">
        <f t="shared" ref="G29:I29" si="21">G18</f>
        <v>65.099999999999994</v>
      </c>
      <c r="H29" s="5">
        <f t="shared" si="21"/>
        <v>91.6</v>
      </c>
      <c r="I29" s="5">
        <f t="shared" si="21"/>
        <v>46.1</v>
      </c>
      <c r="J29" s="99"/>
      <c r="M29" s="46">
        <f t="shared" si="0"/>
        <v>22.976929383193223</v>
      </c>
      <c r="N29" s="46">
        <f t="shared" si="5"/>
        <v>26</v>
      </c>
      <c r="O29" s="50">
        <f t="shared" si="1"/>
        <v>70.192976160390856</v>
      </c>
      <c r="P29" s="50">
        <f t="shared" si="2"/>
        <v>47.216046777197633</v>
      </c>
      <c r="Q29" s="50">
        <f t="shared" si="3"/>
        <v>51.515136579304837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510.29999999999995</v>
      </c>
      <c r="E30" s="46">
        <f t="shared" si="23"/>
        <v>577</v>
      </c>
      <c r="F30" s="46">
        <f t="shared" si="23"/>
        <v>531.95000000000005</v>
      </c>
      <c r="G30" s="5">
        <f t="shared" ref="G30:I30" si="24">G21</f>
        <v>29.5</v>
      </c>
      <c r="H30" s="5">
        <f t="shared" si="24"/>
        <v>41.5</v>
      </c>
      <c r="I30" s="5">
        <f t="shared" si="24"/>
        <v>32.6</v>
      </c>
      <c r="J30" s="99"/>
      <c r="M30" s="46">
        <f t="shared" si="0"/>
        <v>21.021691237063891</v>
      </c>
      <c r="N30" s="46">
        <f t="shared" si="5"/>
        <v>27</v>
      </c>
      <c r="O30" s="50">
        <f t="shared" si="1"/>
        <v>68.154297447561277</v>
      </c>
      <c r="P30" s="50">
        <f t="shared" si="2"/>
        <v>47.132606210497386</v>
      </c>
      <c r="Q30" s="50">
        <f t="shared" si="3"/>
        <v>51.205019989570658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554.40000000000009</v>
      </c>
      <c r="E31" s="46">
        <f t="shared" si="25"/>
        <v>514.25</v>
      </c>
      <c r="F31" s="46">
        <f t="shared" si="25"/>
        <v>155.5</v>
      </c>
      <c r="G31" s="5">
        <f t="shared" ref="G31:I33" si="26">G22*$J$31</f>
        <v>82.9</v>
      </c>
      <c r="H31" s="5">
        <f t="shared" si="26"/>
        <v>31.7</v>
      </c>
      <c r="I31" s="5">
        <f t="shared" si="26"/>
        <v>39.299999999999997</v>
      </c>
      <c r="J31" s="96">
        <f>J$22/J22</f>
        <v>1</v>
      </c>
      <c r="M31" s="46">
        <f t="shared" si="0"/>
        <v>19.066453090934566</v>
      </c>
      <c r="N31" s="46">
        <f t="shared" si="5"/>
        <v>28</v>
      </c>
      <c r="O31" s="50">
        <f t="shared" si="1"/>
        <v>66.115618734731697</v>
      </c>
      <c r="P31" s="50">
        <f t="shared" si="2"/>
        <v>47.049165643797132</v>
      </c>
      <c r="Q31" s="50">
        <f t="shared" si="3"/>
        <v>50.89490339983648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1189.5</v>
      </c>
      <c r="E32" s="46">
        <f t="shared" si="27"/>
        <v>1198</v>
      </c>
      <c r="F32" s="46">
        <f t="shared" si="27"/>
        <v>643</v>
      </c>
      <c r="G32" s="5">
        <f t="shared" si="26"/>
        <v>61.6</v>
      </c>
      <c r="H32" s="5">
        <f t="shared" si="26"/>
        <v>71.900000000000006</v>
      </c>
      <c r="I32" s="5">
        <f t="shared" si="26"/>
        <v>39.5</v>
      </c>
      <c r="J32" s="96"/>
      <c r="M32" s="46">
        <f t="shared" si="0"/>
        <v>17.111214944805226</v>
      </c>
      <c r="N32" s="46">
        <f t="shared" si="5"/>
        <v>29</v>
      </c>
      <c r="O32" s="50">
        <f t="shared" si="1"/>
        <v>64.076940021902104</v>
      </c>
      <c r="P32" s="50">
        <f t="shared" si="2"/>
        <v>46.965725077096877</v>
      </c>
      <c r="Q32" s="50">
        <f t="shared" si="3"/>
        <v>50.584786810102294</v>
      </c>
    </row>
    <row r="33" spans="1:17">
      <c r="A33" s="78"/>
      <c r="B33" s="46" t="str">
        <f t="shared" si="27"/>
        <v>D65</v>
      </c>
      <c r="C33" s="79"/>
      <c r="D33" s="46">
        <f t="shared" si="27"/>
        <v>510.29999999999995</v>
      </c>
      <c r="E33" s="46">
        <f t="shared" si="27"/>
        <v>577</v>
      </c>
      <c r="F33" s="46">
        <f t="shared" si="27"/>
        <v>531.95000000000005</v>
      </c>
      <c r="G33" s="5">
        <f t="shared" si="26"/>
        <v>27.2</v>
      </c>
      <c r="H33" s="5">
        <f t="shared" si="26"/>
        <v>35.799999999999997</v>
      </c>
      <c r="I33" s="5">
        <f t="shared" si="26"/>
        <v>29.7</v>
      </c>
      <c r="J33" s="96"/>
      <c r="M33" s="46">
        <f t="shared" si="0"/>
        <v>15.155976798675894</v>
      </c>
      <c r="N33" s="46">
        <f t="shared" si="5"/>
        <v>30</v>
      </c>
      <c r="O33" s="50">
        <f t="shared" si="1"/>
        <v>62.038261309072517</v>
      </c>
      <c r="P33" s="50">
        <f t="shared" si="2"/>
        <v>46.882284510396623</v>
      </c>
      <c r="Q33" s="50">
        <f t="shared" si="3"/>
        <v>50.274670220368115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554.40000000000009</v>
      </c>
      <c r="E34" s="46">
        <f t="shared" si="27"/>
        <v>514.25</v>
      </c>
      <c r="F34" s="46">
        <f t="shared" si="27"/>
        <v>155.5</v>
      </c>
      <c r="G34" s="5">
        <f t="shared" ref="G34:I36" si="28">G25*$J$34</f>
        <v>82.305031300718724</v>
      </c>
      <c r="H34" s="5">
        <f t="shared" si="28"/>
        <v>32.104799443542767</v>
      </c>
      <c r="I34" s="5">
        <f t="shared" si="28"/>
        <v>39.595919313702751</v>
      </c>
      <c r="J34" s="96">
        <f>J$22/J25</f>
        <v>0.97287271041038692</v>
      </c>
      <c r="M34" s="46">
        <f t="shared" si="0"/>
        <v>13.200738652546569</v>
      </c>
      <c r="N34" s="46">
        <f t="shared" si="5"/>
        <v>31</v>
      </c>
      <c r="O34" s="50">
        <f t="shared" si="1"/>
        <v>59.999582596242938</v>
      </c>
      <c r="P34" s="50">
        <f t="shared" si="2"/>
        <v>46.798843943696369</v>
      </c>
      <c r="Q34" s="50">
        <f t="shared" si="3"/>
        <v>49.964553630633937</v>
      </c>
    </row>
    <row r="35" spans="1:17">
      <c r="A35" s="78"/>
      <c r="B35" s="46" t="str">
        <f t="shared" si="27"/>
        <v>CWF</v>
      </c>
      <c r="C35" s="79"/>
      <c r="D35" s="46">
        <f t="shared" si="27"/>
        <v>1189.5</v>
      </c>
      <c r="E35" s="46">
        <f t="shared" si="27"/>
        <v>1198</v>
      </c>
      <c r="F35" s="46">
        <f t="shared" si="27"/>
        <v>643</v>
      </c>
      <c r="G35" s="5">
        <f t="shared" si="28"/>
        <v>61.290980755854378</v>
      </c>
      <c r="H35" s="5">
        <f t="shared" si="28"/>
        <v>70.922420588917205</v>
      </c>
      <c r="I35" s="5">
        <f t="shared" si="28"/>
        <v>39.790493855784824</v>
      </c>
      <c r="J35" s="96"/>
      <c r="M35" s="46">
        <f t="shared" si="0"/>
        <v>11.245500506417237</v>
      </c>
      <c r="N35" s="46">
        <f t="shared" si="5"/>
        <v>32</v>
      </c>
      <c r="O35" s="50">
        <f t="shared" si="1"/>
        <v>57.960903883413351</v>
      </c>
      <c r="P35" s="50">
        <f t="shared" si="2"/>
        <v>46.715403376996115</v>
      </c>
      <c r="Q35" s="50">
        <f t="shared" si="3"/>
        <v>49.654437040899751</v>
      </c>
    </row>
    <row r="36" spans="1:17">
      <c r="A36" s="78"/>
      <c r="B36" s="46" t="str">
        <f t="shared" si="27"/>
        <v>D65</v>
      </c>
      <c r="C36" s="79"/>
      <c r="D36" s="46">
        <f t="shared" si="27"/>
        <v>510.29999999999995</v>
      </c>
      <c r="E36" s="46">
        <f t="shared" si="27"/>
        <v>577</v>
      </c>
      <c r="F36" s="46">
        <f t="shared" si="27"/>
        <v>531.95000000000005</v>
      </c>
      <c r="G36" s="5">
        <f t="shared" si="28"/>
        <v>27.532297704613949</v>
      </c>
      <c r="H36" s="5">
        <f t="shared" si="28"/>
        <v>36.093577556225355</v>
      </c>
      <c r="I36" s="5">
        <f t="shared" si="28"/>
        <v>29.964479480639916</v>
      </c>
      <c r="J36" s="96"/>
      <c r="M36" s="46">
        <f t="shared" si="0"/>
        <v>9.2902623602879117</v>
      </c>
      <c r="N36" s="46">
        <f t="shared" si="5"/>
        <v>33</v>
      </c>
      <c r="O36" s="50">
        <f t="shared" si="1"/>
        <v>55.922225170583772</v>
      </c>
      <c r="P36" s="50">
        <f t="shared" si="2"/>
        <v>46.63196281029586</v>
      </c>
      <c r="Q36" s="50">
        <f t="shared" si="3"/>
        <v>49.344320451165572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554.40000000000009</v>
      </c>
      <c r="E37" s="46">
        <f t="shared" si="27"/>
        <v>514.25</v>
      </c>
      <c r="F37" s="46">
        <f t="shared" si="27"/>
        <v>155.5</v>
      </c>
      <c r="G37" s="5">
        <f t="shared" ref="G37:I39" si="29">G28*$J$37</f>
        <v>91.364516129032239</v>
      </c>
      <c r="H37" s="5">
        <f t="shared" si="29"/>
        <v>30.201048387096773</v>
      </c>
      <c r="I37" s="5">
        <f t="shared" si="29"/>
        <v>38.829919354838701</v>
      </c>
      <c r="J37" s="96">
        <f>J$22/J28</f>
        <v>0.84596774193548374</v>
      </c>
      <c r="K37" s="51" t="str">
        <f>CHAR(34) &amp; "EEpromVersion" &amp;CHAR(34)  &amp; ",3,"</f>
        <v>"EEpromVersion",3,</v>
      </c>
      <c r="M37" s="46">
        <f t="shared" si="0"/>
        <v>7.3350242141585653</v>
      </c>
      <c r="N37" s="46">
        <f t="shared" si="5"/>
        <v>34</v>
      </c>
      <c r="O37" s="50">
        <f t="shared" si="1"/>
        <v>53.883546457754179</v>
      </c>
      <c r="P37" s="50">
        <f t="shared" si="2"/>
        <v>46.548522243595613</v>
      </c>
      <c r="Q37" s="50">
        <f t="shared" si="3"/>
        <v>49.034203861431394</v>
      </c>
    </row>
    <row r="38" spans="1:17">
      <c r="A38" s="78"/>
      <c r="B38" s="46" t="str">
        <f t="shared" si="27"/>
        <v>CWF</v>
      </c>
      <c r="C38" s="79"/>
      <c r="D38" s="46">
        <f t="shared" si="27"/>
        <v>1189.5</v>
      </c>
      <c r="E38" s="46">
        <f t="shared" si="27"/>
        <v>1198</v>
      </c>
      <c r="F38" s="46">
        <f t="shared" si="27"/>
        <v>643</v>
      </c>
      <c r="G38" s="5">
        <f t="shared" si="29"/>
        <v>55.072499999999984</v>
      </c>
      <c r="H38" s="5">
        <f t="shared" si="29"/>
        <v>77.490645161290303</v>
      </c>
      <c r="I38" s="5">
        <f t="shared" si="29"/>
        <v>38.9991129032258</v>
      </c>
      <c r="J38" s="96"/>
      <c r="K38" s="52" t="str">
        <f>K4</f>
        <v>"Compensation",37,</v>
      </c>
      <c r="M38" s="46">
        <f t="shared" si="0"/>
        <v>5.3797860680292402</v>
      </c>
      <c r="N38" s="46">
        <f t="shared" si="5"/>
        <v>35</v>
      </c>
      <c r="O38" s="50">
        <f t="shared" si="1"/>
        <v>51.844867744924599</v>
      </c>
      <c r="P38" s="50">
        <f t="shared" si="2"/>
        <v>46.465081676895359</v>
      </c>
      <c r="Q38" s="50">
        <f t="shared" si="3"/>
        <v>48.724087271697215</v>
      </c>
    </row>
    <row r="39" spans="1:17">
      <c r="A39" s="78"/>
      <c r="B39" s="46" t="str">
        <f t="shared" si="27"/>
        <v>D65</v>
      </c>
      <c r="C39" s="79"/>
      <c r="D39" s="46">
        <f t="shared" si="27"/>
        <v>510.29999999999995</v>
      </c>
      <c r="E39" s="46">
        <f t="shared" si="27"/>
        <v>577</v>
      </c>
      <c r="F39" s="46">
        <f t="shared" si="27"/>
        <v>531.95000000000005</v>
      </c>
      <c r="G39" s="5">
        <f t="shared" si="29"/>
        <v>24.956048387096772</v>
      </c>
      <c r="H39" s="5">
        <f t="shared" si="29"/>
        <v>35.107661290322575</v>
      </c>
      <c r="I39" s="5">
        <f t="shared" si="29"/>
        <v>27.57854838709677</v>
      </c>
      <c r="J39" s="96"/>
      <c r="K39" s="53" t="str">
        <f>linefmt("CardGain",J42,J45,J48)</f>
        <v>"CardGain",17.25697,18.01472,14.06978,</v>
      </c>
      <c r="M39" s="46">
        <f t="shared" si="0"/>
        <v>3.4245479218999151</v>
      </c>
      <c r="N39" s="46">
        <f t="shared" si="5"/>
        <v>36</v>
      </c>
      <c r="O39" s="50">
        <f t="shared" si="1"/>
        <v>49.80618903209502</v>
      </c>
      <c r="P39" s="50">
        <f t="shared" si="2"/>
        <v>46.381641110195105</v>
      </c>
      <c r="Q39" s="50">
        <f t="shared" si="3"/>
        <v>48.413970681963036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"Range",1,0.9728727,0.8459678,</v>
      </c>
      <c r="M40" s="46">
        <f t="shared" si="0"/>
        <v>1.805653548734</v>
      </c>
      <c r="N40" s="46">
        <f t="shared" si="5"/>
        <v>37</v>
      </c>
      <c r="O40" s="50">
        <f t="shared" si="1"/>
        <v>47.767510319265426</v>
      </c>
      <c r="P40" s="50">
        <f t="shared" si="2"/>
        <v>46.29820054349485</v>
      </c>
      <c r="Q40" s="50">
        <f t="shared" si="3"/>
        <v>48.10385409222885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2.0649058960588249</v>
      </c>
      <c r="N41" s="46">
        <f t="shared" si="5"/>
        <v>38</v>
      </c>
      <c r="O41" s="50">
        <f t="shared" si="1"/>
        <v>45.728831606435847</v>
      </c>
      <c r="P41" s="50">
        <f t="shared" si="2"/>
        <v>46.214759976794596</v>
      </c>
      <c r="Q41" s="50">
        <f t="shared" si="3"/>
        <v>47.793737502494672</v>
      </c>
    </row>
    <row r="42" spans="1:17">
      <c r="A42" s="4"/>
      <c r="B42" s="46" t="s">
        <v>3</v>
      </c>
      <c r="C42" s="79">
        <f>C31</f>
        <v>0</v>
      </c>
      <c r="D42" s="46">
        <f>I42/$H$43</f>
        <v>0.19107373849334255</v>
      </c>
      <c r="E42" s="46">
        <f>H42/$H$43</f>
        <v>1.0187529764298542</v>
      </c>
      <c r="F42" s="46">
        <f>G42/$H$43</f>
        <v>-0.40733646969563769</v>
      </c>
      <c r="G42" s="46">
        <f t="array" ref="G42:I42">LINEST($D31:$D33,$G31:$I33,FALSE)</f>
        <v>-7.0293911791516273</v>
      </c>
      <c r="H42" s="46">
        <v>17.580584403850089</v>
      </c>
      <c r="I42" s="46">
        <v>3.2973528074621377</v>
      </c>
      <c r="J42" s="97">
        <f>H43</f>
        <v>17.256964946949132</v>
      </c>
      <c r="K42" s="53" t="str">
        <f t="shared" ref="K42:K50" si="30">linefmt("",D42,E42,F42)</f>
        <v>0.1910737,1.018753,-0.4073365,</v>
      </c>
      <c r="M42" s="46">
        <f t="shared" si="0"/>
        <v>3.7934680191542256</v>
      </c>
      <c r="N42" s="46">
        <f t="shared" si="5"/>
        <v>39</v>
      </c>
      <c r="O42" s="50">
        <f t="shared" si="1"/>
        <v>43.690152893606268</v>
      </c>
      <c r="P42" s="50">
        <f t="shared" si="2"/>
        <v>46.131319410094342</v>
      </c>
      <c r="Q42" s="50">
        <f t="shared" si="3"/>
        <v>47.483620912760493</v>
      </c>
    </row>
    <row r="43" spans="1:17">
      <c r="A43" s="4"/>
      <c r="B43" s="46" t="s">
        <v>4</v>
      </c>
      <c r="C43" s="79"/>
      <c r="D43" s="46">
        <f>I43/$H$43</f>
        <v>2.6178451156022298E-2</v>
      </c>
      <c r="E43" s="46">
        <f>H43/$H$43</f>
        <v>1</v>
      </c>
      <c r="F43" s="46">
        <f>G43/$H$43</f>
        <v>-0.1035784076174973</v>
      </c>
      <c r="G43" s="46">
        <f t="array" ref="G43:I43">LINEST($E31:$E33,$G31:$I33,FALSE)</f>
        <v>-1.78744894951596</v>
      </c>
      <c r="H43" s="46">
        <v>17.256964946949132</v>
      </c>
      <c r="I43" s="46">
        <v>0.45176061396489681</v>
      </c>
      <c r="J43" s="97"/>
      <c r="K43" s="53" t="str">
        <f t="shared" si="30"/>
        <v>2.617845E-02,1,-0.1035784,</v>
      </c>
      <c r="M43" s="46">
        <f t="shared" si="0"/>
        <v>5.5220301422496334</v>
      </c>
      <c r="N43" s="46">
        <f t="shared" si="5"/>
        <v>40</v>
      </c>
      <c r="O43" s="50">
        <f t="shared" si="1"/>
        <v>41.651474180776674</v>
      </c>
      <c r="P43" s="50">
        <f t="shared" si="2"/>
        <v>46.047878843394088</v>
      </c>
      <c r="Q43" s="50">
        <f t="shared" si="3"/>
        <v>47.173504323026307</v>
      </c>
    </row>
    <row r="44" spans="1:17">
      <c r="A44" s="4"/>
      <c r="B44" s="46" t="s">
        <v>5</v>
      </c>
      <c r="C44" s="79"/>
      <c r="D44" s="46">
        <f>I44/$H$43</f>
        <v>-0.53999087662751344</v>
      </c>
      <c r="E44" s="46">
        <f>H44/$H$43</f>
        <v>0.41145185942195478</v>
      </c>
      <c r="F44" s="46">
        <f>G44/$H$43</f>
        <v>1.0364649927313363</v>
      </c>
      <c r="G44" s="46">
        <f t="array" ref="G44:I44">LINEST($F$31:$F$33,$G31:$I33,FALSE)</f>
        <v>17.886240048304558</v>
      </c>
      <c r="H44" s="46">
        <v>7.1004103154017155</v>
      </c>
      <c r="I44" s="46">
        <v>-9.3186036296333334</v>
      </c>
      <c r="J44" s="97"/>
      <c r="K44" s="53" t="str">
        <f t="shared" si="30"/>
        <v>-0.5399909,0.4114518,1.036465,</v>
      </c>
      <c r="M44" s="46">
        <f t="shared" si="0"/>
        <v>7.2505922653450341</v>
      </c>
      <c r="N44" s="46">
        <f t="shared" si="5"/>
        <v>41</v>
      </c>
      <c r="O44" s="50">
        <f t="shared" si="1"/>
        <v>39.612795467947095</v>
      </c>
      <c r="P44" s="50">
        <f t="shared" si="2"/>
        <v>45.964438276693834</v>
      </c>
      <c r="Q44" s="50">
        <f t="shared" si="3"/>
        <v>46.863387733292129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0.20112215441239897</v>
      </c>
      <c r="E45" s="46">
        <f>H45/$H$46</f>
        <v>1.0194299289911624</v>
      </c>
      <c r="F45" s="46">
        <f>G45/$H$46</f>
        <v>-0.467399675935184</v>
      </c>
      <c r="G45" s="46">
        <f t="array" ref="G45:I45">LINEST($D34:$D36,$G34:$I36,FALSE)</f>
        <v>-8.4200727168020588</v>
      </c>
      <c r="H45" s="46">
        <v>18.364741299008248</v>
      </c>
      <c r="I45" s="46">
        <v>3.6231586205616666</v>
      </c>
      <c r="J45" s="97">
        <f>H46</f>
        <v>18.014716634013457</v>
      </c>
      <c r="K45" s="53" t="str">
        <f t="shared" si="30"/>
        <v>0.2011221,1.01943,-0.4673997,</v>
      </c>
      <c r="M45" s="46">
        <f t="shared" si="0"/>
        <v>8.9791543884404348</v>
      </c>
      <c r="N45" s="46">
        <f t="shared" si="5"/>
        <v>42</v>
      </c>
      <c r="O45" s="50">
        <f t="shared" si="1"/>
        <v>37.574116755117515</v>
      </c>
      <c r="P45" s="50">
        <f t="shared" si="2"/>
        <v>45.880997709993586</v>
      </c>
      <c r="Q45" s="50">
        <f t="shared" si="3"/>
        <v>46.55327114355795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3.945441562784717E-2</v>
      </c>
      <c r="E46" s="46">
        <f>H46/$H$46</f>
        <v>1</v>
      </c>
      <c r="F46" s="46">
        <f>G46/$H$46</f>
        <v>-0.17188617066638257</v>
      </c>
      <c r="G46" s="46">
        <f t="array" ref="G46:I46">LINEST($E34:$E36,$G34:$I36,FALSE)</f>
        <v>-3.0964806578605577</v>
      </c>
      <c r="H46" s="46">
        <v>18.014716634013457</v>
      </c>
      <c r="I46" s="46">
        <v>0.71076011749625889</v>
      </c>
      <c r="J46" s="97"/>
      <c r="K46" s="53" t="str">
        <f t="shared" si="30"/>
        <v>3.945442E-02,1,-0.1718862,</v>
      </c>
      <c r="M46" s="46">
        <f t="shared" si="0"/>
        <v>10.70771651153585</v>
      </c>
      <c r="N46" s="46">
        <f t="shared" si="5"/>
        <v>43</v>
      </c>
      <c r="O46" s="50">
        <f t="shared" si="1"/>
        <v>35.535438042287922</v>
      </c>
      <c r="P46" s="50">
        <f t="shared" si="2"/>
        <v>45.797557143293332</v>
      </c>
      <c r="Q46" s="50">
        <f t="shared" si="3"/>
        <v>46.243154553823771</v>
      </c>
    </row>
    <row r="47" spans="1:17">
      <c r="A47" s="4"/>
      <c r="B47" s="46" t="str">
        <f t="shared" si="31"/>
        <v>Z</v>
      </c>
      <c r="C47" s="79"/>
      <c r="D47" s="46">
        <f>I47/$H$46</f>
        <v>-0.52278356379222746</v>
      </c>
      <c r="E47" s="46">
        <f>H47/$H$46</f>
        <v>0.40925015362573058</v>
      </c>
      <c r="F47" s="46">
        <f>G47/$H$46</f>
        <v>0.97284406392558842</v>
      </c>
      <c r="G47" s="46">
        <f t="array" ref="G47:I47">LINEST($F$31:$F$33,$G34:$I36,FALSE)</f>
        <v>17.525510140701549</v>
      </c>
      <c r="H47" s="46">
        <v>7.3725255499940117</v>
      </c>
      <c r="I47" s="46">
        <v>-9.4177977626366758</v>
      </c>
      <c r="J47" s="97"/>
      <c r="K47" s="53" t="str">
        <f t="shared" si="30"/>
        <v>-0.5227836,0.4092501,0.9728441,</v>
      </c>
      <c r="M47" s="46">
        <f t="shared" si="0"/>
        <v>12.436278634631243</v>
      </c>
      <c r="N47" s="46">
        <f t="shared" si="5"/>
        <v>44</v>
      </c>
      <c r="O47" s="50">
        <f t="shared" si="1"/>
        <v>33.496759329458342</v>
      </c>
      <c r="P47" s="50">
        <f t="shared" si="2"/>
        <v>45.714116576593078</v>
      </c>
      <c r="Q47" s="50">
        <f t="shared" si="3"/>
        <v>45.933037964089586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0.16172987070659481</v>
      </c>
      <c r="E48" s="46">
        <f>H48/$H$49</f>
        <v>1.0793816017547857</v>
      </c>
      <c r="F48" s="46">
        <f>G48/$H$49</f>
        <v>-0.20528598842633861</v>
      </c>
      <c r="G48" s="46">
        <f t="array" ref="G48:I48">LINEST($D37:$D39,$G37:$I39,FALSE)</f>
        <v>-2.8883295889034413</v>
      </c>
      <c r="H48" s="46">
        <v>15.186666376819035</v>
      </c>
      <c r="I48" s="46">
        <v>2.2755044051094724</v>
      </c>
      <c r="J48" s="97">
        <f>H49</f>
        <v>14.069784358126523</v>
      </c>
      <c r="K48" s="53" t="str">
        <f t="shared" si="30"/>
        <v>0.1617299,1.079382,-0.205286,</v>
      </c>
      <c r="M48" s="46">
        <f t="shared" si="0"/>
        <v>14.172595393264061</v>
      </c>
      <c r="N48" s="46">
        <f t="shared" si="5"/>
        <v>45</v>
      </c>
      <c r="O48" s="50">
        <f t="shared" si="1"/>
        <v>31.458080616628763</v>
      </c>
      <c r="P48" s="50">
        <f t="shared" si="2"/>
        <v>45.630676009892824</v>
      </c>
      <c r="Q48" s="50">
        <f t="shared" si="3"/>
        <v>45.622921374355407</v>
      </c>
    </row>
    <row r="49" spans="1:24">
      <c r="A49" s="4"/>
      <c r="B49" s="46" t="str">
        <f t="shared" si="31"/>
        <v>Y</v>
      </c>
      <c r="C49" s="79"/>
      <c r="D49" s="46">
        <f>I49/$H$49</f>
        <v>-3.4881003339074811E-2</v>
      </c>
      <c r="E49" s="46">
        <f>H49/$H$49</f>
        <v>1</v>
      </c>
      <c r="F49" s="46">
        <f>G49/$H$49</f>
        <v>0.24557850799122971</v>
      </c>
      <c r="G49" s="46">
        <f t="array" ref="G49:I49">LINEST($E37:$E39,$G37:$I39,FALSE)</f>
        <v>3.4552366504270529</v>
      </c>
      <c r="H49" s="46">
        <v>14.069784358126523</v>
      </c>
      <c r="I49" s="46">
        <v>-0.49076819517587378</v>
      </c>
      <c r="J49" s="97"/>
      <c r="K49" s="53" t="str">
        <f t="shared" si="30"/>
        <v>-0.034881,1,0.2455785,</v>
      </c>
      <c r="M49" s="46">
        <f t="shared" si="0"/>
        <v>16.1278335393934</v>
      </c>
      <c r="N49" s="46">
        <f t="shared" si="5"/>
        <v>46</v>
      </c>
      <c r="O49" s="50">
        <f t="shared" si="1"/>
        <v>29.419401903799169</v>
      </c>
      <c r="P49" s="50">
        <f t="shared" si="2"/>
        <v>45.547235443192569</v>
      </c>
      <c r="Q49" s="50">
        <f t="shared" si="3"/>
        <v>45.312804784621228</v>
      </c>
    </row>
    <row r="50" spans="1:24">
      <c r="A50" s="4"/>
      <c r="B50" s="46" t="str">
        <f t="shared" si="31"/>
        <v>Z</v>
      </c>
      <c r="C50" s="79"/>
      <c r="D50" s="46">
        <f>I50/$H$49</f>
        <v>-0.68026073232510931</v>
      </c>
      <c r="E50" s="46">
        <f>H50/$H$49</f>
        <v>0.20445553813858075</v>
      </c>
      <c r="F50" s="46">
        <f>G50/$H$49</f>
        <v>1.7262197550624885</v>
      </c>
      <c r="G50" s="46">
        <f t="array" ref="G50:I50">LINEST($F$31:$F$33,$G37:$I39,FALSE)</f>
        <v>24.287539708467197</v>
      </c>
      <c r="H50" s="46">
        <v>2.8766453324345442</v>
      </c>
      <c r="I50" s="46">
        <v>-9.5711218111155159</v>
      </c>
      <c r="J50" s="97"/>
      <c r="K50" s="54" t="str">
        <f t="shared" si="30"/>
        <v>-0.6802607,0.2044555,1.72622,</v>
      </c>
      <c r="M50" s="46">
        <f t="shared" si="0"/>
        <v>18.083071685522725</v>
      </c>
      <c r="N50" s="46">
        <f t="shared" si="5"/>
        <v>47</v>
      </c>
      <c r="O50" s="50">
        <f t="shared" si="1"/>
        <v>27.38072319096959</v>
      </c>
      <c r="P50" s="50">
        <f t="shared" si="2"/>
        <v>45.463794876492315</v>
      </c>
      <c r="Q50" s="50">
        <f t="shared" si="3"/>
        <v>45.002688194887043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0.18464192120411213</v>
      </c>
      <c r="E51" s="46">
        <f t="shared" ref="E51:F51" si="32">(E42+E45+E48)/3</f>
        <v>1.0391881690586007</v>
      </c>
      <c r="F51" s="46">
        <f t="shared" si="32"/>
        <v>-0.36000737801905341</v>
      </c>
      <c r="J51" s="97">
        <f>(J42+J45+J48)/3</f>
        <v>16.447155313029707</v>
      </c>
      <c r="M51" s="46">
        <f t="shared" si="0"/>
        <v>20.03830983165205</v>
      </c>
      <c r="N51" s="46">
        <f t="shared" si="5"/>
        <v>48</v>
      </c>
      <c r="O51" s="50">
        <f t="shared" si="1"/>
        <v>25.342044478140011</v>
      </c>
      <c r="P51" s="50">
        <f t="shared" si="2"/>
        <v>45.380354309792061</v>
      </c>
      <c r="Q51" s="50">
        <f t="shared" si="3"/>
        <v>44.692571605152864</v>
      </c>
    </row>
    <row r="52" spans="1:24">
      <c r="B52" s="46" t="str">
        <f t="shared" si="31"/>
        <v>Y</v>
      </c>
      <c r="C52" s="79"/>
      <c r="D52" s="46">
        <f t="shared" ref="D52:F53" si="33">(D43+D46+D49)/3</f>
        <v>1.0250621148264886E-2</v>
      </c>
      <c r="E52" s="46">
        <f t="shared" si="33"/>
        <v>1</v>
      </c>
      <c r="F52" s="46">
        <f t="shared" si="33"/>
        <v>-9.9620234308833901E-3</v>
      </c>
      <c r="J52" s="97"/>
      <c r="M52" s="46">
        <f t="shared" si="0"/>
        <v>21.99354797778139</v>
      </c>
      <c r="N52" s="46">
        <f t="shared" si="5"/>
        <v>49</v>
      </c>
      <c r="O52" s="50">
        <f t="shared" si="1"/>
        <v>23.303365765310417</v>
      </c>
      <c r="P52" s="50">
        <f t="shared" si="2"/>
        <v>45.296913743091807</v>
      </c>
      <c r="Q52" s="50">
        <f t="shared" si="3"/>
        <v>44.382455015418685</v>
      </c>
    </row>
    <row r="53" spans="1:24" ht="15.75" thickBot="1">
      <c r="B53" s="46" t="str">
        <f t="shared" si="31"/>
        <v>Z</v>
      </c>
      <c r="C53" s="79"/>
      <c r="D53" s="46">
        <f t="shared" si="33"/>
        <v>-0.5810117242482834</v>
      </c>
      <c r="E53" s="46">
        <f t="shared" si="33"/>
        <v>0.34171918372875537</v>
      </c>
      <c r="F53" s="46">
        <f t="shared" si="33"/>
        <v>1.2451762705731377</v>
      </c>
      <c r="J53" s="100"/>
      <c r="M53" s="46">
        <f t="shared" si="0"/>
        <v>23.948786123910722</v>
      </c>
      <c r="N53" s="46">
        <f t="shared" si="5"/>
        <v>50</v>
      </c>
      <c r="O53" s="50">
        <f t="shared" si="1"/>
        <v>21.264687052480838</v>
      </c>
      <c r="P53" s="50">
        <f t="shared" si="2"/>
        <v>45.21347317639156</v>
      </c>
      <c r="Q53" s="50">
        <f t="shared" si="3"/>
        <v>44.072338425684507</v>
      </c>
    </row>
    <row r="54" spans="1:24">
      <c r="B54" s="79" t="s">
        <v>14</v>
      </c>
      <c r="C54" s="79"/>
      <c r="D54" s="19">
        <f>I54/$H$55</f>
        <v>0.18958784333704162</v>
      </c>
      <c r="E54" s="20">
        <f>H54/$H$55</f>
        <v>1.0369271574557992</v>
      </c>
      <c r="F54" s="21">
        <f>G54/$H$55</f>
        <v>-0.36776363790185906</v>
      </c>
      <c r="G54" s="46">
        <f t="array" ref="G54:I54">LINEST(D$31:D$39,$G$31:$I$39,FALSE)</f>
        <v>-5.9862421792623435</v>
      </c>
      <c r="H54" s="46">
        <v>16.878495987797962</v>
      </c>
      <c r="I54" s="46">
        <v>3.0860004293367438</v>
      </c>
      <c r="J54" s="98">
        <f>H55</f>
        <v>16.277417238459623</v>
      </c>
      <c r="M54" s="46">
        <f t="shared" si="0"/>
        <v>25.904024270040061</v>
      </c>
      <c r="N54" s="46">
        <f t="shared" si="5"/>
        <v>51</v>
      </c>
      <c r="O54" s="50">
        <f t="shared" si="1"/>
        <v>19.226008339651244</v>
      </c>
      <c r="P54" s="50">
        <f t="shared" si="2"/>
        <v>45.130032609691305</v>
      </c>
      <c r="Q54" s="50">
        <f t="shared" si="3"/>
        <v>43.762221835950328</v>
      </c>
    </row>
    <row r="55" spans="1:24" ht="15" customHeight="1">
      <c r="B55" s="79"/>
      <c r="C55" s="79"/>
      <c r="D55" s="22">
        <f>I55/$H$55</f>
        <v>2.1314635361909428E-2</v>
      </c>
      <c r="E55" s="18">
        <f>H55/$H$55</f>
        <v>1</v>
      </c>
      <c r="F55" s="23">
        <f>G55/$H$55</f>
        <v>-3.2359259692638802E-2</v>
      </c>
      <c r="G55" s="46">
        <f t="array" ref="G55:I55">LINEST(E$31:E$39,$G$31:$I$39,FALSE)</f>
        <v>-0.52672517154475051</v>
      </c>
      <c r="H55" s="46">
        <v>16.277417238459623</v>
      </c>
      <c r="I55" s="46">
        <v>0.34694721307142562</v>
      </c>
      <c r="J55" s="98"/>
      <c r="M55" s="46">
        <f t="shared" si="0"/>
        <v>27.859262416169386</v>
      </c>
      <c r="N55" s="46">
        <f t="shared" si="5"/>
        <v>52</v>
      </c>
      <c r="O55" s="50">
        <f t="shared" si="1"/>
        <v>17.187329626821665</v>
      </c>
      <c r="P55" s="50">
        <f t="shared" si="2"/>
        <v>45.046592042991051</v>
      </c>
      <c r="Q55" s="50">
        <f t="shared" si="3"/>
        <v>43.452105246216142</v>
      </c>
    </row>
    <row r="56" spans="1:24" ht="15" customHeight="1" thickBot="1">
      <c r="B56" s="79"/>
      <c r="C56" s="79"/>
      <c r="D56" s="24">
        <f>I56/$H$55</f>
        <v>-0.5547329170796802</v>
      </c>
      <c r="E56" s="25">
        <f>H56/$H$55</f>
        <v>0.35001313549892732</v>
      </c>
      <c r="F56" s="26">
        <f>G56/$H$55</f>
        <v>1.1833096326386883</v>
      </c>
      <c r="G56" s="46">
        <f t="array" ref="G56:I56">LINEST(F$31:F$39,$G$31:$I$39,FALSE)</f>
        <v>19.261224612748308</v>
      </c>
      <c r="H56" s="46">
        <v>5.6973098454575437</v>
      </c>
      <c r="I56" s="46">
        <v>-9.0296191472137792</v>
      </c>
      <c r="J56" s="98"/>
      <c r="M56" s="46">
        <f t="shared" si="0"/>
        <v>29.814500562298711</v>
      </c>
      <c r="N56" s="46">
        <f t="shared" si="5"/>
        <v>53</v>
      </c>
      <c r="O56" s="50">
        <f t="shared" si="1"/>
        <v>15.148650913992086</v>
      </c>
      <c r="P56" s="50">
        <f t="shared" si="2"/>
        <v>44.963151476290797</v>
      </c>
      <c r="Q56" s="50">
        <f t="shared" si="3"/>
        <v>43.141988656481963</v>
      </c>
    </row>
    <row r="57" spans="1:24">
      <c r="M57" s="46">
        <f t="shared" si="0"/>
        <v>31.769738708428051</v>
      </c>
      <c r="N57" s="46">
        <f t="shared" si="5"/>
        <v>54</v>
      </c>
      <c r="O57" s="50">
        <f t="shared" si="1"/>
        <v>13.109972201162492</v>
      </c>
      <c r="P57" s="50">
        <f t="shared" si="2"/>
        <v>44.879710909590543</v>
      </c>
      <c r="Q57" s="50">
        <f t="shared" si="3"/>
        <v>42.831872066747778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33.724976854557376</v>
      </c>
      <c r="N58" s="46">
        <f t="shared" si="5"/>
        <v>55</v>
      </c>
      <c r="O58" s="50">
        <f t="shared" si="1"/>
        <v>11.071293488332913</v>
      </c>
      <c r="P58" s="50">
        <f t="shared" si="2"/>
        <v>44.796270342890288</v>
      </c>
      <c r="Q58" s="50">
        <f t="shared" si="3"/>
        <v>42.521755477013599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35.680215000686701</v>
      </c>
      <c r="N59" s="46">
        <f t="shared" si="5"/>
        <v>56</v>
      </c>
      <c r="O59" s="50">
        <f t="shared" si="1"/>
        <v>9.0326147755033332</v>
      </c>
      <c r="P59" s="50">
        <f t="shared" si="2"/>
        <v>44.712829776190034</v>
      </c>
      <c r="Q59" s="50">
        <f t="shared" si="3"/>
        <v>42.21163888727942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514.25</v>
      </c>
      <c r="E60" s="32">
        <f t="shared" ref="E60:E68" si="37">getCCTfromXY(D22/SUM(D22:F22),E22/SUM(D22:F22))</f>
        <v>2880</v>
      </c>
      <c r="F60" s="31">
        <f t="shared" ref="F60:F68" si="38">V60</f>
        <v>524.05575118108254</v>
      </c>
      <c r="G60" s="32">
        <f t="shared" ref="G60:G68" si="39">getCCTfromXY(U60/X60,V60/X60)</f>
        <v>3064</v>
      </c>
      <c r="H60" s="33">
        <f>F60/D60-1</f>
        <v>1.9068062578672995E-2</v>
      </c>
      <c r="I60" s="34">
        <f t="shared" ref="I60:I68" si="40">G60/E60-1</f>
        <v>6.3888888888888884E-2</v>
      </c>
      <c r="M60" s="46">
        <f t="shared" si="0"/>
        <v>37.635453146816047</v>
      </c>
      <c r="N60" s="46">
        <f t="shared" si="5"/>
        <v>57</v>
      </c>
      <c r="O60" s="50">
        <f t="shared" si="1"/>
        <v>6.9939360626737397</v>
      </c>
      <c r="P60" s="50">
        <f t="shared" si="2"/>
        <v>44.629389209489787</v>
      </c>
      <c r="Q60" s="50">
        <f t="shared" si="3"/>
        <v>41.901522297545242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555.61844076020134</v>
      </c>
      <c r="V60" s="50">
        <f>$J$54*$J$31*($D$55*G22+$E$55*H22+$F$55*I22)</f>
        <v>524.05575118108254</v>
      </c>
      <c r="W60" s="50">
        <f>$J$54*$J$31*($D$56*G22+$E$56*H22+$F$56*I22)</f>
        <v>189.01542207799028</v>
      </c>
      <c r="X60" s="29">
        <f>SUM(U60:W60)</f>
        <v>1268.6896140192741</v>
      </c>
    </row>
    <row r="61" spans="1:24">
      <c r="A61" s="87"/>
      <c r="B61" s="48" t="str">
        <f t="shared" si="35"/>
        <v>CWF</v>
      </c>
      <c r="C61" s="93"/>
      <c r="D61" s="31">
        <f t="shared" si="36"/>
        <v>1198</v>
      </c>
      <c r="E61" s="32">
        <f t="shared" si="37"/>
        <v>3852</v>
      </c>
      <c r="F61" s="31">
        <f t="shared" si="38"/>
        <v>1170.9126034944293</v>
      </c>
      <c r="G61" s="32">
        <f t="shared" si="39"/>
        <v>3793</v>
      </c>
      <c r="H61" s="33">
        <f t="shared" ref="H61:H68" si="41">F61/D61-1</f>
        <v>-2.2610514612329435E-2</v>
      </c>
      <c r="I61" s="34">
        <f t="shared" si="40"/>
        <v>-1.5316718587746636E-2</v>
      </c>
      <c r="M61" s="46">
        <f t="shared" si="0"/>
        <v>39.590691292945372</v>
      </c>
      <c r="N61" s="46">
        <f t="shared" si="5"/>
        <v>58</v>
      </c>
      <c r="O61" s="50">
        <f t="shared" si="1"/>
        <v>4.9552573498441603</v>
      </c>
      <c r="P61" s="50">
        <f t="shared" si="2"/>
        <v>44.545948642789533</v>
      </c>
      <c r="Q61" s="50">
        <f t="shared" si="3"/>
        <v>41.591405707811063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1167.2049218889542</v>
      </c>
      <c r="V61" s="50">
        <f>$J$54*$J$31*($D$55*G23+$E$55*H23+$F$55*I23)</f>
        <v>1170.9126034944293</v>
      </c>
      <c r="W61" s="50">
        <f>$J$54*$J$31*($D$56*G23+$E$56*H23+$F$56*I23)</f>
        <v>614.23041062358675</v>
      </c>
      <c r="X61" s="29">
        <f t="shared" ref="X61:X68" si="43">SUM(U61:W61)</f>
        <v>2952.3479360069705</v>
      </c>
    </row>
    <row r="62" spans="1:24">
      <c r="A62" s="87"/>
      <c r="B62" s="48" t="str">
        <f t="shared" si="35"/>
        <v>D65</v>
      </c>
      <c r="C62" s="93"/>
      <c r="D62" s="31">
        <f t="shared" si="36"/>
        <v>577</v>
      </c>
      <c r="E62" s="32">
        <f t="shared" si="37"/>
        <v>6336</v>
      </c>
      <c r="F62" s="31">
        <f t="shared" si="38"/>
        <v>576.52476373751813</v>
      </c>
      <c r="G62" s="32">
        <f t="shared" si="39"/>
        <v>6316</v>
      </c>
      <c r="H62" s="33">
        <f t="shared" si="41"/>
        <v>-8.2363303723032022E-4</v>
      </c>
      <c r="I62" s="34">
        <f t="shared" si="40"/>
        <v>-3.1565656565656353E-3</v>
      </c>
      <c r="M62" s="46">
        <f t="shared" si="0"/>
        <v>41.545929439074698</v>
      </c>
      <c r="N62" s="46">
        <f t="shared" si="5"/>
        <v>59</v>
      </c>
      <c r="O62" s="50">
        <f t="shared" si="1"/>
        <v>2.916578637014581</v>
      </c>
      <c r="P62" s="50">
        <f t="shared" si="2"/>
        <v>44.462508076089279</v>
      </c>
      <c r="Q62" s="50">
        <f t="shared" si="3"/>
        <v>41.281289118076884</v>
      </c>
      <c r="R62" s="78"/>
      <c r="S62" s="46" t="str">
        <f t="shared" si="42"/>
        <v>D65</v>
      </c>
      <c r="T62" s="79"/>
      <c r="U62" s="50">
        <f>$J$54*$J$31*($D$54*G24+$E$54*H24+$F$54*I24)</f>
        <v>510.39797531703476</v>
      </c>
      <c r="V62" s="50">
        <f>$J$54*$J$31*($D$55*G24+$E$55*H24+$F$55*I24)</f>
        <v>576.52476373751813</v>
      </c>
      <c r="W62" s="50">
        <f>$J$54*$J$31*($D$56*G24+$E$56*H24+$F$56*I24)</f>
        <v>530.41642266178997</v>
      </c>
      <c r="X62" s="29">
        <f t="shared" si="43"/>
        <v>1617.3391617163429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514.25</v>
      </c>
      <c r="E63" s="32">
        <f t="shared" si="37"/>
        <v>2880</v>
      </c>
      <c r="F63" s="31">
        <f t="shared" si="38"/>
        <v>530.28254973817059</v>
      </c>
      <c r="G63" s="32">
        <f t="shared" si="39"/>
        <v>3135</v>
      </c>
      <c r="H63" s="33">
        <f t="shared" si="41"/>
        <v>3.1176567308061509E-2</v>
      </c>
      <c r="I63" s="34">
        <f t="shared" si="40"/>
        <v>8.8541666666666741E-2</v>
      </c>
      <c r="M63" s="46">
        <f t="shared" si="0"/>
        <v>43.501167585204037</v>
      </c>
      <c r="N63" s="46">
        <f t="shared" si="5"/>
        <v>60</v>
      </c>
      <c r="O63" s="50">
        <f t="shared" si="1"/>
        <v>0.87789992418498741</v>
      </c>
      <c r="P63" s="50">
        <f t="shared" si="2"/>
        <v>44.379067509389024</v>
      </c>
      <c r="Q63" s="50">
        <f t="shared" si="3"/>
        <v>40.971172528342699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558.843328205131</v>
      </c>
      <c r="V63" s="50">
        <f>$J$54*$J$34*($D$55*G25+$E$55*H25+$F$55*I25)</f>
        <v>530.28254973817059</v>
      </c>
      <c r="W63" s="50">
        <f>$J$54*$J$34*($D$56*G25+$E$56*H25+$F$56*I25)</f>
        <v>202.39379906062442</v>
      </c>
      <c r="X63" s="29">
        <f t="shared" si="43"/>
        <v>1291.5196770039258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1198</v>
      </c>
      <c r="E64" s="32">
        <f t="shared" si="37"/>
        <v>3852</v>
      </c>
      <c r="F64" s="31">
        <f t="shared" si="38"/>
        <v>1154.739911744944</v>
      </c>
      <c r="G64" s="32">
        <f t="shared" si="39"/>
        <v>3837</v>
      </c>
      <c r="H64" s="33">
        <f t="shared" si="41"/>
        <v>-3.6110257308060056E-2</v>
      </c>
      <c r="I64" s="34">
        <f t="shared" si="40"/>
        <v>-3.8940809968847079E-3</v>
      </c>
      <c r="M64" s="46">
        <f t="shared" si="0"/>
        <v>45.456405731333362</v>
      </c>
      <c r="N64" s="46">
        <f t="shared" si="5"/>
        <v>61</v>
      </c>
      <c r="O64" s="50">
        <f t="shared" si="1"/>
        <v>-1.1607787886445919</v>
      </c>
      <c r="P64" s="50">
        <f t="shared" si="2"/>
        <v>44.29562694268877</v>
      </c>
      <c r="Q64" s="50">
        <f t="shared" si="3"/>
        <v>40.66105593860852</v>
      </c>
      <c r="R64" s="78"/>
      <c r="S64" s="46" t="str">
        <f t="shared" si="42"/>
        <v>CWF</v>
      </c>
      <c r="T64" s="79"/>
      <c r="U64" s="50">
        <f>$J$54*$J$34*($D$54*G26+$E$54*H26+$F$54*I26)</f>
        <v>1148.0122516288172</v>
      </c>
      <c r="V64" s="50">
        <f>$J$54*$J$34*($D$55*G26+$E$55*H26+$F$55*I26)</f>
        <v>1154.739911744944</v>
      </c>
      <c r="W64" s="50">
        <f>$J$54*$J$34*($D$56*G26+$E$56*H26+$F$56*I26)</f>
        <v>617.04643130879788</v>
      </c>
      <c r="X64" s="29">
        <f t="shared" si="43"/>
        <v>2919.7985946825593</v>
      </c>
    </row>
    <row r="65" spans="1:24">
      <c r="A65" s="87"/>
      <c r="B65" s="48" t="str">
        <f t="shared" si="35"/>
        <v>D65</v>
      </c>
      <c r="C65" s="93"/>
      <c r="D65" s="31">
        <f t="shared" si="36"/>
        <v>577</v>
      </c>
      <c r="E65" s="32">
        <f t="shared" si="37"/>
        <v>6336</v>
      </c>
      <c r="F65" s="31">
        <f t="shared" si="38"/>
        <v>581.27942987476149</v>
      </c>
      <c r="G65" s="32">
        <f t="shared" si="39"/>
        <v>6306</v>
      </c>
      <c r="H65" s="33">
        <f t="shared" si="41"/>
        <v>7.4166895576455172E-3</v>
      </c>
      <c r="I65" s="34">
        <f t="shared" si="40"/>
        <v>-4.7348484848485084E-3</v>
      </c>
      <c r="M65" s="46">
        <f t="shared" si="0"/>
        <v>47.411643877462687</v>
      </c>
      <c r="N65" s="46">
        <f t="shared" si="5"/>
        <v>62</v>
      </c>
      <c r="O65" s="50">
        <f t="shared" si="1"/>
        <v>-3.1994575014741713</v>
      </c>
      <c r="P65" s="50">
        <f t="shared" si="2"/>
        <v>44.212186375988516</v>
      </c>
      <c r="Q65" s="50">
        <f t="shared" si="3"/>
        <v>40.350939348874334</v>
      </c>
      <c r="R65" s="78"/>
      <c r="S65" s="46" t="str">
        <f t="shared" si="42"/>
        <v>D65</v>
      </c>
      <c r="T65" s="79"/>
      <c r="U65" s="50">
        <f>$J$54*$J$34*($D$54*G27+$E$54*H27+$F$54*I27)</f>
        <v>514.79535555844234</v>
      </c>
      <c r="V65" s="50">
        <f>$J$54*$J$34*($D$55*G27+$E$55*H27+$F$55*I27)</f>
        <v>581.27942987476149</v>
      </c>
      <c r="W65" s="50">
        <f>$J$54*$J$34*($D$56*G27+$E$56*H27+$F$56*I27)</f>
        <v>534.18270192918931</v>
      </c>
      <c r="X65" s="29">
        <f t="shared" si="43"/>
        <v>1630.2574873623932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514.25</v>
      </c>
      <c r="E66" s="32">
        <f t="shared" si="37"/>
        <v>2880</v>
      </c>
      <c r="F66" s="31">
        <f t="shared" si="38"/>
        <v>502.84103394702299</v>
      </c>
      <c r="G66" s="32">
        <f t="shared" si="39"/>
        <v>2578</v>
      </c>
      <c r="H66" s="33">
        <f t="shared" si="41"/>
        <v>-2.2185641328103078E-2</v>
      </c>
      <c r="I66" s="34">
        <f t="shared" si="40"/>
        <v>-0.10486111111111107</v>
      </c>
      <c r="M66" s="46">
        <f t="shared" si="0"/>
        <v>49.366882023592026</v>
      </c>
      <c r="N66" s="46">
        <f t="shared" si="5"/>
        <v>63</v>
      </c>
      <c r="O66" s="50">
        <f t="shared" si="1"/>
        <v>-5.2381362143037649</v>
      </c>
      <c r="P66" s="50">
        <f t="shared" si="2"/>
        <v>44.128745809288262</v>
      </c>
      <c r="Q66" s="50">
        <f t="shared" si="3"/>
        <v>40.040822759140156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559.25390896995157</v>
      </c>
      <c r="V66" s="50">
        <f>$J$54*$J$37*($D$55*G28+$E$55*H28+$F$55*I28)</f>
        <v>502.84103394702299</v>
      </c>
      <c r="W66" s="50">
        <f>$J$54*$J$37*($D$56*G28+$E$56*H28+$F$56*I28)</f>
        <v>94.989744492765467</v>
      </c>
      <c r="X66" s="29">
        <f t="shared" si="43"/>
        <v>1157.0846874097401</v>
      </c>
    </row>
    <row r="67" spans="1:24">
      <c r="A67" s="87"/>
      <c r="B67" s="48" t="str">
        <f t="shared" si="35"/>
        <v>CWF</v>
      </c>
      <c r="C67" s="93"/>
      <c r="D67" s="31">
        <f t="shared" si="36"/>
        <v>1198</v>
      </c>
      <c r="E67" s="32">
        <f t="shared" si="37"/>
        <v>3852</v>
      </c>
      <c r="F67" s="31">
        <f t="shared" si="38"/>
        <v>1259.912999325576</v>
      </c>
      <c r="G67" s="32">
        <f t="shared" si="39"/>
        <v>3929</v>
      </c>
      <c r="H67" s="33">
        <f t="shared" si="41"/>
        <v>5.1680299937876484E-2</v>
      </c>
      <c r="I67" s="34">
        <f t="shared" si="40"/>
        <v>1.9989615784008263E-2</v>
      </c>
      <c r="R67" s="78"/>
      <c r="S67" s="46" t="str">
        <f t="shared" si="42"/>
        <v>CWF</v>
      </c>
      <c r="T67" s="79"/>
      <c r="U67" s="50">
        <f>$J$54*$J$37*($D$54*G29+$E$54*H29+$F$54*I29)</f>
        <v>1244.4211674762571</v>
      </c>
      <c r="V67" s="50">
        <f>$J$54*$J$37*($D$55*G29+$E$55*H29+$F$55*I29)</f>
        <v>1259.912999325576</v>
      </c>
      <c r="W67" s="50">
        <f>$J$54*$J$37*($D$56*G29+$E$56*H29+$F$56*I29)</f>
        <v>695.37518845030843</v>
      </c>
      <c r="X67" s="29">
        <f t="shared" si="43"/>
        <v>3199.7093552521414</v>
      </c>
    </row>
    <row r="68" spans="1:24">
      <c r="A68" s="87"/>
      <c r="B68" s="48" t="str">
        <f t="shared" si="35"/>
        <v>D65</v>
      </c>
      <c r="C68" s="93"/>
      <c r="D68" s="31">
        <f t="shared" si="36"/>
        <v>577</v>
      </c>
      <c r="E68" s="32">
        <f t="shared" si="37"/>
        <v>6336</v>
      </c>
      <c r="F68" s="31">
        <f t="shared" si="38"/>
        <v>565.5941668961284</v>
      </c>
      <c r="G68" s="32">
        <f t="shared" si="39"/>
        <v>6103</v>
      </c>
      <c r="H68" s="33">
        <f t="shared" si="41"/>
        <v>-1.9767475050037397E-2</v>
      </c>
      <c r="I68" s="34">
        <f t="shared" si="40"/>
        <v>-3.6773989898989945E-2</v>
      </c>
      <c r="R68" s="78"/>
      <c r="S68" s="46" t="str">
        <f t="shared" si="42"/>
        <v>D65</v>
      </c>
      <c r="T68" s="79"/>
      <c r="U68" s="50">
        <f>$J$54*$J$37*($D$54*G30+$E$54*H30+$F$54*I30)</f>
        <v>504.48702666914249</v>
      </c>
      <c r="V68" s="50">
        <f>$J$54*$J$37*($D$55*G30+$E$55*H30+$F$55*I30)</f>
        <v>565.5941668961284</v>
      </c>
      <c r="W68" s="50">
        <f>$J$54*$J$37*($D$56*G30+$E$56*H30+$F$56*I30)</f>
        <v>505.87222694283946</v>
      </c>
      <c r="X68" s="29">
        <f t="shared" si="43"/>
        <v>1575.9534205081104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5.1680299937876484E-2</v>
      </c>
      <c r="G69" s="47"/>
      <c r="H69" s="36" t="str">
        <f>I59</f>
        <v>CCT</v>
      </c>
      <c r="I69" s="38">
        <f>MAX(MAX(I60:I68,-MIN(I60:I68)))</f>
        <v>0.10486111111111107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514.25</v>
      </c>
      <c r="E72" s="31">
        <f t="shared" ref="E72:E80" si="47">E60</f>
        <v>2880</v>
      </c>
      <c r="F72" s="31">
        <f t="shared" ref="F72:F80" si="48">V72</f>
        <v>528.91204438654711</v>
      </c>
      <c r="G72" s="32">
        <f t="shared" ref="G72:G80" si="49">getCCTfromXY(U72/X72,V72/X72)</f>
        <v>3063</v>
      </c>
      <c r="H72" s="33">
        <f>F72/D72-1</f>
        <v>2.8511510717641464E-2</v>
      </c>
      <c r="I72" s="34">
        <f t="shared" ref="I72:I80" si="50">G72/E72-1</f>
        <v>6.3541666666666607E-2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560.86099388138905</v>
      </c>
      <c r="V72" s="50">
        <f>$J$51*$J$31*($D$52*G22+$E$52*H22+$F$52*I22)</f>
        <v>528.91204438654711</v>
      </c>
      <c r="W72" s="50">
        <f>$J$51*$J$31*($D$53*G22+$E$53*H22+$F$53*I22)</f>
        <v>190.82077779783046</v>
      </c>
      <c r="X72" s="29">
        <f>SUM(U72:W72)</f>
        <v>1280.5938160657665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1198</v>
      </c>
      <c r="E73" s="31">
        <f t="shared" si="47"/>
        <v>3852</v>
      </c>
      <c r="F73" s="31">
        <f t="shared" si="48"/>
        <v>1186.463875793906</v>
      </c>
      <c r="G73" s="32">
        <f t="shared" si="49"/>
        <v>3801</v>
      </c>
      <c r="H73" s="33">
        <f t="shared" ref="H73:H80" si="52">F73/D73-1</f>
        <v>-9.6294859817145362E-3</v>
      </c>
      <c r="I73" s="34">
        <f t="shared" si="50"/>
        <v>-1.3239875389408073E-2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1182.0781091426043</v>
      </c>
      <c r="V73" s="50">
        <f t="shared" ref="V73:V74" si="55">$J$51*$J$31*($D$52*G23+$E$52*H23+$F$52*I23)</f>
        <v>1186.463875793906</v>
      </c>
      <c r="W73" s="50">
        <f t="shared" ref="W73:W74" si="56">$J$51*$J$31*($D$53*G23+$E$53*H23+$F$53*I23)</f>
        <v>624.39568896313995</v>
      </c>
      <c r="X73" s="29">
        <f t="shared" ref="X73:X80" si="57">SUM(U73:W73)</f>
        <v>2992.9376738996502</v>
      </c>
    </row>
    <row r="74" spans="1:24">
      <c r="A74" s="87"/>
      <c r="B74" s="48" t="str">
        <f t="shared" si="46"/>
        <v>X</v>
      </c>
      <c r="C74" s="93"/>
      <c r="D74" s="31">
        <f t="shared" si="51"/>
        <v>577</v>
      </c>
      <c r="E74" s="31">
        <f t="shared" si="47"/>
        <v>6336</v>
      </c>
      <c r="F74" s="31">
        <f t="shared" si="48"/>
        <v>588.52765067224072</v>
      </c>
      <c r="G74" s="32">
        <f t="shared" si="49"/>
        <v>6439</v>
      </c>
      <c r="H74" s="33">
        <f t="shared" si="52"/>
        <v>1.997859735223706E-2</v>
      </c>
      <c r="I74" s="34">
        <f t="shared" si="50"/>
        <v>1.6256313131313149E-2</v>
      </c>
      <c r="R74" s="78"/>
      <c r="S74" s="46" t="str">
        <f t="shared" si="53"/>
        <v>D65</v>
      </c>
      <c r="T74" s="79"/>
      <c r="U74" s="50">
        <f t="shared" si="54"/>
        <v>518.6277797715278</v>
      </c>
      <c r="V74" s="50">
        <f t="shared" si="55"/>
        <v>588.52765067224072</v>
      </c>
      <c r="W74" s="50">
        <f t="shared" si="56"/>
        <v>549.5284572174296</v>
      </c>
      <c r="X74" s="29">
        <f t="shared" si="57"/>
        <v>1656.6838876611982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514.25</v>
      </c>
      <c r="E75" s="31">
        <f t="shared" si="47"/>
        <v>2880</v>
      </c>
      <c r="F75" s="31">
        <f t="shared" si="48"/>
        <v>535.42105033917449</v>
      </c>
      <c r="G75" s="32">
        <f t="shared" si="49"/>
        <v>3137</v>
      </c>
      <c r="H75" s="33">
        <f t="shared" si="52"/>
        <v>4.1168790158822466E-2</v>
      </c>
      <c r="I75" s="34">
        <f t="shared" si="50"/>
        <v>8.9236111111111072E-2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564.22071174130917</v>
      </c>
      <c r="V75" s="50">
        <f>$J$51*$J$34*($D$52*G25+$E$52*H25+$F$52*I25)</f>
        <v>535.42105033917449</v>
      </c>
      <c r="W75" s="50">
        <f>$J$51*$J$34*($D$53*G25+$E$53*H25+$F$53*I25)</f>
        <v>204.84170192765998</v>
      </c>
      <c r="X75" s="29">
        <f t="shared" si="57"/>
        <v>1304.4834640081435</v>
      </c>
    </row>
    <row r="76" spans="1:24">
      <c r="A76" s="87"/>
      <c r="B76" s="48" t="str">
        <f t="shared" si="46"/>
        <v>Z</v>
      </c>
      <c r="C76" s="93"/>
      <c r="D76" s="31">
        <f t="shared" si="51"/>
        <v>1198</v>
      </c>
      <c r="E76" s="31">
        <f t="shared" si="47"/>
        <v>3852</v>
      </c>
      <c r="F76" s="31">
        <f t="shared" si="48"/>
        <v>1170.2857802038448</v>
      </c>
      <c r="G76" s="32">
        <f t="shared" si="49"/>
        <v>3847</v>
      </c>
      <c r="H76" s="33">
        <f t="shared" si="52"/>
        <v>-2.3133739395788999E-2</v>
      </c>
      <c r="I76" s="34">
        <f t="shared" si="50"/>
        <v>-1.2980269989615323E-3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1162.7111430337955</v>
      </c>
      <c r="V76" s="50">
        <f t="shared" ref="V76:V77" si="59">$J$51*$J$34*($D$52*G26+$E$52*H26+$F$52*I26)</f>
        <v>1170.2857802038448</v>
      </c>
      <c r="W76" s="50">
        <f t="shared" ref="W76:W77" si="60">$J$51*$J$34*($D$53*G26+$E$53*H26+$F$53*I26)</f>
        <v>627.80357608057</v>
      </c>
      <c r="X76" s="29">
        <f t="shared" si="57"/>
        <v>2960.8004993182103</v>
      </c>
    </row>
    <row r="77" spans="1:24">
      <c r="A77" s="87"/>
      <c r="B77" s="48" t="str">
        <f t="shared" si="46"/>
        <v>X</v>
      </c>
      <c r="C77" s="93"/>
      <c r="D77" s="31">
        <f t="shared" si="51"/>
        <v>577</v>
      </c>
      <c r="E77" s="31">
        <f t="shared" si="47"/>
        <v>6336</v>
      </c>
      <c r="F77" s="31">
        <f t="shared" si="48"/>
        <v>593.36885543292055</v>
      </c>
      <c r="G77" s="32">
        <f t="shared" si="49"/>
        <v>6429</v>
      </c>
      <c r="H77" s="33">
        <f t="shared" si="52"/>
        <v>2.8368900230364869E-2</v>
      </c>
      <c r="I77" s="34">
        <f t="shared" si="50"/>
        <v>1.4678030303030276E-2</v>
      </c>
      <c r="R77" s="78"/>
      <c r="S77" s="46" t="str">
        <f t="shared" si="53"/>
        <v>D65</v>
      </c>
      <c r="T77" s="79"/>
      <c r="U77" s="50">
        <f t="shared" si="58"/>
        <v>523.08864048071393</v>
      </c>
      <c r="V77" s="50">
        <f t="shared" si="59"/>
        <v>593.36885543292055</v>
      </c>
      <c r="W77" s="50">
        <f t="shared" si="60"/>
        <v>553.41945604299383</v>
      </c>
      <c r="X77" s="29">
        <f t="shared" si="57"/>
        <v>1669.8769519566281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514.25</v>
      </c>
      <c r="E78" s="31">
        <f t="shared" si="47"/>
        <v>2880</v>
      </c>
      <c r="F78" s="31">
        <f t="shared" si="48"/>
        <v>505.76263857240025</v>
      </c>
      <c r="G78" s="32">
        <f t="shared" si="49"/>
        <v>2560</v>
      </c>
      <c r="H78" s="33">
        <f t="shared" si="52"/>
        <v>-1.6504348911229427E-2</v>
      </c>
      <c r="I78" s="34">
        <f t="shared" si="50"/>
        <v>-0.11111111111111116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563.73010536594506</v>
      </c>
      <c r="V78" s="50">
        <f>$J$51*$J$37*($D$52*G28+$E$52*H28+$F$52*I28)</f>
        <v>505.76263857240025</v>
      </c>
      <c r="W78" s="50">
        <f>$J$51*$J$37*($D$53*G28+$E$53*H28+$F$53*I28)</f>
        <v>91.882308157051995</v>
      </c>
      <c r="X78" s="29">
        <f t="shared" si="57"/>
        <v>1161.3750520953972</v>
      </c>
    </row>
    <row r="79" spans="1:24">
      <c r="A79" s="87"/>
      <c r="B79" s="48" t="str">
        <f t="shared" si="46"/>
        <v>Z</v>
      </c>
      <c r="C79" s="93"/>
      <c r="D79" s="31">
        <f t="shared" si="51"/>
        <v>1198</v>
      </c>
      <c r="E79" s="31">
        <f t="shared" si="47"/>
        <v>3852</v>
      </c>
      <c r="F79" s="31">
        <f t="shared" si="48"/>
        <v>1277.3956594327126</v>
      </c>
      <c r="G79" s="32">
        <f t="shared" si="49"/>
        <v>3940</v>
      </c>
      <c r="H79" s="33">
        <f t="shared" si="52"/>
        <v>6.6273505369543129E-2</v>
      </c>
      <c r="I79" s="34">
        <f t="shared" si="50"/>
        <v>2.2845275181723856E-2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1260.7745437179972</v>
      </c>
      <c r="V79" s="50">
        <f t="shared" ref="V79:V80" si="62">$J$51*$J$37*($D$52*G29+$E$52*H29+$F$52*I29)</f>
        <v>1277.3956594327126</v>
      </c>
      <c r="W79" s="50">
        <f t="shared" ref="W79:W80" si="63">$J$51*$J$37*($D$53*G29+$E$53*H29+$F$53*I29)</f>
        <v>707.93559343191464</v>
      </c>
      <c r="X79" s="29">
        <f t="shared" si="57"/>
        <v>3246.1057965826244</v>
      </c>
    </row>
    <row r="80" spans="1:24">
      <c r="A80" s="87"/>
      <c r="B80" s="48" t="str">
        <f t="shared" si="46"/>
        <v>X</v>
      </c>
      <c r="C80" s="93"/>
      <c r="D80" s="31">
        <f t="shared" si="51"/>
        <v>577</v>
      </c>
      <c r="E80" s="31">
        <f t="shared" si="47"/>
        <v>6336</v>
      </c>
      <c r="F80" s="31">
        <f t="shared" si="48"/>
        <v>577.10992596750702</v>
      </c>
      <c r="G80" s="32">
        <f t="shared" si="49"/>
        <v>6214</v>
      </c>
      <c r="H80" s="33">
        <f t="shared" si="52"/>
        <v>1.9051294195326918E-4</v>
      </c>
      <c r="I80" s="34">
        <f t="shared" si="50"/>
        <v>-1.9255050505050497E-2</v>
      </c>
      <c r="R80" s="78"/>
      <c r="S80" s="46" t="str">
        <f t="shared" si="53"/>
        <v>D65</v>
      </c>
      <c r="T80" s="79"/>
      <c r="U80" s="50">
        <f t="shared" si="61"/>
        <v>512.54135369638004</v>
      </c>
      <c r="V80" s="50">
        <f t="shared" si="62"/>
        <v>577.10992596750702</v>
      </c>
      <c r="W80" s="50">
        <f t="shared" si="63"/>
        <v>523.63398302267842</v>
      </c>
      <c r="X80" s="29">
        <f t="shared" si="57"/>
        <v>1613.2852626865656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6.6273505369543129E-2</v>
      </c>
      <c r="G81" s="47"/>
      <c r="H81" s="36" t="str">
        <f>I71</f>
        <v>CCT</v>
      </c>
      <c r="I81" s="38">
        <f>MAX(MAX(I72:I80,-MIN(I72:I80)))</f>
        <v>0.11111111111111116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514.25</v>
      </c>
      <c r="E84" s="31">
        <f t="shared" ref="E84:E92" si="67">E72</f>
        <v>2880</v>
      </c>
      <c r="F84" s="31">
        <f t="shared" ref="F84:F92" si="68">V84</f>
        <v>514.25000000000023</v>
      </c>
      <c r="G84" s="32">
        <f t="shared" ref="G84:G92" si="69">getCCTfromXY(U84/X84,V84/X84)</f>
        <v>2880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554.40000000000009</v>
      </c>
      <c r="V84" s="50">
        <f>$J$42*$J$31*($D$43*G22+$E$43*H22+$F$43*I22)</f>
        <v>514.25000000000023</v>
      </c>
      <c r="W84" s="50">
        <f>$J$42*$J$31*($D$44*G22+$E$44*H22+$F$44*I22)</f>
        <v>155.50000000000011</v>
      </c>
      <c r="X84" s="29">
        <f>SUM(U84:W84)</f>
        <v>1224.1500000000005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1198</v>
      </c>
      <c r="E85" s="31">
        <f t="shared" si="67"/>
        <v>3852</v>
      </c>
      <c r="F85" s="31">
        <f t="shared" si="68"/>
        <v>1198</v>
      </c>
      <c r="G85" s="32">
        <f t="shared" si="69"/>
        <v>3852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1189.4999999999998</v>
      </c>
      <c r="V85" s="50">
        <f t="shared" ref="V85:V86" si="75">$J$42*$J$31*($D$43*G23+$E$43*H23+$F$43*I23)</f>
        <v>1198</v>
      </c>
      <c r="W85" s="50">
        <f t="shared" ref="W85:W86" si="76">$J$42*$J$31*($D$44*G23+$E$44*H23+$F$44*I23)</f>
        <v>643</v>
      </c>
      <c r="X85" s="29">
        <f t="shared" ref="X85:X92" si="77">SUM(U85:W85)</f>
        <v>3030.5</v>
      </c>
    </row>
    <row r="86" spans="1:24">
      <c r="A86" s="87"/>
      <c r="B86" s="48">
        <f t="shared" si="66"/>
        <v>0</v>
      </c>
      <c r="C86" s="93"/>
      <c r="D86" s="31">
        <f t="shared" si="71"/>
        <v>577</v>
      </c>
      <c r="E86" s="31">
        <f t="shared" si="67"/>
        <v>6336</v>
      </c>
      <c r="F86" s="31">
        <f t="shared" si="68"/>
        <v>577.00000000000011</v>
      </c>
      <c r="G86" s="32">
        <f t="shared" si="69"/>
        <v>6336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510.29999999999984</v>
      </c>
      <c r="V86" s="50">
        <f t="shared" si="75"/>
        <v>577.00000000000011</v>
      </c>
      <c r="W86" s="50">
        <f t="shared" si="76"/>
        <v>531.95000000000016</v>
      </c>
      <c r="X86" s="29">
        <f t="shared" si="77"/>
        <v>1619.25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514.25</v>
      </c>
      <c r="E87" s="31">
        <f t="shared" si="67"/>
        <v>2880</v>
      </c>
      <c r="F87" s="31">
        <f t="shared" si="68"/>
        <v>514.25000000000011</v>
      </c>
      <c r="G87" s="32">
        <f t="shared" si="69"/>
        <v>2880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554.39999999999975</v>
      </c>
      <c r="V87" s="50">
        <f>$J$45*$J$34*($D$46*G25+$E$46*H25+$F$46*I25)</f>
        <v>514.25000000000011</v>
      </c>
      <c r="W87" s="50">
        <f>$J$45*$J$34*($D$47*G25+$E$47*H25+$F$47*I25)</f>
        <v>155.49999999999997</v>
      </c>
      <c r="X87" s="29">
        <f t="shared" si="77"/>
        <v>1224.1499999999999</v>
      </c>
    </row>
    <row r="88" spans="1:24">
      <c r="A88" s="87"/>
      <c r="B88" s="48">
        <f t="shared" si="66"/>
        <v>0</v>
      </c>
      <c r="C88" s="93"/>
      <c r="D88" s="31">
        <f t="shared" si="71"/>
        <v>1198</v>
      </c>
      <c r="E88" s="31">
        <f t="shared" si="67"/>
        <v>3852</v>
      </c>
      <c r="F88" s="31">
        <f t="shared" si="68"/>
        <v>1198</v>
      </c>
      <c r="G88" s="32">
        <f t="shared" si="69"/>
        <v>3852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1189.5000000000002</v>
      </c>
      <c r="V88" s="50">
        <f t="shared" ref="V88:V89" si="79">$J$45*$J$34*($D$46*G26+$E$46*H26+$F$46*I26)</f>
        <v>1198</v>
      </c>
      <c r="W88" s="50">
        <f t="shared" ref="W88:W89" si="80">$J$45*$J$34*($D$47*G26+$E$47*H26+$F$47*I26)</f>
        <v>643</v>
      </c>
      <c r="X88" s="29">
        <f t="shared" si="77"/>
        <v>3030.5</v>
      </c>
    </row>
    <row r="89" spans="1:24">
      <c r="A89" s="87"/>
      <c r="B89" s="48" t="str">
        <f t="shared" si="66"/>
        <v>A</v>
      </c>
      <c r="C89" s="93"/>
      <c r="D89" s="31">
        <f t="shared" si="71"/>
        <v>577</v>
      </c>
      <c r="E89" s="31">
        <f t="shared" si="67"/>
        <v>6336</v>
      </c>
      <c r="F89" s="31">
        <f t="shared" si="68"/>
        <v>577</v>
      </c>
      <c r="G89" s="32">
        <f t="shared" si="69"/>
        <v>6336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510.3</v>
      </c>
      <c r="V89" s="50">
        <f t="shared" si="79"/>
        <v>577</v>
      </c>
      <c r="W89" s="50">
        <f t="shared" si="80"/>
        <v>531.94999999999993</v>
      </c>
      <c r="X89" s="29">
        <f t="shared" si="77"/>
        <v>1619.25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514.25</v>
      </c>
      <c r="E90" s="31">
        <f t="shared" si="67"/>
        <v>2880</v>
      </c>
      <c r="F90" s="31">
        <f t="shared" si="68"/>
        <v>514.24999999999966</v>
      </c>
      <c r="G90" s="32">
        <f t="shared" si="69"/>
        <v>2880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554.40000000000055</v>
      </c>
      <c r="V90" s="50">
        <f>$J$48*$J$37*($D$49*G28+$E$49*H28+$F$49*I28)</f>
        <v>514.24999999999966</v>
      </c>
      <c r="W90" s="50">
        <f>$J$48*$J$37*($D$50*G28+$E$50*H28+$F$50*I28)</f>
        <v>155.49999999999983</v>
      </c>
      <c r="X90" s="29">
        <f t="shared" si="77"/>
        <v>1224.1499999999999</v>
      </c>
    </row>
    <row r="91" spans="1:24">
      <c r="A91" s="87"/>
      <c r="B91" s="48" t="str">
        <f t="shared" si="66"/>
        <v>D65</v>
      </c>
      <c r="C91" s="93"/>
      <c r="D91" s="31">
        <f t="shared" si="71"/>
        <v>1198</v>
      </c>
      <c r="E91" s="31">
        <f t="shared" si="67"/>
        <v>3852</v>
      </c>
      <c r="F91" s="31">
        <f t="shared" si="68"/>
        <v>1198</v>
      </c>
      <c r="G91" s="32">
        <f t="shared" si="69"/>
        <v>3852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1189.5000000000005</v>
      </c>
      <c r="V91" s="50">
        <f t="shared" ref="V91:V92" si="82">$J$48*$J$37*($D$49*G29+$E$49*H29+$F$49*I29)</f>
        <v>1198</v>
      </c>
      <c r="W91" s="50">
        <f t="shared" ref="W91:W92" si="83">$J$48*$J$37*($D$50*G29+$E$50*H29+$F$50*I29)</f>
        <v>643</v>
      </c>
      <c r="X91" s="29">
        <f t="shared" si="77"/>
        <v>3030.5000000000005</v>
      </c>
    </row>
    <row r="92" spans="1:24">
      <c r="A92" s="87"/>
      <c r="B92" s="48" t="str">
        <f t="shared" si="66"/>
        <v>A</v>
      </c>
      <c r="C92" s="93"/>
      <c r="D92" s="31">
        <f t="shared" si="71"/>
        <v>577</v>
      </c>
      <c r="E92" s="31">
        <f t="shared" si="67"/>
        <v>6336</v>
      </c>
      <c r="F92" s="31">
        <f t="shared" si="68"/>
        <v>576.99999999999989</v>
      </c>
      <c r="G92" s="32">
        <f t="shared" si="69"/>
        <v>6336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510.3</v>
      </c>
      <c r="V92" s="50">
        <f t="shared" si="82"/>
        <v>576.99999999999989</v>
      </c>
      <c r="W92" s="50">
        <f t="shared" si="83"/>
        <v>531.95000000000005</v>
      </c>
      <c r="X92" s="29">
        <f t="shared" si="77"/>
        <v>1619.25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3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1.1982640076166433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77.078409553167774</v>
      </c>
      <c r="N3" s="46">
        <v>0</v>
      </c>
      <c r="O3" s="50">
        <f>G$5-N3*G$7</f>
        <v>128.95714821763602</v>
      </c>
      <c r="P3" s="50">
        <f>H$5-N3*H$7</f>
        <v>51.878738664468251</v>
      </c>
      <c r="Q3" s="50">
        <f>I$5-N3*I$7</f>
        <v>60.998287334374815</v>
      </c>
    </row>
    <row r="4" spans="1:17">
      <c r="C4" s="46" t="s">
        <v>20</v>
      </c>
      <c r="D4" s="7">
        <v>533</v>
      </c>
      <c r="E4" s="7">
        <v>1213</v>
      </c>
      <c r="F4" s="7">
        <v>576.1</v>
      </c>
      <c r="G4" s="50">
        <f>AVERAGE(D4:F4)</f>
        <v>774.0333333333333</v>
      </c>
      <c r="H4" s="50">
        <f>G4</f>
        <v>774.0333333333333</v>
      </c>
      <c r="I4" s="50">
        <f>H4</f>
        <v>774.0333333333333</v>
      </c>
      <c r="K4" s="13" t="str">
        <f>linefmt("Compensation",B12)</f>
        <v>"Compensation",37,</v>
      </c>
      <c r="M4" s="46">
        <f t="shared" si="0"/>
        <v>75.025549996067326</v>
      </c>
      <c r="N4" s="46">
        <f>N3+1</f>
        <v>1</v>
      </c>
      <c r="O4" s="50">
        <f t="shared" ref="O4:O66" si="1">G$5-N4*G$7</f>
        <v>126.80786241400875</v>
      </c>
      <c r="P4" s="50">
        <f t="shared" ref="P4:P66" si="2">H$5-N4*H$7</f>
        <v>51.782312417941426</v>
      </c>
      <c r="Q4" s="50">
        <f t="shared" ref="Q4:Q66" si="3">I$5-N4*I$7</f>
        <v>60.687772313191509</v>
      </c>
    </row>
    <row r="5" spans="1:17">
      <c r="C5" s="46">
        <v>0</v>
      </c>
      <c r="D5" s="9">
        <v>88.8</v>
      </c>
      <c r="E5" s="9">
        <v>81.3</v>
      </c>
      <c r="F5" s="9">
        <v>45.4</v>
      </c>
      <c r="G5" s="50">
        <f>G$4/D$4*D5</f>
        <v>128.95714821763602</v>
      </c>
      <c r="H5" s="50">
        <f t="shared" ref="H5:I6" si="4">H$4/E$4*E5</f>
        <v>51.878738664468251</v>
      </c>
      <c r="I5" s="50">
        <f t="shared" si="4"/>
        <v>60.998287334374815</v>
      </c>
      <c r="K5" s="14" t="str">
        <f>linefmt("CardGain",J54)</f>
        <v>"CardGain",17.33258,</v>
      </c>
      <c r="M5" s="46">
        <f t="shared" si="0"/>
        <v>72.972690438966879</v>
      </c>
      <c r="N5" s="46">
        <f t="shared" ref="N5:N66" si="5">N4+1</f>
        <v>2</v>
      </c>
      <c r="O5" s="50">
        <f t="shared" si="1"/>
        <v>124.65857661038149</v>
      </c>
      <c r="P5" s="50">
        <f t="shared" si="2"/>
        <v>51.685886171414602</v>
      </c>
      <c r="Q5" s="50">
        <f t="shared" si="3"/>
        <v>60.377257292008203</v>
      </c>
    </row>
    <row r="6" spans="1:17">
      <c r="B6" s="50">
        <f>D5/4</f>
        <v>22.2</v>
      </c>
      <c r="C6" s="7">
        <v>45</v>
      </c>
      <c r="D6" s="9">
        <v>22.2</v>
      </c>
      <c r="E6" s="9">
        <v>74.5</v>
      </c>
      <c r="F6" s="9">
        <v>35</v>
      </c>
      <c r="G6" s="50">
        <f>G$4/D$4*D6</f>
        <v>32.239287054409004</v>
      </c>
      <c r="H6" s="50">
        <f t="shared" si="4"/>
        <v>47.539557570761197</v>
      </c>
      <c r="I6" s="50">
        <f t="shared" si="4"/>
        <v>47.02511138112596</v>
      </c>
      <c r="K6" s="14" t="str">
        <f>linefmt("Range",1,J34,J37)</f>
        <v>"Range",1,0.9047718,1.059024,</v>
      </c>
      <c r="M6" s="46">
        <f t="shared" si="0"/>
        <v>70.919830881866432</v>
      </c>
      <c r="N6" s="46">
        <f t="shared" si="5"/>
        <v>3</v>
      </c>
      <c r="O6" s="50">
        <f t="shared" si="1"/>
        <v>122.50929080675422</v>
      </c>
      <c r="P6" s="50">
        <f t="shared" si="2"/>
        <v>51.589459924887784</v>
      </c>
      <c r="Q6" s="50">
        <f t="shared" si="3"/>
        <v>60.066742270824889</v>
      </c>
    </row>
    <row r="7" spans="1:17">
      <c r="C7" s="46">
        <f>C5</f>
        <v>0</v>
      </c>
      <c r="D7" s="46">
        <f t="shared" ref="D7:F8" si="6">D$4/D5</f>
        <v>6.0022522522522523</v>
      </c>
      <c r="E7" s="46">
        <f t="shared" si="6"/>
        <v>14.920049200492006</v>
      </c>
      <c r="F7" s="46">
        <f t="shared" si="6"/>
        <v>12.689427312775331</v>
      </c>
      <c r="G7" s="49">
        <f>(G5-G6)/($C6-$C5)</f>
        <v>2.1492858036272668</v>
      </c>
      <c r="H7" s="49">
        <f t="shared" ref="H7:I7" si="7">(H5-H6)/($C6-$C5)</f>
        <v>9.6426246526823439E-2</v>
      </c>
      <c r="I7" s="49">
        <f t="shared" si="7"/>
        <v>0.31051502118330787</v>
      </c>
      <c r="K7" s="14" t="str">
        <f>linefmt("CCM" )</f>
        <v>"CCM",</v>
      </c>
      <c r="M7" s="46">
        <f t="shared" si="0"/>
        <v>68.866971324765998</v>
      </c>
      <c r="N7" s="46">
        <f t="shared" si="5"/>
        <v>4</v>
      </c>
      <c r="O7" s="50">
        <f t="shared" si="1"/>
        <v>120.36000500312696</v>
      </c>
      <c r="P7" s="50">
        <f t="shared" si="2"/>
        <v>51.493033678360959</v>
      </c>
      <c r="Q7" s="50">
        <f t="shared" si="3"/>
        <v>59.756227249641583</v>
      </c>
    </row>
    <row r="8" spans="1:17">
      <c r="C8" s="46">
        <f>C6</f>
        <v>45</v>
      </c>
      <c r="D8" s="46">
        <f t="shared" si="6"/>
        <v>24.009009009009009</v>
      </c>
      <c r="E8" s="46">
        <f t="shared" si="6"/>
        <v>16.281879194630871</v>
      </c>
      <c r="F8" s="46">
        <f t="shared" si="6"/>
        <v>16.46</v>
      </c>
      <c r="K8" s="15" t="str">
        <f>linefmt("",D54,E54,F54)</f>
        <v>0.1587569,1.033885,-0.4184234,</v>
      </c>
      <c r="M8" s="46">
        <f t="shared" si="0"/>
        <v>66.814111767665537</v>
      </c>
      <c r="N8" s="46">
        <f t="shared" si="5"/>
        <v>5</v>
      </c>
      <c r="O8" s="50">
        <f t="shared" si="1"/>
        <v>118.21071919949968</v>
      </c>
      <c r="P8" s="50">
        <f t="shared" si="2"/>
        <v>51.396607431834134</v>
      </c>
      <c r="Q8" s="50">
        <f t="shared" si="3"/>
        <v>59.445712228458277</v>
      </c>
    </row>
    <row r="9" spans="1:17">
      <c r="C9" s="46" t="s">
        <v>23</v>
      </c>
      <c r="D9" s="46">
        <f>(D8-D7)/($C8-$C7)</f>
        <v>0.40015015015015015</v>
      </c>
      <c r="E9" s="46">
        <f>(E8-E7)/($C8-$C7)</f>
        <v>3.0262888758641457E-2</v>
      </c>
      <c r="F9" s="46">
        <f>(F8-F7)/($C8-$C7)</f>
        <v>8.3790504160548215E-2</v>
      </c>
      <c r="K9" s="15" t="str">
        <f>linefmt("",D55,E55,F55)</f>
        <v>2.842089E-02,1,-0.1339205,</v>
      </c>
      <c r="M9" s="46">
        <f t="shared" si="0"/>
        <v>64.761252210565104</v>
      </c>
      <c r="N9" s="46">
        <f t="shared" si="5"/>
        <v>6</v>
      </c>
      <c r="O9" s="50">
        <f t="shared" si="1"/>
        <v>116.06143339587241</v>
      </c>
      <c r="P9" s="50">
        <f t="shared" si="2"/>
        <v>51.300181185307309</v>
      </c>
      <c r="Q9" s="50">
        <f t="shared" si="3"/>
        <v>59.13519720727497</v>
      </c>
    </row>
    <row r="10" spans="1:17">
      <c r="K10" s="16" t="str">
        <f>linefmt("",D56,E56,F56)</f>
        <v>-0.423429,0.357365,0.9628557,</v>
      </c>
      <c r="M10" s="46">
        <f t="shared" si="0"/>
        <v>62.708392653464664</v>
      </c>
      <c r="N10" s="46">
        <f t="shared" si="5"/>
        <v>7</v>
      </c>
      <c r="O10" s="50">
        <f t="shared" si="1"/>
        <v>113.91214759224515</v>
      </c>
      <c r="P10" s="50">
        <f t="shared" si="2"/>
        <v>51.203754938780484</v>
      </c>
      <c r="Q10" s="50">
        <f t="shared" si="3"/>
        <v>58.824682186091664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60.655533096364216</v>
      </c>
      <c r="N11" s="46">
        <f t="shared" si="5"/>
        <v>8</v>
      </c>
      <c r="O11" s="50">
        <f t="shared" si="1"/>
        <v>111.76286178861788</v>
      </c>
      <c r="P11" s="50">
        <f t="shared" si="2"/>
        <v>51.107328692253667</v>
      </c>
      <c r="Q11" s="50">
        <f t="shared" si="3"/>
        <v>58.514167164908351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58.602673539263776</v>
      </c>
      <c r="N12" s="46">
        <f t="shared" si="5"/>
        <v>9</v>
      </c>
      <c r="O12" s="50">
        <f t="shared" si="1"/>
        <v>109.61357598499062</v>
      </c>
      <c r="P12" s="50">
        <f t="shared" si="2"/>
        <v>51.010902445726842</v>
      </c>
      <c r="Q12" s="50">
        <f t="shared" si="3"/>
        <v>58.203652143725044</v>
      </c>
    </row>
    <row r="13" spans="1:17">
      <c r="A13" s="78" t="s">
        <v>12</v>
      </c>
      <c r="B13" s="79" t="s">
        <v>0</v>
      </c>
      <c r="C13" s="46">
        <v>0</v>
      </c>
      <c r="D13" s="7">
        <v>557.5</v>
      </c>
      <c r="E13" s="7">
        <v>517.20000000000005</v>
      </c>
      <c r="F13" s="7">
        <v>156.19999999999999</v>
      </c>
      <c r="G13" s="8">
        <v>86.5</v>
      </c>
      <c r="H13" s="8">
        <v>32.9</v>
      </c>
      <c r="I13" s="8">
        <v>38</v>
      </c>
      <c r="M13" s="46">
        <f t="shared" si="0"/>
        <v>56.549813982163336</v>
      </c>
      <c r="N13" s="46">
        <f t="shared" si="5"/>
        <v>10</v>
      </c>
      <c r="O13" s="50">
        <f t="shared" si="1"/>
        <v>107.46429018136335</v>
      </c>
      <c r="P13" s="50">
        <f t="shared" si="2"/>
        <v>50.914476199200017</v>
      </c>
      <c r="Q13" s="50">
        <f t="shared" si="3"/>
        <v>57.893137122541738</v>
      </c>
    </row>
    <row r="14" spans="1:17">
      <c r="A14" s="78"/>
      <c r="B14" s="79"/>
      <c r="C14" s="46">
        <f>C13+1</f>
        <v>1</v>
      </c>
      <c r="D14" s="7">
        <v>563.70000000000005</v>
      </c>
      <c r="E14" s="7">
        <v>522.70000000000005</v>
      </c>
      <c r="F14" s="7">
        <v>156.19999999999999</v>
      </c>
      <c r="G14" s="8">
        <v>93.2</v>
      </c>
      <c r="H14" s="8">
        <v>36.9</v>
      </c>
      <c r="I14" s="8">
        <v>42.5</v>
      </c>
      <c r="M14" s="46">
        <f t="shared" si="0"/>
        <v>54.496954425062881</v>
      </c>
      <c r="N14" s="46">
        <f t="shared" si="5"/>
        <v>11</v>
      </c>
      <c r="O14" s="50">
        <f t="shared" si="1"/>
        <v>105.31500437773607</v>
      </c>
      <c r="P14" s="50">
        <f t="shared" si="2"/>
        <v>50.818049952673192</v>
      </c>
      <c r="Q14" s="50">
        <f t="shared" si="3"/>
        <v>57.582622101358432</v>
      </c>
    </row>
    <row r="15" spans="1:17">
      <c r="A15" s="78"/>
      <c r="B15" s="79"/>
      <c r="C15" s="46">
        <f>C14+1</f>
        <v>2</v>
      </c>
      <c r="D15" s="6">
        <f>2*(D13-D14)/(D13+D14)</f>
        <v>-1.1059579022476E-2</v>
      </c>
      <c r="E15" s="6">
        <f t="shared" ref="E15:F15" si="8">2*(E13-E14)/(E13+E14)</f>
        <v>-1.0577940186556398E-2</v>
      </c>
      <c r="F15" s="6">
        <f t="shared" si="8"/>
        <v>0</v>
      </c>
      <c r="G15" s="8">
        <v>97.2</v>
      </c>
      <c r="H15" s="8">
        <v>29.7</v>
      </c>
      <c r="I15" s="8">
        <v>35.299999999999997</v>
      </c>
      <c r="M15" s="46">
        <f t="shared" si="0"/>
        <v>52.444094867962441</v>
      </c>
      <c r="N15" s="46">
        <f t="shared" si="5"/>
        <v>12</v>
      </c>
      <c r="O15" s="50">
        <f t="shared" si="1"/>
        <v>103.16571857410881</v>
      </c>
      <c r="P15" s="50">
        <f t="shared" si="2"/>
        <v>50.721623706146367</v>
      </c>
      <c r="Q15" s="50">
        <f t="shared" si="3"/>
        <v>57.272107080175118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651</v>
      </c>
      <c r="G16" s="8">
        <v>66.099999999999994</v>
      </c>
      <c r="H16" s="8">
        <v>75.400000000000006</v>
      </c>
      <c r="I16" s="8">
        <v>40.299999999999997</v>
      </c>
      <c r="M16" s="46">
        <f t="shared" si="0"/>
        <v>50.391235310861994</v>
      </c>
      <c r="N16" s="46">
        <f t="shared" si="5"/>
        <v>13</v>
      </c>
      <c r="O16" s="50">
        <f t="shared" si="1"/>
        <v>101.01643277048154</v>
      </c>
      <c r="P16" s="50">
        <f t="shared" si="2"/>
        <v>50.62519745961955</v>
      </c>
      <c r="Q16" s="50">
        <f t="shared" si="3"/>
        <v>56.961592058991812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1211</v>
      </c>
      <c r="F17" s="7">
        <v>651</v>
      </c>
      <c r="G17" s="8">
        <v>72.900000000000006</v>
      </c>
      <c r="H17" s="8">
        <v>82.6</v>
      </c>
      <c r="I17" s="8">
        <v>45</v>
      </c>
      <c r="M17" s="46">
        <f t="shared" si="0"/>
        <v>48.338375753761554</v>
      </c>
      <c r="N17" s="46">
        <f t="shared" si="5"/>
        <v>14</v>
      </c>
      <c r="O17" s="50">
        <f t="shared" si="1"/>
        <v>98.867146966854278</v>
      </c>
      <c r="P17" s="50">
        <f t="shared" si="2"/>
        <v>50.528771213092725</v>
      </c>
      <c r="Q17" s="50">
        <f t="shared" si="3"/>
        <v>56.651077037808506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-8.2610491532424622E-4</v>
      </c>
      <c r="F18" s="6">
        <f t="shared" si="10"/>
        <v>0</v>
      </c>
      <c r="G18" s="8">
        <v>57.8</v>
      </c>
      <c r="H18" s="8">
        <v>65.5</v>
      </c>
      <c r="I18" s="8">
        <v>38.200000000000003</v>
      </c>
      <c r="M18" s="46">
        <f t="shared" si="0"/>
        <v>46.285516196661113</v>
      </c>
      <c r="N18" s="46">
        <f t="shared" si="5"/>
        <v>15</v>
      </c>
      <c r="O18" s="50">
        <f t="shared" si="1"/>
        <v>96.717861163227013</v>
      </c>
      <c r="P18" s="50">
        <f t="shared" si="2"/>
        <v>50.4323449665659</v>
      </c>
      <c r="Q18" s="50">
        <f t="shared" si="3"/>
        <v>56.340562016625199</v>
      </c>
    </row>
    <row r="19" spans="1:21">
      <c r="A19" s="78"/>
      <c r="B19" s="79" t="s">
        <v>2</v>
      </c>
      <c r="C19" s="46">
        <f t="shared" si="9"/>
        <v>0</v>
      </c>
      <c r="D19" s="7">
        <v>510</v>
      </c>
      <c r="E19" s="7">
        <v>577</v>
      </c>
      <c r="F19" s="7">
        <v>533</v>
      </c>
      <c r="G19" s="8">
        <v>28.4</v>
      </c>
      <c r="H19" s="8">
        <v>36.799999999999997</v>
      </c>
      <c r="I19" s="8">
        <v>29.8</v>
      </c>
      <c r="M19" s="46">
        <f t="shared" si="0"/>
        <v>44.232656639560673</v>
      </c>
      <c r="N19" s="46">
        <f t="shared" si="5"/>
        <v>16</v>
      </c>
      <c r="O19" s="50">
        <f t="shared" si="1"/>
        <v>94.568575359599748</v>
      </c>
      <c r="P19" s="50">
        <f t="shared" si="2"/>
        <v>50.335918720039075</v>
      </c>
      <c r="Q19" s="50">
        <f t="shared" si="3"/>
        <v>56.030046995441893</v>
      </c>
    </row>
    <row r="20" spans="1:21">
      <c r="A20" s="78"/>
      <c r="B20" s="79"/>
      <c r="C20" s="46">
        <f t="shared" si="9"/>
        <v>1</v>
      </c>
      <c r="D20" s="7">
        <v>511.4</v>
      </c>
      <c r="E20" s="7">
        <v>578</v>
      </c>
      <c r="F20" s="7">
        <v>533.1</v>
      </c>
      <c r="G20" s="8">
        <v>32</v>
      </c>
      <c r="H20" s="8">
        <v>41.3</v>
      </c>
      <c r="I20" s="8">
        <v>33.5</v>
      </c>
      <c r="M20" s="46">
        <f t="shared" si="0"/>
        <v>42.179797082460233</v>
      </c>
      <c r="N20" s="46">
        <f t="shared" si="5"/>
        <v>17</v>
      </c>
      <c r="O20" s="50">
        <f t="shared" si="1"/>
        <v>92.419289555972483</v>
      </c>
      <c r="P20" s="50">
        <f t="shared" si="2"/>
        <v>50.23949247351225</v>
      </c>
      <c r="Q20" s="50">
        <f t="shared" si="3"/>
        <v>55.71953197425858</v>
      </c>
    </row>
    <row r="21" spans="1:21">
      <c r="A21" s="78"/>
      <c r="B21" s="79"/>
      <c r="C21" s="46">
        <f t="shared" si="9"/>
        <v>2</v>
      </c>
      <c r="D21" s="6">
        <f>2*(D19-D20)/(D19+D20)</f>
        <v>-2.7413354219698008E-3</v>
      </c>
      <c r="E21" s="6">
        <f t="shared" ref="E21:F21" si="11">2*(E19-E20)/(E19+E20)</f>
        <v>-1.7316017316017316E-3</v>
      </c>
      <c r="F21" s="6">
        <f t="shared" si="11"/>
        <v>-1.8759966232065049E-4</v>
      </c>
      <c r="G21" s="8">
        <v>25.6</v>
      </c>
      <c r="H21" s="8">
        <v>33.9</v>
      </c>
      <c r="I21" s="8">
        <v>26.8</v>
      </c>
      <c r="M21" s="46">
        <f t="shared" si="0"/>
        <v>40.126937525359786</v>
      </c>
      <c r="N21" s="46">
        <f t="shared" si="5"/>
        <v>18</v>
      </c>
      <c r="O21" s="50">
        <f t="shared" si="1"/>
        <v>90.270003752345218</v>
      </c>
      <c r="P21" s="50">
        <f t="shared" si="2"/>
        <v>50.143066226985432</v>
      </c>
      <c r="Q21" s="50">
        <f t="shared" si="3"/>
        <v>55.409016953075273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560.6</v>
      </c>
      <c r="E22" s="46">
        <f t="shared" ref="E22:F22" si="12">(E13+E14)/2</f>
        <v>519.95000000000005</v>
      </c>
      <c r="F22" s="46">
        <f t="shared" si="12"/>
        <v>156.19999999999999</v>
      </c>
      <c r="G22" s="5">
        <f>G13</f>
        <v>86.5</v>
      </c>
      <c r="H22" s="5">
        <f t="shared" ref="H22:I22" si="13">H13</f>
        <v>32.9</v>
      </c>
      <c r="I22" s="5">
        <f t="shared" si="13"/>
        <v>38</v>
      </c>
      <c r="J22" s="99">
        <f>AVERAGE(G22:I24)</f>
        <v>48.24444444444444</v>
      </c>
      <c r="M22" s="46">
        <f t="shared" si="0"/>
        <v>38.074077968259346</v>
      </c>
      <c r="N22" s="46">
        <f t="shared" si="5"/>
        <v>19</v>
      </c>
      <c r="O22" s="50">
        <f t="shared" si="1"/>
        <v>88.120717948717953</v>
      </c>
      <c r="P22" s="50">
        <f t="shared" si="2"/>
        <v>50.046639980458608</v>
      </c>
      <c r="Q22" s="50">
        <f t="shared" si="3"/>
        <v>55.098501931891967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1210.5</v>
      </c>
      <c r="F23" s="46">
        <f>(F16+F17)/2</f>
        <v>651</v>
      </c>
      <c r="G23" s="5">
        <f>G16</f>
        <v>66.099999999999994</v>
      </c>
      <c r="H23" s="5">
        <f>H16</f>
        <v>75.400000000000006</v>
      </c>
      <c r="I23" s="5">
        <f>I16</f>
        <v>40.299999999999997</v>
      </c>
      <c r="J23" s="99"/>
      <c r="M23" s="46">
        <f t="shared" si="0"/>
        <v>36.021218411158905</v>
      </c>
      <c r="N23" s="46">
        <f t="shared" si="5"/>
        <v>20</v>
      </c>
      <c r="O23" s="50">
        <f t="shared" si="1"/>
        <v>85.971432145090688</v>
      </c>
      <c r="P23" s="50">
        <f t="shared" si="2"/>
        <v>49.950213733931783</v>
      </c>
      <c r="Q23" s="50">
        <f t="shared" si="3"/>
        <v>54.787986910708661</v>
      </c>
    </row>
    <row r="24" spans="1:21">
      <c r="A24" s="78"/>
      <c r="B24" s="46" t="str">
        <f>B19</f>
        <v>D65</v>
      </c>
      <c r="C24" s="79"/>
      <c r="D24" s="46">
        <f>(D19+D20)/2</f>
        <v>510.7</v>
      </c>
      <c r="E24" s="46">
        <f>(E19+E20)/2</f>
        <v>577.5</v>
      </c>
      <c r="F24" s="46">
        <f>(F19+F20)/2</f>
        <v>533.04999999999995</v>
      </c>
      <c r="G24" s="5">
        <f>G19</f>
        <v>28.4</v>
      </c>
      <c r="H24" s="5">
        <f>H19</f>
        <v>36.799999999999997</v>
      </c>
      <c r="I24" s="5">
        <f>I19</f>
        <v>29.8</v>
      </c>
      <c r="J24" s="99"/>
      <c r="M24" s="46">
        <f t="shared" si="0"/>
        <v>33.968358854058465</v>
      </c>
      <c r="N24" s="46">
        <f t="shared" si="5"/>
        <v>21</v>
      </c>
      <c r="O24" s="50">
        <f t="shared" si="1"/>
        <v>83.822146341463423</v>
      </c>
      <c r="P24" s="50">
        <f t="shared" si="2"/>
        <v>49.853787487404958</v>
      </c>
      <c r="Q24" s="50">
        <f t="shared" si="3"/>
        <v>54.477471889525347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560.6</v>
      </c>
      <c r="E25" s="46">
        <f t="shared" ref="E25:F25" si="15">(E13+E14)/2</f>
        <v>519.95000000000005</v>
      </c>
      <c r="F25" s="46">
        <f t="shared" si="15"/>
        <v>156.19999999999999</v>
      </c>
      <c r="G25" s="5">
        <f t="shared" ref="G25:I25" si="16">G14</f>
        <v>93.2</v>
      </c>
      <c r="H25" s="5">
        <f t="shared" si="16"/>
        <v>36.9</v>
      </c>
      <c r="I25" s="5">
        <f t="shared" si="16"/>
        <v>42.5</v>
      </c>
      <c r="J25" s="99">
        <f>AVERAGE(G25:I27)</f>
        <v>53.322222222222223</v>
      </c>
      <c r="M25" s="46">
        <f t="shared" si="0"/>
        <v>31.915499296958011</v>
      </c>
      <c r="N25" s="46">
        <f t="shared" si="5"/>
        <v>22</v>
      </c>
      <c r="O25" s="50">
        <f t="shared" si="1"/>
        <v>81.672860537836144</v>
      </c>
      <c r="P25" s="50">
        <f t="shared" si="2"/>
        <v>49.757361240878133</v>
      </c>
      <c r="Q25" s="50">
        <f t="shared" si="3"/>
        <v>54.166956868342041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1210.5</v>
      </c>
      <c r="F26" s="46">
        <f>(F16+F17)/2</f>
        <v>651</v>
      </c>
      <c r="G26" s="5">
        <f>G17</f>
        <v>72.900000000000006</v>
      </c>
      <c r="H26" s="5">
        <f>H17</f>
        <v>82.6</v>
      </c>
      <c r="I26" s="5">
        <f>I17</f>
        <v>45</v>
      </c>
      <c r="J26" s="99"/>
      <c r="M26" s="46">
        <f t="shared" si="0"/>
        <v>29.862639739857563</v>
      </c>
      <c r="N26" s="46">
        <f t="shared" si="5"/>
        <v>23</v>
      </c>
      <c r="O26" s="50">
        <f t="shared" si="1"/>
        <v>79.523574734208879</v>
      </c>
      <c r="P26" s="50">
        <f t="shared" si="2"/>
        <v>49.660934994351315</v>
      </c>
      <c r="Q26" s="50">
        <f t="shared" si="3"/>
        <v>53.856441847158735</v>
      </c>
    </row>
    <row r="27" spans="1:21">
      <c r="A27" s="78"/>
      <c r="B27" s="46" t="str">
        <f>B19</f>
        <v>D65</v>
      </c>
      <c r="C27" s="79"/>
      <c r="D27" s="46">
        <f>(D19+D20)/2</f>
        <v>510.7</v>
      </c>
      <c r="E27" s="46">
        <f>(E19+E20)/2</f>
        <v>577.5</v>
      </c>
      <c r="F27" s="46">
        <f>(F19+F20)/2</f>
        <v>533.04999999999995</v>
      </c>
      <c r="G27" s="5">
        <f>G20</f>
        <v>32</v>
      </c>
      <c r="H27" s="5">
        <f>H20</f>
        <v>41.3</v>
      </c>
      <c r="I27" s="5">
        <f>I20</f>
        <v>33.5</v>
      </c>
      <c r="J27" s="99"/>
      <c r="M27" s="46">
        <f t="shared" si="0"/>
        <v>27.809780182757123</v>
      </c>
      <c r="N27" s="46">
        <f t="shared" si="5"/>
        <v>24</v>
      </c>
      <c r="O27" s="50">
        <f t="shared" si="1"/>
        <v>77.374288930581613</v>
      </c>
      <c r="P27" s="50">
        <f t="shared" si="2"/>
        <v>49.56450874782449</v>
      </c>
      <c r="Q27" s="50">
        <f t="shared" si="3"/>
        <v>53.545926825975428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560.6</v>
      </c>
      <c r="E28" s="46">
        <f t="shared" ref="E28:F28" si="17">(E13+E14)/2</f>
        <v>519.95000000000005</v>
      </c>
      <c r="F28" s="46">
        <f t="shared" si="17"/>
        <v>156.19999999999999</v>
      </c>
      <c r="G28" s="5">
        <f t="shared" ref="G28:I28" si="18">G15</f>
        <v>97.2</v>
      </c>
      <c r="H28" s="5">
        <f t="shared" si="18"/>
        <v>29.7</v>
      </c>
      <c r="I28" s="5">
        <f t="shared" si="18"/>
        <v>35.299999999999997</v>
      </c>
      <c r="J28" s="99">
        <f>AVERAGE(G28:I30)</f>
        <v>45.555555555555557</v>
      </c>
      <c r="M28" s="46">
        <f t="shared" si="0"/>
        <v>25.756920625656683</v>
      </c>
      <c r="N28" s="46">
        <f t="shared" si="5"/>
        <v>25</v>
      </c>
      <c r="O28" s="50">
        <f t="shared" si="1"/>
        <v>75.225003126954348</v>
      </c>
      <c r="P28" s="50">
        <f t="shared" si="2"/>
        <v>49.468082501297665</v>
      </c>
      <c r="Q28" s="50">
        <f t="shared" si="3"/>
        <v>53.235411804792122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1210.5</v>
      </c>
      <c r="F29" s="46">
        <f t="shared" si="20"/>
        <v>651</v>
      </c>
      <c r="G29" s="5">
        <f t="shared" ref="G29:I29" si="21">G18</f>
        <v>57.8</v>
      </c>
      <c r="H29" s="5">
        <f t="shared" si="21"/>
        <v>65.5</v>
      </c>
      <c r="I29" s="5">
        <f t="shared" si="21"/>
        <v>38.200000000000003</v>
      </c>
      <c r="J29" s="99"/>
      <c r="M29" s="46">
        <f t="shared" si="0"/>
        <v>23.704061068556243</v>
      </c>
      <c r="N29" s="46">
        <f t="shared" si="5"/>
        <v>26</v>
      </c>
      <c r="O29" s="50">
        <f t="shared" si="1"/>
        <v>73.075717323327083</v>
      </c>
      <c r="P29" s="50">
        <f t="shared" si="2"/>
        <v>49.371656254770841</v>
      </c>
      <c r="Q29" s="50">
        <f t="shared" si="3"/>
        <v>52.924896783608808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510.7</v>
      </c>
      <c r="E30" s="46">
        <f t="shared" si="23"/>
        <v>577.5</v>
      </c>
      <c r="F30" s="46">
        <f t="shared" si="23"/>
        <v>533.04999999999995</v>
      </c>
      <c r="G30" s="5">
        <f t="shared" ref="G30:I30" si="24">G21</f>
        <v>25.6</v>
      </c>
      <c r="H30" s="5">
        <f t="shared" si="24"/>
        <v>33.9</v>
      </c>
      <c r="I30" s="5">
        <f t="shared" si="24"/>
        <v>26.8</v>
      </c>
      <c r="J30" s="99"/>
      <c r="M30" s="46">
        <f t="shared" si="0"/>
        <v>21.651201511455788</v>
      </c>
      <c r="N30" s="46">
        <f t="shared" si="5"/>
        <v>27</v>
      </c>
      <c r="O30" s="50">
        <f t="shared" si="1"/>
        <v>70.926431519699804</v>
      </c>
      <c r="P30" s="50">
        <f t="shared" si="2"/>
        <v>49.275230008244016</v>
      </c>
      <c r="Q30" s="50">
        <f t="shared" si="3"/>
        <v>52.614381762425502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560.6</v>
      </c>
      <c r="E31" s="46">
        <f t="shared" si="25"/>
        <v>519.95000000000005</v>
      </c>
      <c r="F31" s="46">
        <f t="shared" si="25"/>
        <v>156.19999999999999</v>
      </c>
      <c r="G31" s="5">
        <f t="shared" ref="G31:I33" si="26">G22*$J$31</f>
        <v>86.5</v>
      </c>
      <c r="H31" s="5">
        <f t="shared" si="26"/>
        <v>32.9</v>
      </c>
      <c r="I31" s="5">
        <f t="shared" si="26"/>
        <v>38</v>
      </c>
      <c r="J31" s="96">
        <f>J$22/J22</f>
        <v>1</v>
      </c>
      <c r="M31" s="46">
        <f t="shared" si="0"/>
        <v>19.598341954355341</v>
      </c>
      <c r="N31" s="46">
        <f t="shared" si="5"/>
        <v>28</v>
      </c>
      <c r="O31" s="50">
        <f t="shared" si="1"/>
        <v>68.777145716072539</v>
      </c>
      <c r="P31" s="50">
        <f t="shared" si="2"/>
        <v>49.178803761717198</v>
      </c>
      <c r="Q31" s="50">
        <f t="shared" si="3"/>
        <v>52.303866741242196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1210.5</v>
      </c>
      <c r="F32" s="46">
        <f t="shared" si="27"/>
        <v>651</v>
      </c>
      <c r="G32" s="5">
        <f t="shared" si="26"/>
        <v>66.099999999999994</v>
      </c>
      <c r="H32" s="5">
        <f t="shared" si="26"/>
        <v>75.400000000000006</v>
      </c>
      <c r="I32" s="5">
        <f t="shared" si="26"/>
        <v>40.299999999999997</v>
      </c>
      <c r="J32" s="96"/>
      <c r="M32" s="46">
        <f t="shared" si="0"/>
        <v>17.545482397254901</v>
      </c>
      <c r="N32" s="46">
        <f t="shared" si="5"/>
        <v>29</v>
      </c>
      <c r="O32" s="50">
        <f t="shared" si="1"/>
        <v>66.627859912445274</v>
      </c>
      <c r="P32" s="50">
        <f t="shared" si="2"/>
        <v>49.082377515190373</v>
      </c>
      <c r="Q32" s="50">
        <f t="shared" si="3"/>
        <v>51.993351720058889</v>
      </c>
    </row>
    <row r="33" spans="1:17">
      <c r="A33" s="78"/>
      <c r="B33" s="46" t="str">
        <f t="shared" si="27"/>
        <v>D65</v>
      </c>
      <c r="C33" s="79"/>
      <c r="D33" s="46">
        <f t="shared" si="27"/>
        <v>510.7</v>
      </c>
      <c r="E33" s="46">
        <f t="shared" si="27"/>
        <v>577.5</v>
      </c>
      <c r="F33" s="46">
        <f t="shared" si="27"/>
        <v>533.04999999999995</v>
      </c>
      <c r="G33" s="5">
        <f t="shared" si="26"/>
        <v>28.4</v>
      </c>
      <c r="H33" s="5">
        <f t="shared" si="26"/>
        <v>36.799999999999997</v>
      </c>
      <c r="I33" s="5">
        <f t="shared" si="26"/>
        <v>29.8</v>
      </c>
      <c r="J33" s="96"/>
      <c r="M33" s="46">
        <f t="shared" si="0"/>
        <v>15.492622840154461</v>
      </c>
      <c r="N33" s="46">
        <f t="shared" si="5"/>
        <v>30</v>
      </c>
      <c r="O33" s="50">
        <f t="shared" si="1"/>
        <v>64.478574108818009</v>
      </c>
      <c r="P33" s="50">
        <f t="shared" si="2"/>
        <v>48.985951268663548</v>
      </c>
      <c r="Q33" s="50">
        <f t="shared" si="3"/>
        <v>51.682836698875576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560.6</v>
      </c>
      <c r="E34" s="46">
        <f t="shared" si="27"/>
        <v>519.95000000000005</v>
      </c>
      <c r="F34" s="46">
        <f t="shared" si="27"/>
        <v>156.19999999999999</v>
      </c>
      <c r="G34" s="5">
        <f t="shared" ref="G34:I36" si="28">G25*$J$34</f>
        <v>84.32473431964992</v>
      </c>
      <c r="H34" s="5">
        <f t="shared" si="28"/>
        <v>33.386080433423629</v>
      </c>
      <c r="I34" s="5">
        <f t="shared" si="28"/>
        <v>38.452802667222336</v>
      </c>
      <c r="J34" s="96">
        <f>J$22/J25</f>
        <v>0.90477182746405493</v>
      </c>
      <c r="M34" s="46">
        <f t="shared" si="0"/>
        <v>13.43976328305402</v>
      </c>
      <c r="N34" s="46">
        <f t="shared" si="5"/>
        <v>31</v>
      </c>
      <c r="O34" s="50">
        <f t="shared" si="1"/>
        <v>62.329288305190744</v>
      </c>
      <c r="P34" s="50">
        <f t="shared" si="2"/>
        <v>48.889525022136723</v>
      </c>
      <c r="Q34" s="50">
        <f t="shared" si="3"/>
        <v>51.37232167769227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1210.5</v>
      </c>
      <c r="F35" s="46">
        <f t="shared" si="27"/>
        <v>651</v>
      </c>
      <c r="G35" s="5">
        <f t="shared" si="28"/>
        <v>65.95786622212961</v>
      </c>
      <c r="H35" s="5">
        <f t="shared" si="28"/>
        <v>74.734152948530934</v>
      </c>
      <c r="I35" s="5">
        <f t="shared" si="28"/>
        <v>40.714732235882472</v>
      </c>
      <c r="J35" s="96"/>
      <c r="M35" s="46">
        <f t="shared" si="0"/>
        <v>11.38690372595358</v>
      </c>
      <c r="N35" s="46">
        <f t="shared" si="5"/>
        <v>32</v>
      </c>
      <c r="O35" s="50">
        <f t="shared" si="1"/>
        <v>60.180002501563479</v>
      </c>
      <c r="P35" s="50">
        <f t="shared" si="2"/>
        <v>48.793098775609899</v>
      </c>
      <c r="Q35" s="50">
        <f t="shared" si="3"/>
        <v>51.061806656508963</v>
      </c>
    </row>
    <row r="36" spans="1:17">
      <c r="A36" s="78"/>
      <c r="B36" s="46" t="str">
        <f t="shared" si="27"/>
        <v>D65</v>
      </c>
      <c r="C36" s="79"/>
      <c r="D36" s="46">
        <f t="shared" si="27"/>
        <v>510.7</v>
      </c>
      <c r="E36" s="46">
        <f t="shared" si="27"/>
        <v>577.5</v>
      </c>
      <c r="F36" s="46">
        <f t="shared" si="27"/>
        <v>533.04999999999995</v>
      </c>
      <c r="G36" s="5">
        <f t="shared" si="28"/>
        <v>28.952698478849758</v>
      </c>
      <c r="H36" s="5">
        <f t="shared" si="28"/>
        <v>37.367076474265467</v>
      </c>
      <c r="I36" s="5">
        <f t="shared" si="28"/>
        <v>30.309856220045841</v>
      </c>
      <c r="J36" s="96"/>
      <c r="M36" s="46">
        <f t="shared" si="0"/>
        <v>9.3340441688531328</v>
      </c>
      <c r="N36" s="46">
        <f t="shared" si="5"/>
        <v>33</v>
      </c>
      <c r="O36" s="50">
        <f t="shared" si="1"/>
        <v>58.030716697936214</v>
      </c>
      <c r="P36" s="50">
        <f t="shared" si="2"/>
        <v>48.696672529083081</v>
      </c>
      <c r="Q36" s="50">
        <f t="shared" si="3"/>
        <v>50.751291635325657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560.6</v>
      </c>
      <c r="E37" s="46">
        <f t="shared" si="27"/>
        <v>519.95000000000005</v>
      </c>
      <c r="F37" s="46">
        <f t="shared" si="27"/>
        <v>156.19999999999999</v>
      </c>
      <c r="G37" s="5">
        <f t="shared" ref="G37:I39" si="29">G28*$J$37</f>
        <v>102.9371707317073</v>
      </c>
      <c r="H37" s="5">
        <f t="shared" si="29"/>
        <v>31.453024390243897</v>
      </c>
      <c r="I37" s="5">
        <f t="shared" si="29"/>
        <v>37.383560975609747</v>
      </c>
      <c r="J37" s="96">
        <f>J$22/J28</f>
        <v>1.0590243902439023</v>
      </c>
      <c r="K37" s="51" t="str">
        <f>CHAR(34) &amp; "EEpromVersion" &amp;CHAR(34)  &amp; ",3,"</f>
        <v>"EEpromVersion",3,</v>
      </c>
      <c r="M37" s="46">
        <f t="shared" si="0"/>
        <v>7.2811846117526926</v>
      </c>
      <c r="N37" s="46">
        <f t="shared" si="5"/>
        <v>34</v>
      </c>
      <c r="O37" s="50">
        <f t="shared" si="1"/>
        <v>55.881430894308949</v>
      </c>
      <c r="P37" s="50">
        <f t="shared" si="2"/>
        <v>48.600246282556256</v>
      </c>
      <c r="Q37" s="50">
        <f t="shared" si="3"/>
        <v>50.440776614142351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1210.5</v>
      </c>
      <c r="F38" s="46">
        <f t="shared" si="27"/>
        <v>651</v>
      </c>
      <c r="G38" s="5">
        <f t="shared" si="29"/>
        <v>61.211609756097545</v>
      </c>
      <c r="H38" s="5">
        <f t="shared" si="29"/>
        <v>69.366097560975604</v>
      </c>
      <c r="I38" s="5">
        <f t="shared" si="29"/>
        <v>40.454731707317073</v>
      </c>
      <c r="J38" s="96"/>
      <c r="K38" s="52" t="str">
        <f>K4</f>
        <v>"Compensation",37,</v>
      </c>
      <c r="M38" s="46">
        <f t="shared" si="0"/>
        <v>5.2283250546522524</v>
      </c>
      <c r="N38" s="46">
        <f t="shared" si="5"/>
        <v>35</v>
      </c>
      <c r="O38" s="50">
        <f t="shared" si="1"/>
        <v>53.732145090681684</v>
      </c>
      <c r="P38" s="50">
        <f t="shared" si="2"/>
        <v>48.503820036029431</v>
      </c>
      <c r="Q38" s="50">
        <f t="shared" si="3"/>
        <v>50.130261592959037</v>
      </c>
    </row>
    <row r="39" spans="1:17">
      <c r="A39" s="78"/>
      <c r="B39" s="46" t="str">
        <f t="shared" si="27"/>
        <v>D65</v>
      </c>
      <c r="C39" s="79"/>
      <c r="D39" s="46">
        <f t="shared" si="27"/>
        <v>510.7</v>
      </c>
      <c r="E39" s="46">
        <f t="shared" si="27"/>
        <v>577.5</v>
      </c>
      <c r="F39" s="46">
        <f t="shared" si="27"/>
        <v>533.04999999999995</v>
      </c>
      <c r="G39" s="5">
        <f t="shared" si="29"/>
        <v>27.111024390243898</v>
      </c>
      <c r="H39" s="5">
        <f t="shared" si="29"/>
        <v>35.900926829268286</v>
      </c>
      <c r="I39" s="5">
        <f t="shared" si="29"/>
        <v>28.381853658536581</v>
      </c>
      <c r="J39" s="96"/>
      <c r="K39" s="53" t="str">
        <f>linefmt("CardGain",J42,J45,J48)</f>
        <v>"CardGain",16.44961,17.09228,19.91341,</v>
      </c>
      <c r="M39" s="46">
        <f t="shared" si="0"/>
        <v>3.1754654975518122</v>
      </c>
      <c r="N39" s="46">
        <f t="shared" si="5"/>
        <v>36</v>
      </c>
      <c r="O39" s="50">
        <f t="shared" si="1"/>
        <v>51.582859287054418</v>
      </c>
      <c r="P39" s="50">
        <f t="shared" si="2"/>
        <v>48.407393789502606</v>
      </c>
      <c r="Q39" s="50">
        <f t="shared" si="3"/>
        <v>49.819746571775731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"Range",1,0.9047718,1.059024,</v>
      </c>
      <c r="M40" s="46">
        <f t="shared" si="0"/>
        <v>1.1982640076166433</v>
      </c>
      <c r="N40" s="46">
        <f t="shared" si="5"/>
        <v>37</v>
      </c>
      <c r="O40" s="50">
        <f t="shared" si="1"/>
        <v>49.433573483427139</v>
      </c>
      <c r="P40" s="50">
        <f t="shared" si="2"/>
        <v>48.310967542975781</v>
      </c>
      <c r="Q40" s="50">
        <f t="shared" si="3"/>
        <v>49.509231550592425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1.9144288496092443</v>
      </c>
      <c r="N41" s="46">
        <f t="shared" si="5"/>
        <v>38</v>
      </c>
      <c r="O41" s="50">
        <f t="shared" si="1"/>
        <v>47.284287679799874</v>
      </c>
      <c r="P41" s="50">
        <f t="shared" si="2"/>
        <v>48.214541296448964</v>
      </c>
      <c r="Q41" s="50">
        <f t="shared" si="3"/>
        <v>49.198716529409118</v>
      </c>
    </row>
    <row r="42" spans="1:17">
      <c r="A42" s="4"/>
      <c r="B42" s="46" t="s">
        <v>3</v>
      </c>
      <c r="C42" s="79">
        <f>C31</f>
        <v>0</v>
      </c>
      <c r="D42" s="46">
        <f>I42/$H$43</f>
        <v>0.17548797504496549</v>
      </c>
      <c r="E42" s="46">
        <f>H42/$H$43</f>
        <v>1.021939180298691</v>
      </c>
      <c r="F42" s="46">
        <f>G42/$H$43</f>
        <v>-0.38741241840890778</v>
      </c>
      <c r="G42" s="46">
        <f t="array" ref="G42:I42">LINEST($D31:$D33,$G31:$I33,FALSE)</f>
        <v>-6.3727828841369929</v>
      </c>
      <c r="H42" s="46">
        <v>16.810500147577979</v>
      </c>
      <c r="I42" s="46">
        <v>2.8867086097328407</v>
      </c>
      <c r="J42" s="97">
        <f>H43</f>
        <v>16.449609205378181</v>
      </c>
      <c r="K42" s="53" t="str">
        <f t="shared" ref="K42:K50" si="30">linefmt("",D42,E42,F42)</f>
        <v>0.175488,1.021939,-0.3874124,</v>
      </c>
      <c r="M42" s="46">
        <f t="shared" si="0"/>
        <v>3.753199632053196</v>
      </c>
      <c r="N42" s="46">
        <f t="shared" si="5"/>
        <v>39</v>
      </c>
      <c r="O42" s="50">
        <f t="shared" si="1"/>
        <v>45.135001876172609</v>
      </c>
      <c r="P42" s="50">
        <f t="shared" si="2"/>
        <v>48.118115049922139</v>
      </c>
      <c r="Q42" s="50">
        <f t="shared" si="3"/>
        <v>48.888201508225805</v>
      </c>
    </row>
    <row r="43" spans="1:17">
      <c r="A43" s="4"/>
      <c r="B43" s="46" t="s">
        <v>4</v>
      </c>
      <c r="C43" s="79"/>
      <c r="D43" s="46">
        <f>I43/$H$43</f>
        <v>1.7246334692000643E-2</v>
      </c>
      <c r="E43" s="46">
        <f>H43/$H$43</f>
        <v>1</v>
      </c>
      <c r="F43" s="46">
        <f>G43/$H$43</f>
        <v>-7.324090273518849E-2</v>
      </c>
      <c r="G43" s="46">
        <f t="array" ref="G43:I43">LINEST($E31:$E33,$G31:$I33,FALSE)</f>
        <v>-1.2047842278429646</v>
      </c>
      <c r="H43" s="46">
        <v>16.449609205378181</v>
      </c>
      <c r="I43" s="46">
        <v>0.28369546590856687</v>
      </c>
      <c r="J43" s="97"/>
      <c r="K43" s="53" t="str">
        <f t="shared" si="30"/>
        <v>1.724633E-02,1,-7.324091E-02,</v>
      </c>
      <c r="M43" s="46">
        <f t="shared" si="0"/>
        <v>5.5919704144971547</v>
      </c>
      <c r="N43" s="46">
        <f t="shared" si="5"/>
        <v>40</v>
      </c>
      <c r="O43" s="50">
        <f t="shared" si="1"/>
        <v>42.985716072545344</v>
      </c>
      <c r="P43" s="50">
        <f t="shared" si="2"/>
        <v>48.021688803395314</v>
      </c>
      <c r="Q43" s="50">
        <f t="shared" si="3"/>
        <v>48.577686487042499</v>
      </c>
    </row>
    <row r="44" spans="1:17">
      <c r="A44" s="4"/>
      <c r="B44" s="46" t="s">
        <v>5</v>
      </c>
      <c r="C44" s="79"/>
      <c r="D44" s="46">
        <f>I44/$H$43</f>
        <v>-0.52186934363722293</v>
      </c>
      <c r="E44" s="46">
        <f>H44/$H$43</f>
        <v>0.39810251232623906</v>
      </c>
      <c r="F44" s="46">
        <f>G44/$H$43</f>
        <v>1.093152417960005</v>
      </c>
      <c r="G44" s="46">
        <f t="array" ref="G44:I44">LINEST($F$31:$F$33,$G31:$I33,FALSE)</f>
        <v>17.981930077356314</v>
      </c>
      <c r="H44" s="46">
        <v>6.5486307514458826</v>
      </c>
      <c r="I44" s="46">
        <v>-8.5845467590995312</v>
      </c>
      <c r="J44" s="97"/>
      <c r="K44" s="53" t="str">
        <f t="shared" si="30"/>
        <v>-0.5218694,0.3981025,1.093152,</v>
      </c>
      <c r="M44" s="46">
        <f t="shared" si="0"/>
        <v>7.4307411969411135</v>
      </c>
      <c r="N44" s="46">
        <f t="shared" si="5"/>
        <v>41</v>
      </c>
      <c r="O44" s="50">
        <f t="shared" si="1"/>
        <v>40.836430268918079</v>
      </c>
      <c r="P44" s="50">
        <f t="shared" si="2"/>
        <v>47.925262556868489</v>
      </c>
      <c r="Q44" s="50">
        <f t="shared" si="3"/>
        <v>48.267171465859192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0.19224827451153292</v>
      </c>
      <c r="E45" s="46">
        <f>H45/$H$46</f>
        <v>1.0169501159797742</v>
      </c>
      <c r="F45" s="46">
        <f>G45/$H$46</f>
        <v>-0.45158797232454256</v>
      </c>
      <c r="G45" s="46">
        <f t="array" ref="G45:I45">LINEST($D34:$D36,$G34:$I36,FALSE)</f>
        <v>-7.7186664491874319</v>
      </c>
      <c r="H45" s="46">
        <v>17.381992483779339</v>
      </c>
      <c r="I45" s="46">
        <v>3.2859606484822641</v>
      </c>
      <c r="J45" s="97">
        <f>H46</f>
        <v>17.09227641616695</v>
      </c>
      <c r="K45" s="53" t="str">
        <f t="shared" si="30"/>
        <v>0.1922483,1.01695,-0.451588,</v>
      </c>
      <c r="M45" s="46">
        <f t="shared" si="0"/>
        <v>9.2695119793850722</v>
      </c>
      <c r="N45" s="46">
        <f t="shared" si="5"/>
        <v>42</v>
      </c>
      <c r="O45" s="50">
        <f t="shared" si="1"/>
        <v>38.687144465290814</v>
      </c>
      <c r="P45" s="50">
        <f t="shared" si="2"/>
        <v>47.828836310341664</v>
      </c>
      <c r="Q45" s="50">
        <f t="shared" si="3"/>
        <v>47.956656444675886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3.3108134366724232E-2</v>
      </c>
      <c r="E46" s="46">
        <f>H46/$H$46</f>
        <v>1</v>
      </c>
      <c r="F46" s="46">
        <f>G46/$H$46</f>
        <v>-0.14973531167234355</v>
      </c>
      <c r="G46" s="46">
        <f t="array" ref="G46:I46">LINEST($E34:$E36,$G34:$I36,FALSE)</f>
        <v>-2.5593173363646056</v>
      </c>
      <c r="H46" s="46">
        <v>17.09227641616695</v>
      </c>
      <c r="I46" s="46">
        <v>0.56589338421964708</v>
      </c>
      <c r="J46" s="97"/>
      <c r="K46" s="53" t="str">
        <f t="shared" si="30"/>
        <v>3.310813E-02,1,-0.1497353,</v>
      </c>
      <c r="M46" s="46">
        <f t="shared" si="0"/>
        <v>11.194551402151298</v>
      </c>
      <c r="N46" s="46">
        <f t="shared" si="5"/>
        <v>43</v>
      </c>
      <c r="O46" s="50">
        <f t="shared" si="1"/>
        <v>36.537858661663549</v>
      </c>
      <c r="P46" s="50">
        <f t="shared" si="2"/>
        <v>47.732410063814847</v>
      </c>
      <c r="Q46" s="50">
        <f t="shared" si="3"/>
        <v>47.64614142349258</v>
      </c>
    </row>
    <row r="47" spans="1:17">
      <c r="A47" s="4"/>
      <c r="B47" s="46" t="str">
        <f t="shared" si="31"/>
        <v>Z</v>
      </c>
      <c r="C47" s="79"/>
      <c r="D47" s="46">
        <f>I47/$H$46</f>
        <v>-0.51699748370889798</v>
      </c>
      <c r="E47" s="46">
        <f>H47/$H$46</f>
        <v>0.41516931401967649</v>
      </c>
      <c r="F47" s="46">
        <f>G47/$H$46</f>
        <v>1.0109387933654783</v>
      </c>
      <c r="G47" s="46">
        <f t="array" ref="G47:I47">LINEST($F$31:$F$33,$G34:$I36,FALSE)</f>
        <v>17.279245296029039</v>
      </c>
      <c r="H47" s="46">
        <v>7.0961886747347274</v>
      </c>
      <c r="I47" s="46">
        <v>-8.836663898015253</v>
      </c>
      <c r="J47" s="97"/>
      <c r="K47" s="53" t="str">
        <f t="shared" si="30"/>
        <v>-0.5169975,0.4151693,1.010939,</v>
      </c>
      <c r="M47" s="46">
        <f t="shared" si="0"/>
        <v>13.247410959251752</v>
      </c>
      <c r="N47" s="46">
        <f t="shared" si="5"/>
        <v>44</v>
      </c>
      <c r="O47" s="50">
        <f t="shared" si="1"/>
        <v>34.38857285803627</v>
      </c>
      <c r="P47" s="50">
        <f t="shared" si="2"/>
        <v>47.635983817288022</v>
      </c>
      <c r="Q47" s="50">
        <f t="shared" si="3"/>
        <v>47.335626402309273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0.17346615839408222</v>
      </c>
      <c r="E48" s="46">
        <f>H48/$H$49</f>
        <v>1.0919175957096603</v>
      </c>
      <c r="F48" s="46">
        <f>G48/$H$49</f>
        <v>-0.64328672392344854</v>
      </c>
      <c r="G48" s="46">
        <f t="array" ref="G48:I48">LINEST($D37:$D39,$G37:$I39,FALSE)</f>
        <v>-12.8100348819102</v>
      </c>
      <c r="H48" s="46">
        <v>21.743807184301208</v>
      </c>
      <c r="I48" s="46">
        <v>3.4543034345654937</v>
      </c>
      <c r="J48" s="97">
        <f>H49</f>
        <v>19.913414043089439</v>
      </c>
      <c r="K48" s="53" t="str">
        <f t="shared" si="30"/>
        <v>0.1734662,1.091918,-0.6432867,</v>
      </c>
      <c r="M48" s="46">
        <f t="shared" si="0"/>
        <v>15.300270516352192</v>
      </c>
      <c r="N48" s="46">
        <f t="shared" si="5"/>
        <v>45</v>
      </c>
      <c r="O48" s="50">
        <f t="shared" si="1"/>
        <v>32.239287054409004</v>
      </c>
      <c r="P48" s="50">
        <f t="shared" si="2"/>
        <v>47.539557570761197</v>
      </c>
      <c r="Q48" s="50">
        <f t="shared" si="3"/>
        <v>47.02511138112596</v>
      </c>
    </row>
    <row r="49" spans="1:24">
      <c r="A49" s="4"/>
      <c r="B49" s="46" t="str">
        <f t="shared" si="31"/>
        <v>Y</v>
      </c>
      <c r="C49" s="79"/>
      <c r="D49" s="46">
        <f>I49/$H$49</f>
        <v>5.5727825616285115E-2</v>
      </c>
      <c r="E49" s="46">
        <f>H49/$H$49</f>
        <v>1</v>
      </c>
      <c r="F49" s="46">
        <f>G49/$H$49</f>
        <v>-0.29635884049544331</v>
      </c>
      <c r="G49" s="46">
        <f t="array" ref="G49:I49">LINEST($E37:$E39,$G37:$I39,FALSE)</f>
        <v>-5.9015162961156635</v>
      </c>
      <c r="H49" s="46">
        <v>19.913414043089439</v>
      </c>
      <c r="I49" s="46">
        <v>1.1097312652181714</v>
      </c>
      <c r="J49" s="97"/>
      <c r="K49" s="53" t="str">
        <f t="shared" si="30"/>
        <v>5.572782E-02,1,-0.2963589,</v>
      </c>
      <c r="M49" s="46">
        <f t="shared" si="0"/>
        <v>17.353130073452633</v>
      </c>
      <c r="N49" s="46">
        <f t="shared" si="5"/>
        <v>46</v>
      </c>
      <c r="O49" s="50">
        <f t="shared" si="1"/>
        <v>30.090001250781739</v>
      </c>
      <c r="P49" s="50">
        <f t="shared" si="2"/>
        <v>47.443131324234372</v>
      </c>
      <c r="Q49" s="50">
        <f t="shared" si="3"/>
        <v>46.714596359942654</v>
      </c>
    </row>
    <row r="50" spans="1:24">
      <c r="A50" s="4"/>
      <c r="B50" s="46" t="str">
        <f t="shared" si="31"/>
        <v>Z</v>
      </c>
      <c r="C50" s="79"/>
      <c r="D50" s="46">
        <f>I50/$H$49</f>
        <v>-0.37031953651144273</v>
      </c>
      <c r="E50" s="46">
        <f>H50/$H$49</f>
        <v>0.15906811000467505</v>
      </c>
      <c r="F50" s="46">
        <f>G50/$H$49</f>
        <v>1.0956802930647183</v>
      </c>
      <c r="G50" s="46">
        <f t="array" ref="G50:I50">LINEST($F$31:$F$33,$G37:$I39,FALSE)</f>
        <v>21.818735334651315</v>
      </c>
      <c r="H50" s="46">
        <v>3.1675891355747918</v>
      </c>
      <c r="I50" s="46">
        <v>-7.3743262587973364</v>
      </c>
      <c r="J50" s="97"/>
      <c r="K50" s="54" t="str">
        <f t="shared" si="30"/>
        <v>-0.3703195,0.1590681,1.09568,</v>
      </c>
      <c r="M50" s="46">
        <f t="shared" si="0"/>
        <v>19.405989630553073</v>
      </c>
      <c r="N50" s="46">
        <f t="shared" si="5"/>
        <v>47</v>
      </c>
      <c r="O50" s="50">
        <f t="shared" si="1"/>
        <v>27.940715447154474</v>
      </c>
      <c r="P50" s="50">
        <f t="shared" si="2"/>
        <v>47.346705077707547</v>
      </c>
      <c r="Q50" s="50">
        <f t="shared" si="3"/>
        <v>46.404081338759347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0.18040080265019354</v>
      </c>
      <c r="E51" s="46">
        <f t="shared" ref="E51:F51" si="32">(E42+E45+E48)/3</f>
        <v>1.043602297329375</v>
      </c>
      <c r="F51" s="46">
        <f t="shared" si="32"/>
        <v>-0.49409570488563298</v>
      </c>
      <c r="J51" s="97">
        <f>(J42+J45+J48)/3</f>
        <v>17.818433221544858</v>
      </c>
      <c r="M51" s="46">
        <f t="shared" si="0"/>
        <v>21.458849187653513</v>
      </c>
      <c r="N51" s="46">
        <f t="shared" si="5"/>
        <v>48</v>
      </c>
      <c r="O51" s="50">
        <f t="shared" si="1"/>
        <v>25.791429643527209</v>
      </c>
      <c r="P51" s="50">
        <f t="shared" si="2"/>
        <v>47.250278831180722</v>
      </c>
      <c r="Q51" s="50">
        <f t="shared" si="3"/>
        <v>46.093566317576034</v>
      </c>
    </row>
    <row r="52" spans="1:24">
      <c r="B52" s="46" t="str">
        <f t="shared" si="31"/>
        <v>Y</v>
      </c>
      <c r="C52" s="79"/>
      <c r="D52" s="46">
        <f t="shared" ref="D52:F53" si="33">(D43+D46+D49)/3</f>
        <v>3.5360764891669998E-2</v>
      </c>
      <c r="E52" s="46">
        <f t="shared" si="33"/>
        <v>1</v>
      </c>
      <c r="F52" s="46">
        <f t="shared" si="33"/>
        <v>-0.17311168496765847</v>
      </c>
      <c r="J52" s="97"/>
      <c r="M52" s="46">
        <f t="shared" si="0"/>
        <v>23.51170874475396</v>
      </c>
      <c r="N52" s="46">
        <f t="shared" si="5"/>
        <v>49</v>
      </c>
      <c r="O52" s="50">
        <f t="shared" si="1"/>
        <v>23.642143839899944</v>
      </c>
      <c r="P52" s="50">
        <f t="shared" si="2"/>
        <v>47.153852584653905</v>
      </c>
      <c r="Q52" s="50">
        <f t="shared" si="3"/>
        <v>45.783051296392728</v>
      </c>
    </row>
    <row r="53" spans="1:24" ht="15.75" thickBot="1">
      <c r="B53" s="46" t="str">
        <f t="shared" si="31"/>
        <v>Z</v>
      </c>
      <c r="C53" s="79"/>
      <c r="D53" s="46">
        <f t="shared" si="33"/>
        <v>-0.46972878795252121</v>
      </c>
      <c r="E53" s="46">
        <f t="shared" si="33"/>
        <v>0.32411331211686351</v>
      </c>
      <c r="F53" s="46">
        <f t="shared" si="33"/>
        <v>1.0665905014634005</v>
      </c>
      <c r="J53" s="100"/>
      <c r="M53" s="46">
        <f t="shared" si="0"/>
        <v>25.564568301854401</v>
      </c>
      <c r="N53" s="46">
        <f t="shared" si="5"/>
        <v>50</v>
      </c>
      <c r="O53" s="50">
        <f t="shared" si="1"/>
        <v>21.492858036272679</v>
      </c>
      <c r="P53" s="50">
        <f t="shared" si="2"/>
        <v>47.05742633812708</v>
      </c>
      <c r="Q53" s="50">
        <f t="shared" si="3"/>
        <v>45.472536275209421</v>
      </c>
    </row>
    <row r="54" spans="1:24">
      <c r="B54" s="79" t="s">
        <v>14</v>
      </c>
      <c r="C54" s="79"/>
      <c r="D54" s="19">
        <f>I54/$H$55</f>
        <v>0.15875694779049884</v>
      </c>
      <c r="E54" s="20">
        <f>H54/$H$55</f>
        <v>1.0338847932378692</v>
      </c>
      <c r="F54" s="21">
        <f>G54/$H$55</f>
        <v>-0.41842341353981083</v>
      </c>
      <c r="G54" s="46">
        <f t="array" ref="G54:I54">LINEST(D$31:D$39,$G$31:$I$39,FALSE)</f>
        <v>-7.2523560228075139</v>
      </c>
      <c r="H54" s="46">
        <v>17.919887760808482</v>
      </c>
      <c r="I54" s="46">
        <v>2.7516670177000413</v>
      </c>
      <c r="J54" s="98">
        <f>H55</f>
        <v>17.332576973772738</v>
      </c>
      <c r="M54" s="46">
        <f t="shared" si="0"/>
        <v>27.617427858954841</v>
      </c>
      <c r="N54" s="46">
        <f t="shared" si="5"/>
        <v>51</v>
      </c>
      <c r="O54" s="50">
        <f t="shared" si="1"/>
        <v>19.343572232645414</v>
      </c>
      <c r="P54" s="50">
        <f t="shared" si="2"/>
        <v>46.961000091600255</v>
      </c>
      <c r="Q54" s="50">
        <f t="shared" si="3"/>
        <v>45.162021254026115</v>
      </c>
    </row>
    <row r="55" spans="1:24" ht="15" customHeight="1">
      <c r="B55" s="79"/>
      <c r="C55" s="79"/>
      <c r="D55" s="22">
        <f>I55/$H$55</f>
        <v>2.8420893824948435E-2</v>
      </c>
      <c r="E55" s="18">
        <f>H55/$H$55</f>
        <v>1</v>
      </c>
      <c r="F55" s="23">
        <f>G55/$H$55</f>
        <v>-0.13392048628738235</v>
      </c>
      <c r="G55" s="46">
        <f t="array" ref="G55:I55">LINEST(E$31:E$39,$G$31:$I$39,FALSE)</f>
        <v>-2.321187136941131</v>
      </c>
      <c r="H55" s="46">
        <v>17.332576973772738</v>
      </c>
      <c r="I55" s="46">
        <v>0.49260732988434103</v>
      </c>
      <c r="J55" s="98"/>
      <c r="M55" s="46">
        <f t="shared" si="0"/>
        <v>29.670287416055281</v>
      </c>
      <c r="N55" s="46">
        <f t="shared" si="5"/>
        <v>52</v>
      </c>
      <c r="O55" s="50">
        <f t="shared" si="1"/>
        <v>17.194286429018149</v>
      </c>
      <c r="P55" s="50">
        <f t="shared" si="2"/>
        <v>46.86457384507343</v>
      </c>
      <c r="Q55" s="50">
        <f t="shared" si="3"/>
        <v>44.851506232842809</v>
      </c>
    </row>
    <row r="56" spans="1:24" ht="15" customHeight="1" thickBot="1">
      <c r="B56" s="79"/>
      <c r="C56" s="79"/>
      <c r="D56" s="24">
        <f>I56/$H$55</f>
        <v>-0.42342903584996905</v>
      </c>
      <c r="E56" s="25">
        <f>H56/$H$55</f>
        <v>0.35736497989858002</v>
      </c>
      <c r="F56" s="26">
        <f>G56/$H$55</f>
        <v>0.9628556881130369</v>
      </c>
      <c r="G56" s="46">
        <f t="array" ref="G56:I56">LINEST(F$31:F$39,$G$31:$I$39,FALSE)</f>
        <v>16.68877032885413</v>
      </c>
      <c r="H56" s="46">
        <v>6.1940560218228855</v>
      </c>
      <c r="I56" s="46">
        <v>-7.3391163567999653</v>
      </c>
      <c r="J56" s="98"/>
      <c r="M56" s="46">
        <f t="shared" si="0"/>
        <v>31.723146973155735</v>
      </c>
      <c r="N56" s="46">
        <f t="shared" si="5"/>
        <v>53</v>
      </c>
      <c r="O56" s="50">
        <f t="shared" si="1"/>
        <v>15.04500062539087</v>
      </c>
      <c r="P56" s="50">
        <f t="shared" si="2"/>
        <v>46.768147598546605</v>
      </c>
      <c r="Q56" s="50">
        <f t="shared" si="3"/>
        <v>44.540991211659502</v>
      </c>
    </row>
    <row r="57" spans="1:24">
      <c r="M57" s="46">
        <f t="shared" si="0"/>
        <v>33.776006530256183</v>
      </c>
      <c r="N57" s="46">
        <f t="shared" si="5"/>
        <v>54</v>
      </c>
      <c r="O57" s="50">
        <f t="shared" si="1"/>
        <v>12.895714821763605</v>
      </c>
      <c r="P57" s="50">
        <f t="shared" si="2"/>
        <v>46.671721352019787</v>
      </c>
      <c r="Q57" s="50">
        <f t="shared" si="3"/>
        <v>44.230476190476189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35.828866087356623</v>
      </c>
      <c r="N58" s="46">
        <f t="shared" si="5"/>
        <v>55</v>
      </c>
      <c r="O58" s="50">
        <f t="shared" si="1"/>
        <v>10.74642901813634</v>
      </c>
      <c r="P58" s="50">
        <f t="shared" si="2"/>
        <v>46.575295105492962</v>
      </c>
      <c r="Q58" s="50">
        <f t="shared" si="3"/>
        <v>43.919961169292883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37.881725644457063</v>
      </c>
      <c r="N59" s="46">
        <f t="shared" si="5"/>
        <v>56</v>
      </c>
      <c r="O59" s="50">
        <f t="shared" si="1"/>
        <v>8.5971432145090745</v>
      </c>
      <c r="P59" s="50">
        <f t="shared" si="2"/>
        <v>46.478868858966138</v>
      </c>
      <c r="Q59" s="50">
        <f t="shared" si="3"/>
        <v>43.609446148109576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519.95000000000005</v>
      </c>
      <c r="E60" s="32">
        <f t="shared" ref="E60:E68" si="37">getCCTfromXY(D22/SUM(D22:F22),E22/SUM(D22:F22))</f>
        <v>2877</v>
      </c>
      <c r="F60" s="31">
        <f t="shared" ref="F60:F68" si="38">V60</f>
        <v>524.64720526835561</v>
      </c>
      <c r="G60" s="32">
        <f t="shared" ref="G60:G68" si="39">getCCTfromXY(U60/X60,V60/X60)</f>
        <v>3154</v>
      </c>
      <c r="H60" s="33">
        <f>F60/D60-1</f>
        <v>9.0339557041168028E-3</v>
      </c>
      <c r="I60" s="34">
        <f t="shared" ref="I60:I68" si="40">G60/E60-1</f>
        <v>9.6280848105665617E-2</v>
      </c>
      <c r="M60" s="46">
        <f t="shared" si="0"/>
        <v>39.934585201557503</v>
      </c>
      <c r="N60" s="46">
        <f t="shared" si="5"/>
        <v>57</v>
      </c>
      <c r="O60" s="50">
        <f t="shared" si="1"/>
        <v>6.4478574108818094</v>
      </c>
      <c r="P60" s="50">
        <f t="shared" si="2"/>
        <v>46.382442612439313</v>
      </c>
      <c r="Q60" s="50">
        <f t="shared" si="3"/>
        <v>43.298931126926263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551.99397549496712</v>
      </c>
      <c r="V60" s="50">
        <f>$J$54*$J$31*($D$55*G22+$E$55*H22+$F$55*I22)</f>
        <v>524.64720526835561</v>
      </c>
      <c r="W60" s="50">
        <f>$J$54*$J$31*($D$56*G22+$E$56*H22+$F$56*I22)</f>
        <v>203.1241507512328</v>
      </c>
      <c r="X60" s="29">
        <f>SUM(U60:W60)</f>
        <v>1279.7653315145553</v>
      </c>
    </row>
    <row r="61" spans="1:24">
      <c r="A61" s="87"/>
      <c r="B61" s="48" t="str">
        <f t="shared" si="35"/>
        <v>CWF</v>
      </c>
      <c r="C61" s="93"/>
      <c r="D61" s="31">
        <f t="shared" si="36"/>
        <v>1210.5</v>
      </c>
      <c r="E61" s="32">
        <f t="shared" si="37"/>
        <v>3857</v>
      </c>
      <c r="F61" s="31">
        <f t="shared" si="38"/>
        <v>1245.8938067090921</v>
      </c>
      <c r="G61" s="32">
        <f t="shared" si="39"/>
        <v>3802</v>
      </c>
      <c r="H61" s="33">
        <f t="shared" ref="H61:H68" si="41">F61/D61-1</f>
        <v>2.9238997694417401E-2</v>
      </c>
      <c r="I61" s="34">
        <f t="shared" si="40"/>
        <v>-1.4259787399533264E-2</v>
      </c>
      <c r="M61" s="46">
        <f t="shared" si="0"/>
        <v>41.987444758657944</v>
      </c>
      <c r="N61" s="46">
        <f t="shared" si="5"/>
        <v>58</v>
      </c>
      <c r="O61" s="50">
        <f t="shared" si="1"/>
        <v>4.2985716072545443</v>
      </c>
      <c r="P61" s="50">
        <f t="shared" si="2"/>
        <v>46.286016365912488</v>
      </c>
      <c r="Q61" s="50">
        <f t="shared" si="3"/>
        <v>42.988416105742957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1240.7747793157894</v>
      </c>
      <c r="V61" s="50">
        <f>$J$54*$J$31*($D$55*G23+$E$55*H23+$F$55*I23)</f>
        <v>1245.8938067090921</v>
      </c>
      <c r="W61" s="50">
        <f>$J$54*$J$31*($D$56*G23+$E$56*H23+$F$56*I23)</f>
        <v>654.47367711378934</v>
      </c>
      <c r="X61" s="29">
        <f t="shared" ref="X61:X68" si="43">SUM(U61:W61)</f>
        <v>3141.1422631386713</v>
      </c>
    </row>
    <row r="62" spans="1:24">
      <c r="A62" s="87"/>
      <c r="B62" s="48" t="str">
        <f t="shared" si="35"/>
        <v>D65</v>
      </c>
      <c r="C62" s="93"/>
      <c r="D62" s="31">
        <f t="shared" si="36"/>
        <v>577.5</v>
      </c>
      <c r="E62" s="32">
        <f t="shared" si="37"/>
        <v>6343</v>
      </c>
      <c r="F62" s="31">
        <f t="shared" si="38"/>
        <v>582.65750412270631</v>
      </c>
      <c r="G62" s="32">
        <f t="shared" si="39"/>
        <v>6032</v>
      </c>
      <c r="H62" s="33">
        <f t="shared" si="41"/>
        <v>8.930743069621272E-3</v>
      </c>
      <c r="I62" s="34">
        <f t="shared" si="40"/>
        <v>-4.9030427242629626E-2</v>
      </c>
      <c r="M62" s="46">
        <f t="shared" si="0"/>
        <v>44.040304315758391</v>
      </c>
      <c r="N62" s="46">
        <f t="shared" si="5"/>
        <v>59</v>
      </c>
      <c r="O62" s="50">
        <f t="shared" si="1"/>
        <v>2.1492858036272793</v>
      </c>
      <c r="P62" s="50">
        <f t="shared" si="2"/>
        <v>46.18959011938567</v>
      </c>
      <c r="Q62" s="50">
        <f t="shared" si="3"/>
        <v>42.67790108455965</v>
      </c>
      <c r="R62" s="78"/>
      <c r="S62" s="46" t="str">
        <f t="shared" si="42"/>
        <v>D65</v>
      </c>
      <c r="T62" s="79"/>
      <c r="U62" s="50">
        <f>$J$54*$J$31*($D$54*G24+$E$54*H24+$F$54*I24)</f>
        <v>521.47900342076923</v>
      </c>
      <c r="V62" s="50">
        <f>$J$54*$J$31*($D$55*G24+$E$55*H24+$F$55*I24)</f>
        <v>582.65750412270631</v>
      </c>
      <c r="W62" s="50">
        <f>$J$54*$J$31*($D$56*G24+$E$56*H24+$F$56*I24)</f>
        <v>516.83571286981623</v>
      </c>
      <c r="X62" s="29">
        <f t="shared" si="43"/>
        <v>1620.9722204132918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519.95000000000005</v>
      </c>
      <c r="E63" s="32">
        <f t="shared" si="37"/>
        <v>2877</v>
      </c>
      <c r="F63" s="31">
        <f t="shared" si="38"/>
        <v>530.94964025080003</v>
      </c>
      <c r="G63" s="32">
        <f t="shared" si="39"/>
        <v>3318</v>
      </c>
      <c r="H63" s="33">
        <f t="shared" si="41"/>
        <v>2.1155188481200016E-2</v>
      </c>
      <c r="I63" s="34">
        <f t="shared" si="40"/>
        <v>0.15328467153284664</v>
      </c>
      <c r="M63" s="46">
        <f t="shared" si="0"/>
        <v>46.093163872858845</v>
      </c>
      <c r="N63" s="46">
        <f t="shared" si="5"/>
        <v>60</v>
      </c>
      <c r="O63" s="50">
        <f t="shared" si="1"/>
        <v>0</v>
      </c>
      <c r="P63" s="50">
        <f t="shared" si="2"/>
        <v>46.093163872858845</v>
      </c>
      <c r="Q63" s="50">
        <f t="shared" si="3"/>
        <v>42.367386063376344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551.43498932651619</v>
      </c>
      <c r="V63" s="50">
        <f>$J$54*$J$34*($D$55*G25+$E$55*H25+$F$55*I25)</f>
        <v>530.94964025080003</v>
      </c>
      <c r="W63" s="50">
        <f>$J$54*$J$34*($D$56*G25+$E$56*H25+$F$56*I25)</f>
        <v>229.65620783957976</v>
      </c>
      <c r="X63" s="29">
        <f t="shared" si="43"/>
        <v>1312.040837416896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1210.5</v>
      </c>
      <c r="E64" s="32">
        <f t="shared" si="37"/>
        <v>3857</v>
      </c>
      <c r="F64" s="31">
        <f t="shared" si="38"/>
        <v>1233.320274164736</v>
      </c>
      <c r="G64" s="32">
        <f t="shared" si="39"/>
        <v>3839</v>
      </c>
      <c r="H64" s="33">
        <f t="shared" si="41"/>
        <v>1.8851940656535282E-2</v>
      </c>
      <c r="I64" s="34">
        <f t="shared" si="40"/>
        <v>-4.6668395125745166E-3</v>
      </c>
      <c r="M64" s="46">
        <f t="shared" si="0"/>
        <v>48.146023429959286</v>
      </c>
      <c r="N64" s="46">
        <f t="shared" si="5"/>
        <v>61</v>
      </c>
      <c r="O64" s="50">
        <f t="shared" si="1"/>
        <v>-2.1492858036272651</v>
      </c>
      <c r="P64" s="50">
        <f t="shared" si="2"/>
        <v>45.99673762633202</v>
      </c>
      <c r="Q64" s="50">
        <f t="shared" si="3"/>
        <v>42.056871042193038</v>
      </c>
      <c r="R64" s="78"/>
      <c r="S64" s="46" t="str">
        <f t="shared" si="42"/>
        <v>CWF</v>
      </c>
      <c r="T64" s="79"/>
      <c r="U64" s="50">
        <f>$J$54*$J$34*($D$54*G26+$E$54*H26+$F$54*I26)</f>
        <v>1225.4439842301767</v>
      </c>
      <c r="V64" s="50">
        <f>$J$54*$J$34*($D$55*G26+$E$55*H26+$F$55*I26)</f>
        <v>1233.320274164736</v>
      </c>
      <c r="W64" s="50">
        <f>$J$54*$J$34*($D$56*G26+$E$56*H26+$F$56*I26)</f>
        <v>658.31389054166141</v>
      </c>
      <c r="X64" s="29">
        <f t="shared" si="43"/>
        <v>3117.0781489365741</v>
      </c>
    </row>
    <row r="65" spans="1:24">
      <c r="A65" s="87"/>
      <c r="B65" s="48" t="str">
        <f t="shared" si="35"/>
        <v>D65</v>
      </c>
      <c r="C65" s="93"/>
      <c r="D65" s="31">
        <f t="shared" si="36"/>
        <v>577.5</v>
      </c>
      <c r="E65" s="32">
        <f t="shared" si="37"/>
        <v>6343</v>
      </c>
      <c r="F65" s="31">
        <f t="shared" si="38"/>
        <v>591.57519238516568</v>
      </c>
      <c r="G65" s="32">
        <f t="shared" si="39"/>
        <v>6032</v>
      </c>
      <c r="H65" s="33">
        <f t="shared" si="41"/>
        <v>2.4372627506780375E-2</v>
      </c>
      <c r="I65" s="34">
        <f t="shared" si="40"/>
        <v>-4.9030427242629626E-2</v>
      </c>
      <c r="M65" s="46">
        <f t="shared" si="0"/>
        <v>50.198882987059726</v>
      </c>
      <c r="N65" s="46">
        <f t="shared" si="5"/>
        <v>62</v>
      </c>
      <c r="O65" s="50">
        <f t="shared" si="1"/>
        <v>-4.2985716072545301</v>
      </c>
      <c r="P65" s="50">
        <f t="shared" si="2"/>
        <v>45.900311379805196</v>
      </c>
      <c r="Q65" s="50">
        <f t="shared" si="3"/>
        <v>41.746356021009731</v>
      </c>
      <c r="R65" s="78"/>
      <c r="S65" s="46" t="str">
        <f t="shared" si="42"/>
        <v>D65</v>
      </c>
      <c r="T65" s="79"/>
      <c r="U65" s="50">
        <f>$J$54*$J$34*($D$54*G27+$E$54*H27+$F$54*I27)</f>
        <v>529.46413353817002</v>
      </c>
      <c r="V65" s="50">
        <f>$J$54*$J$34*($D$55*G27+$E$55*H27+$F$55*I27)</f>
        <v>591.57519238516568</v>
      </c>
      <c r="W65" s="50">
        <f>$J$54*$J$34*($D$56*G27+$E$56*H27+$F$56*I27)</f>
        <v>524.80077123065234</v>
      </c>
      <c r="X65" s="29">
        <f t="shared" si="43"/>
        <v>1645.8400971539879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519.95000000000005</v>
      </c>
      <c r="E66" s="32">
        <f t="shared" si="37"/>
        <v>2877</v>
      </c>
      <c r="F66" s="31">
        <f t="shared" si="38"/>
        <v>509.09533025220873</v>
      </c>
      <c r="G66" s="32">
        <f t="shared" si="39"/>
        <v>2433</v>
      </c>
      <c r="H66" s="33">
        <f t="shared" si="41"/>
        <v>-2.0876372243083585E-2</v>
      </c>
      <c r="I66" s="34">
        <f t="shared" si="40"/>
        <v>-0.15432742440041713</v>
      </c>
      <c r="M66" s="46">
        <f t="shared" si="0"/>
        <v>52.251742544160166</v>
      </c>
      <c r="N66" s="46">
        <f t="shared" si="5"/>
        <v>63</v>
      </c>
      <c r="O66" s="50">
        <f t="shared" si="1"/>
        <v>-6.4478574108817952</v>
      </c>
      <c r="P66" s="50">
        <f t="shared" si="2"/>
        <v>45.803885133278371</v>
      </c>
      <c r="Q66" s="50">
        <f t="shared" si="3"/>
        <v>41.435840999826418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575.76459081348378</v>
      </c>
      <c r="V66" s="50">
        <f>$J$54*$J$37*($D$55*G28+$E$55*H28+$F$55*I28)</f>
        <v>509.09533025220873</v>
      </c>
      <c r="W66" s="50">
        <f>$J$54*$J$37*($D$56*G28+$E$56*H28+$F$56*I28)</f>
        <v>63.239584885813606</v>
      </c>
      <c r="X66" s="29">
        <f t="shared" si="43"/>
        <v>1148.0995059515062</v>
      </c>
    </row>
    <row r="67" spans="1:24">
      <c r="A67" s="87"/>
      <c r="B67" s="48" t="str">
        <f t="shared" si="35"/>
        <v>CWF</v>
      </c>
      <c r="C67" s="93"/>
      <c r="D67" s="31">
        <f t="shared" si="36"/>
        <v>1210.5</v>
      </c>
      <c r="E67" s="32">
        <f t="shared" si="37"/>
        <v>3857</v>
      </c>
      <c r="F67" s="31">
        <f t="shared" si="38"/>
        <v>1138.5435101182834</v>
      </c>
      <c r="G67" s="32">
        <f t="shared" si="39"/>
        <v>4036</v>
      </c>
      <c r="H67" s="33">
        <f t="shared" si="41"/>
        <v>-5.9443609980765477E-2</v>
      </c>
      <c r="I67" s="34">
        <f t="shared" si="40"/>
        <v>4.6409126263935674E-2</v>
      </c>
      <c r="R67" s="78"/>
      <c r="S67" s="46" t="str">
        <f t="shared" si="42"/>
        <v>CWF</v>
      </c>
      <c r="T67" s="79"/>
      <c r="U67" s="50">
        <f>$J$54*$J$37*($D$54*G29+$E$54*H29+$F$54*I29)</f>
        <v>1118.0745332155302</v>
      </c>
      <c r="V67" s="50">
        <f>$J$54*$J$37*($D$55*G29+$E$55*H29+$F$55*I29)</f>
        <v>1138.5435101182834</v>
      </c>
      <c r="W67" s="50">
        <f>$J$54*$J$37*($D$56*G29+$E$56*H29+$F$56*I29)</f>
        <v>655.55809409971039</v>
      </c>
      <c r="X67" s="29">
        <f t="shared" si="43"/>
        <v>2912.1761374335238</v>
      </c>
    </row>
    <row r="68" spans="1:24">
      <c r="A68" s="87"/>
      <c r="B68" s="48" t="str">
        <f t="shared" si="35"/>
        <v>D65</v>
      </c>
      <c r="C68" s="93"/>
      <c r="D68" s="31">
        <f t="shared" si="36"/>
        <v>577.5</v>
      </c>
      <c r="E68" s="32">
        <f t="shared" si="37"/>
        <v>6343</v>
      </c>
      <c r="F68" s="31">
        <f t="shared" si="38"/>
        <v>569.73107339864191</v>
      </c>
      <c r="G68" s="32">
        <f t="shared" si="39"/>
        <v>5916</v>
      </c>
      <c r="H68" s="33">
        <f t="shared" si="41"/>
        <v>-1.3452686755598409E-2</v>
      </c>
      <c r="I68" s="34">
        <f t="shared" si="40"/>
        <v>-6.7318303641809907E-2</v>
      </c>
      <c r="R68" s="78"/>
      <c r="S68" s="46" t="str">
        <f t="shared" si="42"/>
        <v>D65</v>
      </c>
      <c r="T68" s="79"/>
      <c r="U68" s="50">
        <f>$J$54*$J$37*($D$54*G30+$E$54*H30+$F$54*I30)</f>
        <v>512.1057836012518</v>
      </c>
      <c r="V68" s="50">
        <f>$J$54*$J$37*($D$55*G30+$E$55*H30+$F$55*I30)</f>
        <v>569.73107339864191</v>
      </c>
      <c r="W68" s="50">
        <f>$J$54*$J$37*($D$56*G30+$E$56*H30+$F$56*I30)</f>
        <v>497.05962667827555</v>
      </c>
      <c r="X68" s="29">
        <f t="shared" si="43"/>
        <v>1578.8964836781693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5.9443609980765477E-2</v>
      </c>
      <c r="G69" s="47"/>
      <c r="H69" s="36" t="str">
        <f>I59</f>
        <v>CCT</v>
      </c>
      <c r="I69" s="38">
        <f>MAX(MAX(I60:I68,-MIN(I60:I68)))</f>
        <v>0.15432742440041713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519.95000000000005</v>
      </c>
      <c r="E72" s="31">
        <f t="shared" ref="E72:E80" si="47">E60</f>
        <v>2877</v>
      </c>
      <c r="F72" s="31">
        <f t="shared" ref="F72:F80" si="48">V72</f>
        <v>523.5138025591931</v>
      </c>
      <c r="G72" s="32">
        <f t="shared" ref="G72:G80" si="49">getCCTfromXY(U72/X72,V72/X72)</f>
        <v>3059</v>
      </c>
      <c r="H72" s="33">
        <f>F72/D72-1</f>
        <v>6.8541255105165622E-3</v>
      </c>
      <c r="I72" s="34">
        <f t="shared" ref="I72:I80" si="50">G72/E72-1</f>
        <v>6.3260340632603329E-2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555.28560300645802</v>
      </c>
      <c r="V72" s="50">
        <f>$J$51*$J$31*($D$52*G22+$E$52*H22+$F$52*I22)</f>
        <v>523.5138025591931</v>
      </c>
      <c r="W72" s="50">
        <f>$J$51*$J$31*($D$53*G22+$E$53*H22+$F$53*I22)</f>
        <v>188.20233408905949</v>
      </c>
      <c r="X72" s="29">
        <f>SUM(U72:W72)</f>
        <v>1267.0017396547105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1210.5</v>
      </c>
      <c r="E73" s="31">
        <f t="shared" si="47"/>
        <v>3857</v>
      </c>
      <c r="F73" s="31">
        <f t="shared" si="48"/>
        <v>1260.8491848495257</v>
      </c>
      <c r="G73" s="32">
        <f t="shared" si="49"/>
        <v>3751</v>
      </c>
      <c r="H73" s="33">
        <f t="shared" ref="H73:H80" si="52">F73/D73-1</f>
        <v>4.1593709086762187E-2</v>
      </c>
      <c r="I73" s="34">
        <f t="shared" si="50"/>
        <v>-2.7482499351827894E-2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1259.7641084044185</v>
      </c>
      <c r="V73" s="50">
        <f t="shared" ref="V73:V74" si="55">$J$51*$J$31*($D$52*G23+$E$52*H23+$F$52*I23)</f>
        <v>1260.8491848495257</v>
      </c>
      <c r="W73" s="50">
        <f t="shared" ref="W73:W74" si="56">$J$51*$J$31*($D$53*G23+$E$53*H23+$F$53*I23)</f>
        <v>648.10395689737095</v>
      </c>
      <c r="X73" s="29">
        <f t="shared" ref="X73:X80" si="57">SUM(U73:W73)</f>
        <v>3168.7172501513151</v>
      </c>
    </row>
    <row r="74" spans="1:24">
      <c r="A74" s="87"/>
      <c r="B74" s="48" t="str">
        <f t="shared" si="46"/>
        <v>X</v>
      </c>
      <c r="C74" s="93"/>
      <c r="D74" s="31">
        <f t="shared" si="51"/>
        <v>577.5</v>
      </c>
      <c r="E74" s="31">
        <f t="shared" si="47"/>
        <v>6343</v>
      </c>
      <c r="F74" s="31">
        <f t="shared" si="48"/>
        <v>581.69197375051692</v>
      </c>
      <c r="G74" s="32">
        <f t="shared" si="49"/>
        <v>6407</v>
      </c>
      <c r="H74" s="33">
        <f t="shared" si="52"/>
        <v>7.2588290052240101E-3</v>
      </c>
      <c r="I74" s="34">
        <f t="shared" si="50"/>
        <v>1.0089862840926944E-2</v>
      </c>
      <c r="R74" s="78"/>
      <c r="S74" s="46" t="str">
        <f t="shared" si="53"/>
        <v>D65</v>
      </c>
      <c r="T74" s="79"/>
      <c r="U74" s="50">
        <f t="shared" si="54"/>
        <v>513.24028548282297</v>
      </c>
      <c r="V74" s="50">
        <f t="shared" si="55"/>
        <v>581.69197375051692</v>
      </c>
      <c r="W74" s="50">
        <f t="shared" si="56"/>
        <v>541.17199670087655</v>
      </c>
      <c r="X74" s="29">
        <f t="shared" si="57"/>
        <v>1636.1042559342163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519.95000000000005</v>
      </c>
      <c r="E75" s="31">
        <f t="shared" si="47"/>
        <v>2877</v>
      </c>
      <c r="F75" s="31">
        <f t="shared" si="48"/>
        <v>529.40771160090969</v>
      </c>
      <c r="G75" s="32">
        <f t="shared" si="49"/>
        <v>3238</v>
      </c>
      <c r="H75" s="33">
        <f t="shared" si="52"/>
        <v>1.8189655930204163E-2</v>
      </c>
      <c r="I75" s="34">
        <f t="shared" si="50"/>
        <v>0.12547792839763638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553.34565902953705</v>
      </c>
      <c r="V75" s="50">
        <f>$J$51*$J$34*($D$52*G25+$E$52*H25+$F$52*I25)</f>
        <v>529.40771160090969</v>
      </c>
      <c r="W75" s="50">
        <f>$J$51*$J$34*($D$53*G25+$E$53*H25+$F$53*I25)</f>
        <v>217.82164968660194</v>
      </c>
      <c r="X75" s="29">
        <f t="shared" si="57"/>
        <v>1300.5750203170485</v>
      </c>
    </row>
    <row r="76" spans="1:24">
      <c r="A76" s="87"/>
      <c r="B76" s="48" t="str">
        <f t="shared" si="46"/>
        <v>Z</v>
      </c>
      <c r="C76" s="93"/>
      <c r="D76" s="31">
        <f t="shared" si="51"/>
        <v>1210.5</v>
      </c>
      <c r="E76" s="31">
        <f t="shared" si="47"/>
        <v>3857</v>
      </c>
      <c r="F76" s="31">
        <f t="shared" si="48"/>
        <v>1247.6160045657311</v>
      </c>
      <c r="G76" s="32">
        <f t="shared" si="49"/>
        <v>3793</v>
      </c>
      <c r="H76" s="33">
        <f t="shared" si="52"/>
        <v>3.0661713808947555E-2</v>
      </c>
      <c r="I76" s="34">
        <f t="shared" si="50"/>
        <v>-1.6593207155820577E-2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1243.2742536173016</v>
      </c>
      <c r="V76" s="50">
        <f t="shared" ref="V76:V77" si="59">$J$51*$J$34*($D$52*G26+$E$52*H26+$F$52*I26)</f>
        <v>1247.6160045657311</v>
      </c>
      <c r="W76" s="50">
        <f t="shared" ref="W76:W77" si="60">$J$51*$J$34*($D$53*G26+$E$53*H26+$F$53*I26)</f>
        <v>653.33017280742115</v>
      </c>
      <c r="X76" s="29">
        <f t="shared" si="57"/>
        <v>3144.2204309904537</v>
      </c>
    </row>
    <row r="77" spans="1:24">
      <c r="A77" s="87"/>
      <c r="B77" s="48" t="str">
        <f t="shared" si="46"/>
        <v>X</v>
      </c>
      <c r="C77" s="93"/>
      <c r="D77" s="31">
        <f t="shared" si="51"/>
        <v>577.5</v>
      </c>
      <c r="E77" s="31">
        <f t="shared" si="47"/>
        <v>6343</v>
      </c>
      <c r="F77" s="31">
        <f t="shared" si="48"/>
        <v>590.57193687529059</v>
      </c>
      <c r="G77" s="32">
        <f t="shared" si="49"/>
        <v>6408</v>
      </c>
      <c r="H77" s="33">
        <f t="shared" si="52"/>
        <v>2.2635388528641665E-2</v>
      </c>
      <c r="I77" s="34">
        <f t="shared" si="50"/>
        <v>1.0247516947816449E-2</v>
      </c>
      <c r="R77" s="78"/>
      <c r="S77" s="46" t="str">
        <f t="shared" si="53"/>
        <v>D65</v>
      </c>
      <c r="T77" s="79"/>
      <c r="U77" s="50">
        <f t="shared" si="58"/>
        <v>521.0731224747226</v>
      </c>
      <c r="V77" s="50">
        <f t="shared" si="59"/>
        <v>590.57193687529059</v>
      </c>
      <c r="W77" s="50">
        <f t="shared" si="60"/>
        <v>549.5107819934185</v>
      </c>
      <c r="X77" s="29">
        <f t="shared" si="57"/>
        <v>1661.1558413434316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519.95000000000005</v>
      </c>
      <c r="E78" s="31">
        <f t="shared" si="47"/>
        <v>2877</v>
      </c>
      <c r="F78" s="31">
        <f t="shared" si="48"/>
        <v>509.9890436596757</v>
      </c>
      <c r="G78" s="32">
        <f t="shared" si="49"/>
        <v>2302</v>
      </c>
      <c r="H78" s="33">
        <f t="shared" si="52"/>
        <v>-1.9157527339791036E-2</v>
      </c>
      <c r="I78" s="34">
        <f t="shared" si="50"/>
        <v>-0.19986096628432393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586.64233206237088</v>
      </c>
      <c r="V78" s="50">
        <f>$J$51*$J$37*($D$52*G28+$E$52*H28+$F$52*I28)</f>
        <v>509.9890436596757</v>
      </c>
      <c r="W78" s="50">
        <f>$J$51*$J$37*($D$53*G28+$E$53*H28+$F$53*I28)</f>
        <v>30.554025006559243</v>
      </c>
      <c r="X78" s="29">
        <f t="shared" si="57"/>
        <v>1127.1854007286058</v>
      </c>
    </row>
    <row r="79" spans="1:24">
      <c r="A79" s="87"/>
      <c r="B79" s="48" t="str">
        <f t="shared" si="46"/>
        <v>Z</v>
      </c>
      <c r="C79" s="93"/>
      <c r="D79" s="31">
        <f t="shared" si="51"/>
        <v>1210.5</v>
      </c>
      <c r="E79" s="31">
        <f t="shared" si="47"/>
        <v>3857</v>
      </c>
      <c r="F79" s="31">
        <f t="shared" si="48"/>
        <v>1149.7771702018508</v>
      </c>
      <c r="G79" s="32">
        <f t="shared" si="49"/>
        <v>4016</v>
      </c>
      <c r="H79" s="33">
        <f t="shared" si="52"/>
        <v>-5.0163428168648605E-2</v>
      </c>
      <c r="I79" s="34">
        <f t="shared" si="50"/>
        <v>4.1223749027741841E-2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1130.4857404293011</v>
      </c>
      <c r="V79" s="50">
        <f t="shared" ref="V79:V80" si="62">$J$51*$J$37*($D$52*G29+$E$52*H29+$F$52*I29)</f>
        <v>1149.7771702018508</v>
      </c>
      <c r="W79" s="50">
        <f t="shared" ref="W79:W80" si="63">$J$51*$J$37*($D$53*G29+$E$53*H29+$F$53*I29)</f>
        <v>657.11268748170357</v>
      </c>
      <c r="X79" s="29">
        <f t="shared" si="57"/>
        <v>2937.3755981128556</v>
      </c>
    </row>
    <row r="80" spans="1:24">
      <c r="A80" s="87"/>
      <c r="B80" s="48" t="str">
        <f t="shared" si="46"/>
        <v>X</v>
      </c>
      <c r="C80" s="93"/>
      <c r="D80" s="31">
        <f t="shared" si="51"/>
        <v>577.5</v>
      </c>
      <c r="E80" s="31">
        <f t="shared" si="47"/>
        <v>6343</v>
      </c>
      <c r="F80" s="31">
        <f t="shared" si="48"/>
        <v>569.23413363728071</v>
      </c>
      <c r="G80" s="32">
        <f t="shared" si="49"/>
        <v>6260</v>
      </c>
      <c r="H80" s="33">
        <f t="shared" si="52"/>
        <v>-1.4313188506873242E-2</v>
      </c>
      <c r="I80" s="34">
        <f t="shared" si="50"/>
        <v>-1.3085290871827193E-2</v>
      </c>
      <c r="R80" s="78"/>
      <c r="S80" s="46" t="str">
        <f t="shared" si="53"/>
        <v>D65</v>
      </c>
      <c r="T80" s="79"/>
      <c r="U80" s="50">
        <f t="shared" si="61"/>
        <v>504.86371449766654</v>
      </c>
      <c r="V80" s="50">
        <f t="shared" si="62"/>
        <v>569.23413363728071</v>
      </c>
      <c r="W80" s="50">
        <f t="shared" si="63"/>
        <v>519.81635413907338</v>
      </c>
      <c r="X80" s="29">
        <f t="shared" si="57"/>
        <v>1593.9142022740207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5.0163428168648605E-2</v>
      </c>
      <c r="G81" s="47"/>
      <c r="H81" s="36" t="str">
        <f>I71</f>
        <v>CCT</v>
      </c>
      <c r="I81" s="38">
        <f>MAX(MAX(I72:I80,-MIN(I72:I80)))</f>
        <v>0.19986096628432393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519.95000000000005</v>
      </c>
      <c r="E84" s="31">
        <f t="shared" ref="E84:E92" si="67">E72</f>
        <v>2877</v>
      </c>
      <c r="F84" s="31">
        <f t="shared" ref="F84:F92" si="68">V84</f>
        <v>519.9500000000005</v>
      </c>
      <c r="G84" s="32">
        <f t="shared" ref="G84:G92" si="69">getCCTfromXY(U84/X84,V84/X84)</f>
        <v>2877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560.60000000000059</v>
      </c>
      <c r="V84" s="50">
        <f>$J$42*$J$31*($D$43*G22+$E$43*H22+$F$43*I22)</f>
        <v>519.9500000000005</v>
      </c>
      <c r="W84" s="50">
        <f>$J$42*$J$31*($D$44*G22+$E$44*H22+$F$44*I22)</f>
        <v>156.20000000000002</v>
      </c>
      <c r="X84" s="29">
        <f>SUM(U84:W84)</f>
        <v>1236.7500000000011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1210.5</v>
      </c>
      <c r="E85" s="31">
        <f t="shared" si="67"/>
        <v>3857</v>
      </c>
      <c r="F85" s="31">
        <f t="shared" si="68"/>
        <v>1210.4999999999998</v>
      </c>
      <c r="G85" s="32">
        <f t="shared" si="69"/>
        <v>3857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1201.4999999999998</v>
      </c>
      <c r="V85" s="50">
        <f t="shared" ref="V85:V86" si="75">$J$42*$J$31*($D$43*G23+$E$43*H23+$F$43*I23)</f>
        <v>1210.4999999999998</v>
      </c>
      <c r="W85" s="50">
        <f t="shared" ref="W85:W86" si="76">$J$42*$J$31*($D$44*G23+$E$44*H23+$F$44*I23)</f>
        <v>651</v>
      </c>
      <c r="X85" s="29">
        <f t="shared" ref="X85:X92" si="77">SUM(U85:W85)</f>
        <v>3062.9999999999995</v>
      </c>
    </row>
    <row r="86" spans="1:24">
      <c r="A86" s="87"/>
      <c r="B86" s="48">
        <f t="shared" si="66"/>
        <v>0</v>
      </c>
      <c r="C86" s="93"/>
      <c r="D86" s="31">
        <f t="shared" si="71"/>
        <v>577.5</v>
      </c>
      <c r="E86" s="31">
        <f t="shared" si="67"/>
        <v>6343</v>
      </c>
      <c r="F86" s="31">
        <f t="shared" si="68"/>
        <v>577.49999999999989</v>
      </c>
      <c r="G86" s="32">
        <f t="shared" si="69"/>
        <v>6343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510.69999999999993</v>
      </c>
      <c r="V86" s="50">
        <f t="shared" si="75"/>
        <v>577.49999999999989</v>
      </c>
      <c r="W86" s="50">
        <f t="shared" si="76"/>
        <v>533.04999999999995</v>
      </c>
      <c r="X86" s="29">
        <f t="shared" si="77"/>
        <v>1621.2499999999998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519.95000000000005</v>
      </c>
      <c r="E87" s="31">
        <f t="shared" si="67"/>
        <v>2877</v>
      </c>
      <c r="F87" s="31">
        <f t="shared" si="68"/>
        <v>519.94999999999959</v>
      </c>
      <c r="G87" s="32">
        <f t="shared" si="69"/>
        <v>2877</v>
      </c>
      <c r="H87" s="33">
        <f t="shared" si="72"/>
        <v>-8.8817841970012523E-16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560.59999999999934</v>
      </c>
      <c r="V87" s="50">
        <f>$J$45*$J$34*($D$46*G25+$E$46*H25+$F$46*I25)</f>
        <v>519.94999999999959</v>
      </c>
      <c r="W87" s="50">
        <f>$J$45*$J$34*($D$47*G25+$E$47*H25+$F$47*I25)</f>
        <v>156.19999999999953</v>
      </c>
      <c r="X87" s="29">
        <f t="shared" si="77"/>
        <v>1236.7499999999984</v>
      </c>
    </row>
    <row r="88" spans="1:24">
      <c r="A88" s="87"/>
      <c r="B88" s="48">
        <f t="shared" si="66"/>
        <v>0</v>
      </c>
      <c r="C88" s="93"/>
      <c r="D88" s="31">
        <f t="shared" si="71"/>
        <v>1210.5</v>
      </c>
      <c r="E88" s="31">
        <f t="shared" si="67"/>
        <v>3857</v>
      </c>
      <c r="F88" s="31">
        <f t="shared" si="68"/>
        <v>1210.4999999999998</v>
      </c>
      <c r="G88" s="32">
        <f t="shared" si="69"/>
        <v>3857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1201.4999999999995</v>
      </c>
      <c r="V88" s="50">
        <f t="shared" ref="V88:V89" si="79">$J$45*$J$34*($D$46*G26+$E$46*H26+$F$46*I26)</f>
        <v>1210.4999999999998</v>
      </c>
      <c r="W88" s="50">
        <f t="shared" ref="W88:W89" si="80">$J$45*$J$34*($D$47*G26+$E$47*H26+$F$47*I26)</f>
        <v>650.99999999999966</v>
      </c>
      <c r="X88" s="29">
        <f t="shared" si="77"/>
        <v>3062.9999999999986</v>
      </c>
    </row>
    <row r="89" spans="1:24">
      <c r="A89" s="87"/>
      <c r="B89" s="48" t="str">
        <f t="shared" si="66"/>
        <v>A</v>
      </c>
      <c r="C89" s="93"/>
      <c r="D89" s="31">
        <f t="shared" si="71"/>
        <v>577.5</v>
      </c>
      <c r="E89" s="31">
        <f t="shared" si="67"/>
        <v>6343</v>
      </c>
      <c r="F89" s="31">
        <f t="shared" si="68"/>
        <v>577.5</v>
      </c>
      <c r="G89" s="32">
        <f t="shared" si="69"/>
        <v>6343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510.69999999999982</v>
      </c>
      <c r="V89" s="50">
        <f t="shared" si="79"/>
        <v>577.5</v>
      </c>
      <c r="W89" s="50">
        <f t="shared" si="80"/>
        <v>533.04999999999984</v>
      </c>
      <c r="X89" s="29">
        <f t="shared" si="77"/>
        <v>1621.2499999999995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519.95000000000005</v>
      </c>
      <c r="E90" s="31">
        <f t="shared" si="67"/>
        <v>2877</v>
      </c>
      <c r="F90" s="31">
        <f t="shared" si="68"/>
        <v>519.94999999999936</v>
      </c>
      <c r="G90" s="32">
        <f t="shared" si="69"/>
        <v>2877</v>
      </c>
      <c r="H90" s="33">
        <f t="shared" si="72"/>
        <v>-1.3322676295501878E-15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560.59999999999968</v>
      </c>
      <c r="V90" s="50">
        <f>$J$48*$J$37*($D$49*G28+$E$49*H28+$F$49*I28)</f>
        <v>519.94999999999936</v>
      </c>
      <c r="W90" s="50">
        <f>$J$48*$J$37*($D$50*G28+$E$50*H28+$F$50*I28)</f>
        <v>156.20000000000005</v>
      </c>
      <c r="X90" s="29">
        <f t="shared" si="77"/>
        <v>1236.7499999999991</v>
      </c>
    </row>
    <row r="91" spans="1:24">
      <c r="A91" s="87"/>
      <c r="B91" s="48" t="str">
        <f t="shared" si="66"/>
        <v>D65</v>
      </c>
      <c r="C91" s="93"/>
      <c r="D91" s="31">
        <f t="shared" si="71"/>
        <v>1210.5</v>
      </c>
      <c r="E91" s="31">
        <f t="shared" si="67"/>
        <v>3857</v>
      </c>
      <c r="F91" s="31">
        <f t="shared" si="68"/>
        <v>1210.5</v>
      </c>
      <c r="G91" s="32">
        <f t="shared" si="69"/>
        <v>3857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1201.4999999999998</v>
      </c>
      <c r="V91" s="50">
        <f t="shared" ref="V91:V92" si="82">$J$48*$J$37*($D$49*G29+$E$49*H29+$F$49*I29)</f>
        <v>1210.5</v>
      </c>
      <c r="W91" s="50">
        <f t="shared" ref="W91:W92" si="83">$J$48*$J$37*($D$50*G29+$E$50*H29+$F$50*I29)</f>
        <v>650.99999999999977</v>
      </c>
      <c r="X91" s="29">
        <f t="shared" si="77"/>
        <v>3063</v>
      </c>
    </row>
    <row r="92" spans="1:24">
      <c r="A92" s="87"/>
      <c r="B92" s="48" t="str">
        <f t="shared" si="66"/>
        <v>A</v>
      </c>
      <c r="C92" s="93"/>
      <c r="D92" s="31">
        <f t="shared" si="71"/>
        <v>577.5</v>
      </c>
      <c r="E92" s="31">
        <f t="shared" si="67"/>
        <v>6343</v>
      </c>
      <c r="F92" s="31">
        <f t="shared" si="68"/>
        <v>577.49999999999989</v>
      </c>
      <c r="G92" s="32">
        <f t="shared" si="69"/>
        <v>6343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510.69999999999976</v>
      </c>
      <c r="V92" s="50">
        <f t="shared" si="82"/>
        <v>577.49999999999989</v>
      </c>
      <c r="W92" s="50">
        <f t="shared" si="83"/>
        <v>533.04999999999984</v>
      </c>
      <c r="X92" s="29">
        <f t="shared" si="77"/>
        <v>1621.2499999999995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1.3322676295501878E-15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2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1.3850199673238635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84.199646639023726</v>
      </c>
      <c r="N3" s="46">
        <v>0</v>
      </c>
      <c r="O3" s="50">
        <f>G$5-N3*G$7</f>
        <v>135.265486175831</v>
      </c>
      <c r="P3" s="50">
        <f>H$5-N3*H$7</f>
        <v>51.065839536807275</v>
      </c>
      <c r="Q3" s="50">
        <f>I$5-N3*I$7</f>
        <v>61.839559803069797</v>
      </c>
    </row>
    <row r="4" spans="1:17">
      <c r="C4" s="46" t="s">
        <v>20</v>
      </c>
      <c r="D4" s="7">
        <v>536.5</v>
      </c>
      <c r="E4" s="7">
        <v>1209</v>
      </c>
      <c r="F4" s="7">
        <v>575.5</v>
      </c>
      <c r="G4" s="50">
        <f>AVERAGE(D4:F4)</f>
        <v>773.66666666666663</v>
      </c>
      <c r="H4" s="50">
        <f>G4</f>
        <v>773.66666666666663</v>
      </c>
      <c r="I4" s="50">
        <f>H4</f>
        <v>773.66666666666663</v>
      </c>
      <c r="K4" s="13" t="str">
        <f>linefmt("Compensation",B12)</f>
        <v>"Compensation",41,</v>
      </c>
      <c r="M4" s="46">
        <f t="shared" si="0"/>
        <v>82.152666439881543</v>
      </c>
      <c r="N4" s="46">
        <f>N3+1</f>
        <v>1</v>
      </c>
      <c r="O4" s="50">
        <f t="shared" ref="O4:O66" si="1">G$5-N4*G$7</f>
        <v>133.13000601481892</v>
      </c>
      <c r="P4" s="50">
        <f t="shared" ref="P4:P66" si="2">H$5-N4*H$7</f>
        <v>50.977339574937375</v>
      </c>
      <c r="Q4" s="50">
        <f t="shared" ref="Q4:Q66" si="3">I$5-N4*I$7</f>
        <v>61.522067150981883</v>
      </c>
    </row>
    <row r="5" spans="1:17">
      <c r="C5" s="46">
        <v>0</v>
      </c>
      <c r="D5" s="9">
        <v>93.8</v>
      </c>
      <c r="E5" s="9">
        <v>79.8</v>
      </c>
      <c r="F5" s="9">
        <v>46</v>
      </c>
      <c r="G5" s="50">
        <f>G$4/D$4*D5</f>
        <v>135.265486175831</v>
      </c>
      <c r="H5" s="50">
        <f t="shared" ref="H5:I6" si="4">H$4/E$4*E5</f>
        <v>51.065839536807275</v>
      </c>
      <c r="I5" s="50">
        <f t="shared" si="4"/>
        <v>61.839559803069797</v>
      </c>
      <c r="K5" s="14" t="str">
        <f>linefmt("CardGain",J54)</f>
        <v>"CardGain",17.74994,</v>
      </c>
      <c r="M5" s="46">
        <f t="shared" si="0"/>
        <v>80.105686240739388</v>
      </c>
      <c r="N5" s="46">
        <f t="shared" ref="N5:N66" si="5">N4+1</f>
        <v>2</v>
      </c>
      <c r="O5" s="50">
        <f t="shared" si="1"/>
        <v>130.99452585380686</v>
      </c>
      <c r="P5" s="50">
        <f t="shared" si="2"/>
        <v>50.888839613067475</v>
      </c>
      <c r="Q5" s="50">
        <f t="shared" si="3"/>
        <v>61.204574498893962</v>
      </c>
    </row>
    <row r="6" spans="1:17">
      <c r="B6" s="50">
        <f>D5/4</f>
        <v>23.45</v>
      </c>
      <c r="C6" s="7">
        <v>47</v>
      </c>
      <c r="D6" s="9">
        <v>24.2</v>
      </c>
      <c r="E6" s="9">
        <v>73.3</v>
      </c>
      <c r="F6" s="9">
        <v>34.9</v>
      </c>
      <c r="G6" s="50">
        <f>G$4/D$4*D6</f>
        <v>34.897918608263431</v>
      </c>
      <c r="H6" s="50">
        <f t="shared" si="4"/>
        <v>46.906341328921968</v>
      </c>
      <c r="I6" s="50">
        <f t="shared" si="4"/>
        <v>46.917405154937732</v>
      </c>
      <c r="K6" s="14" t="str">
        <f>linefmt("Range",1,J34,J37)</f>
        <v>"Range",1,0.9322292,0.9393939,</v>
      </c>
      <c r="M6" s="46">
        <f t="shared" si="0"/>
        <v>78.058706041597205</v>
      </c>
      <c r="N6" s="46">
        <f t="shared" si="5"/>
        <v>3</v>
      </c>
      <c r="O6" s="50">
        <f t="shared" si="1"/>
        <v>128.85904569279478</v>
      </c>
      <c r="P6" s="50">
        <f t="shared" si="2"/>
        <v>50.800339651197575</v>
      </c>
      <c r="Q6" s="50">
        <f t="shared" si="3"/>
        <v>60.887081846806048</v>
      </c>
    </row>
    <row r="7" spans="1:17">
      <c r="C7" s="46">
        <f>C5</f>
        <v>0</v>
      </c>
      <c r="D7" s="46">
        <f t="shared" ref="D7:F8" si="6">D$4/D5</f>
        <v>5.7196162046908317</v>
      </c>
      <c r="E7" s="46">
        <f t="shared" si="6"/>
        <v>15.150375939849624</v>
      </c>
      <c r="F7" s="46">
        <f t="shared" si="6"/>
        <v>12.510869565217391</v>
      </c>
      <c r="G7" s="49">
        <f>(G5-G6)/($C6-$C5)</f>
        <v>2.1354801610120759</v>
      </c>
      <c r="H7" s="49">
        <f t="shared" ref="H7:I7" si="7">(H5-H6)/($C6-$C5)</f>
        <v>8.849996186990014E-2</v>
      </c>
      <c r="I7" s="49">
        <f t="shared" si="7"/>
        <v>0.31749265208791627</v>
      </c>
      <c r="K7" s="14" t="str">
        <f>linefmt("CCM" )</f>
        <v>"CCM",</v>
      </c>
      <c r="M7" s="46">
        <f t="shared" si="0"/>
        <v>76.011725842455022</v>
      </c>
      <c r="N7" s="46">
        <f t="shared" si="5"/>
        <v>4</v>
      </c>
      <c r="O7" s="50">
        <f t="shared" si="1"/>
        <v>126.7235655317827</v>
      </c>
      <c r="P7" s="50">
        <f t="shared" si="2"/>
        <v>50.711839689327675</v>
      </c>
      <c r="Q7" s="50">
        <f t="shared" si="3"/>
        <v>60.569589194718134</v>
      </c>
    </row>
    <row r="8" spans="1:17">
      <c r="C8" s="46">
        <f>C6</f>
        <v>47</v>
      </c>
      <c r="D8" s="46">
        <f t="shared" si="6"/>
        <v>22.169421487603305</v>
      </c>
      <c r="E8" s="46">
        <f t="shared" si="6"/>
        <v>16.49386084583902</v>
      </c>
      <c r="F8" s="46">
        <f t="shared" si="6"/>
        <v>16.489971346704873</v>
      </c>
      <c r="K8" s="15" t="str">
        <f>linefmt("",D54,E54,F54)</f>
        <v>0.1613595,1.034054,-0.4025895,</v>
      </c>
      <c r="M8" s="46">
        <f t="shared" si="0"/>
        <v>73.964745643312838</v>
      </c>
      <c r="N8" s="46">
        <f t="shared" si="5"/>
        <v>5</v>
      </c>
      <c r="O8" s="50">
        <f t="shared" si="1"/>
        <v>124.58808537077061</v>
      </c>
      <c r="P8" s="50">
        <f t="shared" si="2"/>
        <v>50.623339727457775</v>
      </c>
      <c r="Q8" s="50">
        <f t="shared" si="3"/>
        <v>60.252096542630213</v>
      </c>
    </row>
    <row r="9" spans="1:17">
      <c r="C9" s="46" t="s">
        <v>23</v>
      </c>
      <c r="D9" s="46">
        <f>(D8-D7)/($C8-$C7)</f>
        <v>0.3499958570832441</v>
      </c>
      <c r="E9" s="46">
        <f>(E8-E7)/($C8-$C7)</f>
        <v>2.8584785233816929E-2</v>
      </c>
      <c r="F9" s="46">
        <f>(F8-F7)/($C8-$C7)</f>
        <v>8.4661740031648572E-2</v>
      </c>
      <c r="K9" s="15" t="str">
        <f>linefmt("",D55,E55,F55)</f>
        <v>1.629215E-02,1,-0.1120165,</v>
      </c>
      <c r="M9" s="46">
        <f t="shared" si="0"/>
        <v>71.917765444170669</v>
      </c>
      <c r="N9" s="46">
        <f t="shared" si="5"/>
        <v>6</v>
      </c>
      <c r="O9" s="50">
        <f t="shared" si="1"/>
        <v>122.45260520975854</v>
      </c>
      <c r="P9" s="50">
        <f t="shared" si="2"/>
        <v>50.534839765587876</v>
      </c>
      <c r="Q9" s="50">
        <f t="shared" si="3"/>
        <v>59.934603890542299</v>
      </c>
    </row>
    <row r="10" spans="1:17">
      <c r="K10" s="16" t="str">
        <f>linefmt("",D56,E56,F56)</f>
        <v>-0.4790115,0.3594122,0.986849,</v>
      </c>
      <c r="M10" s="46">
        <f t="shared" si="0"/>
        <v>69.8707852450285</v>
      </c>
      <c r="N10" s="46">
        <f t="shared" si="5"/>
        <v>7</v>
      </c>
      <c r="O10" s="50">
        <f t="shared" si="1"/>
        <v>120.31712504874648</v>
      </c>
      <c r="P10" s="50">
        <f t="shared" si="2"/>
        <v>50.446339803717976</v>
      </c>
      <c r="Q10" s="50">
        <f t="shared" si="3"/>
        <v>59.617111238454385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67.823805045886317</v>
      </c>
      <c r="N11" s="46">
        <f t="shared" si="5"/>
        <v>8</v>
      </c>
      <c r="O11" s="50">
        <f t="shared" si="1"/>
        <v>118.18164488773439</v>
      </c>
      <c r="P11" s="50">
        <f t="shared" si="2"/>
        <v>50.357839841848076</v>
      </c>
      <c r="Q11" s="50">
        <f t="shared" si="3"/>
        <v>59.299618586366464</v>
      </c>
    </row>
    <row r="12" spans="1:17">
      <c r="A12" s="46" t="s">
        <v>16</v>
      </c>
      <c r="B12" s="10">
        <f>MATCH(M2,M3:M66,0)-1</f>
        <v>41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Compensation=41</v>
      </c>
      <c r="M12" s="46">
        <f t="shared" si="0"/>
        <v>65.776824846744134</v>
      </c>
      <c r="N12" s="46">
        <f t="shared" si="5"/>
        <v>9</v>
      </c>
      <c r="O12" s="50">
        <f t="shared" si="1"/>
        <v>116.04616472672231</v>
      </c>
      <c r="P12" s="50">
        <f t="shared" si="2"/>
        <v>50.269339879978176</v>
      </c>
      <c r="Q12" s="50">
        <f t="shared" si="3"/>
        <v>58.98212593427855</v>
      </c>
    </row>
    <row r="13" spans="1:17">
      <c r="A13" s="78" t="s">
        <v>12</v>
      </c>
      <c r="B13" s="79" t="s">
        <v>0</v>
      </c>
      <c r="C13" s="46">
        <v>0</v>
      </c>
      <c r="D13" s="7">
        <v>551.6</v>
      </c>
      <c r="E13" s="7">
        <v>511.7</v>
      </c>
      <c r="F13" s="7">
        <v>155.6</v>
      </c>
      <c r="G13" s="8">
        <v>82.9</v>
      </c>
      <c r="H13" s="8">
        <v>31.7</v>
      </c>
      <c r="I13" s="8">
        <v>39.299999999999997</v>
      </c>
      <c r="M13" s="46">
        <f t="shared" si="0"/>
        <v>63.729844647601965</v>
      </c>
      <c r="N13" s="46">
        <f t="shared" si="5"/>
        <v>10</v>
      </c>
      <c r="O13" s="50">
        <f t="shared" si="1"/>
        <v>113.91068456571024</v>
      </c>
      <c r="P13" s="50">
        <f t="shared" si="2"/>
        <v>50.180839918108276</v>
      </c>
      <c r="Q13" s="50">
        <f t="shared" si="3"/>
        <v>58.664633282190636</v>
      </c>
    </row>
    <row r="14" spans="1:17">
      <c r="A14" s="78"/>
      <c r="B14" s="79"/>
      <c r="C14" s="46">
        <f>C13+1</f>
        <v>1</v>
      </c>
      <c r="D14" s="7">
        <v>557.20000000000005</v>
      </c>
      <c r="E14" s="7">
        <v>516.79999999999995</v>
      </c>
      <c r="F14" s="7">
        <v>155.4</v>
      </c>
      <c r="G14" s="8">
        <v>84.6</v>
      </c>
      <c r="H14" s="8">
        <v>33</v>
      </c>
      <c r="I14" s="8">
        <v>40.700000000000003</v>
      </c>
      <c r="M14" s="46">
        <f t="shared" si="0"/>
        <v>61.682864448459796</v>
      </c>
      <c r="N14" s="46">
        <f t="shared" si="5"/>
        <v>11</v>
      </c>
      <c r="O14" s="50">
        <f t="shared" si="1"/>
        <v>111.77520440469817</v>
      </c>
      <c r="P14" s="50">
        <f t="shared" si="2"/>
        <v>50.092339956238376</v>
      </c>
      <c r="Q14" s="50">
        <f t="shared" si="3"/>
        <v>58.347140630102714</v>
      </c>
    </row>
    <row r="15" spans="1:17">
      <c r="A15" s="78"/>
      <c r="B15" s="79"/>
      <c r="C15" s="46">
        <f>C14+1</f>
        <v>2</v>
      </c>
      <c r="D15" s="6">
        <f>2*(D13-D14)/(D13+D14)</f>
        <v>-1.010101010101014E-2</v>
      </c>
      <c r="E15" s="6">
        <f t="shared" ref="E15:F15" si="8">2*(E13-E14)/(E13+E14)</f>
        <v>-9.9173553719007594E-3</v>
      </c>
      <c r="F15" s="6">
        <f t="shared" si="8"/>
        <v>1.2861736334404414E-3</v>
      </c>
      <c r="G15" s="8">
        <v>108</v>
      </c>
      <c r="H15" s="8">
        <v>35.700000000000003</v>
      </c>
      <c r="I15" s="8">
        <v>45.9</v>
      </c>
      <c r="M15" s="46">
        <f t="shared" si="0"/>
        <v>59.635884249317613</v>
      </c>
      <c r="N15" s="46">
        <f t="shared" si="5"/>
        <v>12</v>
      </c>
      <c r="O15" s="50">
        <f t="shared" si="1"/>
        <v>109.63972424368609</v>
      </c>
      <c r="P15" s="50">
        <f t="shared" si="2"/>
        <v>50.003839994368477</v>
      </c>
      <c r="Q15" s="50">
        <f t="shared" si="3"/>
        <v>58.0296479780148</v>
      </c>
    </row>
    <row r="16" spans="1:17">
      <c r="A16" s="78"/>
      <c r="B16" s="79" t="s">
        <v>1</v>
      </c>
      <c r="C16" s="46">
        <f>C13</f>
        <v>0</v>
      </c>
      <c r="D16" s="7">
        <v>1202</v>
      </c>
      <c r="E16" s="7">
        <v>1211</v>
      </c>
      <c r="F16" s="7">
        <v>652</v>
      </c>
      <c r="G16" s="8">
        <v>63.1</v>
      </c>
      <c r="H16" s="8">
        <v>74.3</v>
      </c>
      <c r="I16" s="8">
        <v>40.799999999999997</v>
      </c>
      <c r="M16" s="46">
        <f t="shared" si="0"/>
        <v>57.588904050175437</v>
      </c>
      <c r="N16" s="46">
        <f t="shared" si="5"/>
        <v>13</v>
      </c>
      <c r="O16" s="50">
        <f t="shared" si="1"/>
        <v>107.50424408267401</v>
      </c>
      <c r="P16" s="50">
        <f t="shared" si="2"/>
        <v>49.91534003249857</v>
      </c>
      <c r="Q16" s="50">
        <f t="shared" si="3"/>
        <v>57.712155325926886</v>
      </c>
    </row>
    <row r="17" spans="1:21">
      <c r="A17" s="78"/>
      <c r="B17" s="79"/>
      <c r="C17" s="46">
        <f t="shared" ref="C17:C21" si="9">C14</f>
        <v>1</v>
      </c>
      <c r="D17" s="7">
        <v>1203</v>
      </c>
      <c r="E17" s="7">
        <v>1212</v>
      </c>
      <c r="F17" s="7">
        <v>651</v>
      </c>
      <c r="G17" s="8">
        <v>68.7</v>
      </c>
      <c r="H17" s="8">
        <v>80.2</v>
      </c>
      <c r="I17" s="8">
        <v>45.4</v>
      </c>
      <c r="M17" s="46">
        <f t="shared" si="0"/>
        <v>55.541923851033268</v>
      </c>
      <c r="N17" s="46">
        <f t="shared" si="5"/>
        <v>14</v>
      </c>
      <c r="O17" s="50">
        <f t="shared" si="1"/>
        <v>105.36876392166194</v>
      </c>
      <c r="P17" s="50">
        <f t="shared" si="2"/>
        <v>49.82684007062867</v>
      </c>
      <c r="Q17" s="50">
        <f t="shared" si="3"/>
        <v>57.394662673838965</v>
      </c>
    </row>
    <row r="18" spans="1:21">
      <c r="A18" s="78"/>
      <c r="B18" s="79"/>
      <c r="C18" s="46">
        <f t="shared" si="9"/>
        <v>2</v>
      </c>
      <c r="D18" s="6">
        <f>2*(D16-D17)/(D16+D17)</f>
        <v>-8.3160083160083165E-4</v>
      </c>
      <c r="E18" s="6">
        <f t="shared" ref="E18:F18" si="10">2*(E16-E17)/(E16+E17)</f>
        <v>-8.2542302930251759E-4</v>
      </c>
      <c r="F18" s="6">
        <f t="shared" si="10"/>
        <v>1.5349194167306216E-3</v>
      </c>
      <c r="G18" s="8">
        <v>60.2</v>
      </c>
      <c r="H18" s="8">
        <v>68.2</v>
      </c>
      <c r="I18" s="8">
        <v>42.4</v>
      </c>
      <c r="M18" s="46">
        <f t="shared" si="0"/>
        <v>53.494943651891099</v>
      </c>
      <c r="N18" s="46">
        <f t="shared" si="5"/>
        <v>15</v>
      </c>
      <c r="O18" s="50">
        <f t="shared" si="1"/>
        <v>103.23328376064987</v>
      </c>
      <c r="P18" s="50">
        <f t="shared" si="2"/>
        <v>49.73834010875877</v>
      </c>
      <c r="Q18" s="50">
        <f t="shared" si="3"/>
        <v>57.077170021751051</v>
      </c>
    </row>
    <row r="19" spans="1:21">
      <c r="A19" s="78"/>
      <c r="B19" s="79" t="s">
        <v>2</v>
      </c>
      <c r="C19" s="46">
        <f t="shared" si="9"/>
        <v>0</v>
      </c>
      <c r="D19" s="7">
        <v>509.7</v>
      </c>
      <c r="E19" s="7">
        <v>576.9</v>
      </c>
      <c r="F19" s="7">
        <v>533</v>
      </c>
      <c r="G19" s="8">
        <v>28.4</v>
      </c>
      <c r="H19" s="8">
        <v>36.4</v>
      </c>
      <c r="I19" s="8">
        <v>30.9</v>
      </c>
      <c r="M19" s="46">
        <f t="shared" si="0"/>
        <v>51.447963452748915</v>
      </c>
      <c r="N19" s="46">
        <f t="shared" si="5"/>
        <v>16</v>
      </c>
      <c r="O19" s="50">
        <f t="shared" si="1"/>
        <v>101.09780359963779</v>
      </c>
      <c r="P19" s="50">
        <f t="shared" si="2"/>
        <v>49.64984014688887</v>
      </c>
      <c r="Q19" s="50">
        <f t="shared" si="3"/>
        <v>56.759677369663137</v>
      </c>
    </row>
    <row r="20" spans="1:21">
      <c r="A20" s="78"/>
      <c r="B20" s="79"/>
      <c r="C20" s="46">
        <f t="shared" si="9"/>
        <v>1</v>
      </c>
      <c r="D20" s="7">
        <v>511.3</v>
      </c>
      <c r="E20" s="7">
        <v>578.1</v>
      </c>
      <c r="F20" s="7">
        <v>533.1</v>
      </c>
      <c r="G20" s="8">
        <v>31.6</v>
      </c>
      <c r="H20" s="8">
        <v>40.4</v>
      </c>
      <c r="I20" s="8">
        <v>34.299999999999997</v>
      </c>
      <c r="M20" s="46">
        <f t="shared" si="0"/>
        <v>49.400983253606732</v>
      </c>
      <c r="N20" s="46">
        <f t="shared" si="5"/>
        <v>17</v>
      </c>
      <c r="O20" s="50">
        <f t="shared" si="1"/>
        <v>98.962323438625702</v>
      </c>
      <c r="P20" s="50">
        <f t="shared" si="2"/>
        <v>49.56134018501897</v>
      </c>
      <c r="Q20" s="50">
        <f t="shared" si="3"/>
        <v>56.442184717575216</v>
      </c>
    </row>
    <row r="21" spans="1:21">
      <c r="A21" s="78"/>
      <c r="B21" s="79"/>
      <c r="C21" s="46">
        <f t="shared" si="9"/>
        <v>2</v>
      </c>
      <c r="D21" s="6">
        <f>2*(D19-D20)/(D19+D20)</f>
        <v>-3.134182174338928E-3</v>
      </c>
      <c r="E21" s="6">
        <f t="shared" ref="E21:F21" si="11">2*(E19-E20)/(E19+E20)</f>
        <v>-2.0779220779221569E-3</v>
      </c>
      <c r="F21" s="6">
        <f t="shared" si="11"/>
        <v>-1.8759966232065049E-4</v>
      </c>
      <c r="G21" s="8">
        <v>27.4</v>
      </c>
      <c r="H21" s="8">
        <v>37.299999999999997</v>
      </c>
      <c r="I21" s="8">
        <v>30.3</v>
      </c>
      <c r="M21" s="46">
        <f t="shared" si="0"/>
        <v>47.354003054464563</v>
      </c>
      <c r="N21" s="46">
        <f t="shared" si="5"/>
        <v>18</v>
      </c>
      <c r="O21" s="50">
        <f t="shared" si="1"/>
        <v>96.826843277613634</v>
      </c>
      <c r="P21" s="50">
        <f t="shared" si="2"/>
        <v>49.47284022314907</v>
      </c>
      <c r="Q21" s="50">
        <f t="shared" si="3"/>
        <v>56.124692065487302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554.40000000000009</v>
      </c>
      <c r="E22" s="46">
        <f t="shared" ref="E22:F22" si="12">(E13+E14)/2</f>
        <v>514.25</v>
      </c>
      <c r="F22" s="46">
        <f t="shared" si="12"/>
        <v>155.5</v>
      </c>
      <c r="G22" s="5">
        <f>G13</f>
        <v>82.9</v>
      </c>
      <c r="H22" s="5">
        <f t="shared" ref="H22:I22" si="13">H13</f>
        <v>31.7</v>
      </c>
      <c r="I22" s="5">
        <f t="shared" si="13"/>
        <v>39.299999999999997</v>
      </c>
      <c r="J22" s="99">
        <f>AVERAGE(G22:I24)</f>
        <v>47.533333333333331</v>
      </c>
      <c r="M22" s="46">
        <f t="shared" si="0"/>
        <v>45.307022855322394</v>
      </c>
      <c r="N22" s="46">
        <f t="shared" si="5"/>
        <v>19</v>
      </c>
      <c r="O22" s="50">
        <f t="shared" si="1"/>
        <v>94.691363116601565</v>
      </c>
      <c r="P22" s="50">
        <f t="shared" si="2"/>
        <v>49.384340261279171</v>
      </c>
      <c r="Q22" s="50">
        <f t="shared" si="3"/>
        <v>55.807199413399388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1202.5</v>
      </c>
      <c r="E23" s="46">
        <f>(E16+E17)/2</f>
        <v>1211.5</v>
      </c>
      <c r="F23" s="46">
        <f>(F16+F17)/2</f>
        <v>651.5</v>
      </c>
      <c r="G23" s="5">
        <f>G16</f>
        <v>63.1</v>
      </c>
      <c r="H23" s="5">
        <f>H16</f>
        <v>74.3</v>
      </c>
      <c r="I23" s="5">
        <f>I16</f>
        <v>40.799999999999997</v>
      </c>
      <c r="J23" s="99"/>
      <c r="M23" s="46">
        <f t="shared" si="0"/>
        <v>43.260042656180211</v>
      </c>
      <c r="N23" s="46">
        <f t="shared" si="5"/>
        <v>20</v>
      </c>
      <c r="O23" s="50">
        <f t="shared" si="1"/>
        <v>92.555882955589482</v>
      </c>
      <c r="P23" s="50">
        <f t="shared" si="2"/>
        <v>49.295840299409271</v>
      </c>
      <c r="Q23" s="50">
        <f t="shared" si="3"/>
        <v>55.489706761311474</v>
      </c>
    </row>
    <row r="24" spans="1:21">
      <c r="A24" s="78"/>
      <c r="B24" s="46" t="str">
        <f>B19</f>
        <v>D65</v>
      </c>
      <c r="C24" s="79"/>
      <c r="D24" s="46">
        <f>(D19+D20)/2</f>
        <v>510.5</v>
      </c>
      <c r="E24" s="46">
        <f>(E19+E20)/2</f>
        <v>577.5</v>
      </c>
      <c r="F24" s="46">
        <f>(F19+F20)/2</f>
        <v>533.04999999999995</v>
      </c>
      <c r="G24" s="5">
        <f>G19</f>
        <v>28.4</v>
      </c>
      <c r="H24" s="5">
        <f>H19</f>
        <v>36.4</v>
      </c>
      <c r="I24" s="5">
        <f>I19</f>
        <v>30.9</v>
      </c>
      <c r="J24" s="99"/>
      <c r="M24" s="46">
        <f t="shared" si="0"/>
        <v>41.213062457038028</v>
      </c>
      <c r="N24" s="46">
        <f t="shared" si="5"/>
        <v>21</v>
      </c>
      <c r="O24" s="50">
        <f t="shared" si="1"/>
        <v>90.420402794577399</v>
      </c>
      <c r="P24" s="50">
        <f t="shared" si="2"/>
        <v>49.207340337539371</v>
      </c>
      <c r="Q24" s="50">
        <f t="shared" si="3"/>
        <v>55.172214109223553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554.40000000000009</v>
      </c>
      <c r="E25" s="46">
        <f t="shared" ref="E25:F25" si="15">(E13+E14)/2</f>
        <v>514.25</v>
      </c>
      <c r="F25" s="46">
        <f t="shared" si="15"/>
        <v>155.5</v>
      </c>
      <c r="G25" s="5">
        <f t="shared" ref="G25:I25" si="16">G14</f>
        <v>84.6</v>
      </c>
      <c r="H25" s="5">
        <f t="shared" si="16"/>
        <v>33</v>
      </c>
      <c r="I25" s="5">
        <f t="shared" si="16"/>
        <v>40.700000000000003</v>
      </c>
      <c r="J25" s="99">
        <f>AVERAGE(G25:I27)</f>
        <v>50.988888888888887</v>
      </c>
      <c r="M25" s="46">
        <f t="shared" si="0"/>
        <v>39.166082257895859</v>
      </c>
      <c r="N25" s="46">
        <f t="shared" si="5"/>
        <v>22</v>
      </c>
      <c r="O25" s="50">
        <f t="shared" si="1"/>
        <v>88.28492263356533</v>
      </c>
      <c r="P25" s="50">
        <f t="shared" si="2"/>
        <v>49.118840375669471</v>
      </c>
      <c r="Q25" s="50">
        <f t="shared" si="3"/>
        <v>54.854721457135639</v>
      </c>
    </row>
    <row r="26" spans="1:21">
      <c r="A26" s="78"/>
      <c r="B26" s="46" t="str">
        <f>B16</f>
        <v>CWF</v>
      </c>
      <c r="C26" s="79"/>
      <c r="D26" s="46">
        <f>(D16+D17)/2</f>
        <v>1202.5</v>
      </c>
      <c r="E26" s="46">
        <f>(E16+E17)/2</f>
        <v>1211.5</v>
      </c>
      <c r="F26" s="46">
        <f>(F16+F17)/2</f>
        <v>651.5</v>
      </c>
      <c r="G26" s="5">
        <f>G17</f>
        <v>68.7</v>
      </c>
      <c r="H26" s="5">
        <f>H17</f>
        <v>80.2</v>
      </c>
      <c r="I26" s="5">
        <f>I17</f>
        <v>45.4</v>
      </c>
      <c r="J26" s="99"/>
      <c r="M26" s="46">
        <f t="shared" si="0"/>
        <v>37.11910205875369</v>
      </c>
      <c r="N26" s="46">
        <f t="shared" si="5"/>
        <v>23</v>
      </c>
      <c r="O26" s="50">
        <f t="shared" si="1"/>
        <v>86.149442472553261</v>
      </c>
      <c r="P26" s="50">
        <f t="shared" si="2"/>
        <v>49.030340413799571</v>
      </c>
      <c r="Q26" s="50">
        <f t="shared" si="3"/>
        <v>54.537228805047725</v>
      </c>
    </row>
    <row r="27" spans="1:21">
      <c r="A27" s="78"/>
      <c r="B27" s="46" t="str">
        <f>B19</f>
        <v>D65</v>
      </c>
      <c r="C27" s="79"/>
      <c r="D27" s="46">
        <f>(D19+D20)/2</f>
        <v>510.5</v>
      </c>
      <c r="E27" s="46">
        <f>(E19+E20)/2</f>
        <v>577.5</v>
      </c>
      <c r="F27" s="46">
        <f>(F19+F20)/2</f>
        <v>533.04999999999995</v>
      </c>
      <c r="G27" s="5">
        <f>G20</f>
        <v>31.6</v>
      </c>
      <c r="H27" s="5">
        <f>H20</f>
        <v>40.4</v>
      </c>
      <c r="I27" s="5">
        <f>I20</f>
        <v>34.299999999999997</v>
      </c>
      <c r="J27" s="99"/>
      <c r="M27" s="46">
        <f t="shared" si="0"/>
        <v>35.072121859611507</v>
      </c>
      <c r="N27" s="46">
        <f t="shared" si="5"/>
        <v>24</v>
      </c>
      <c r="O27" s="50">
        <f t="shared" si="1"/>
        <v>84.013962311541178</v>
      </c>
      <c r="P27" s="50">
        <f t="shared" si="2"/>
        <v>48.941840451929671</v>
      </c>
      <c r="Q27" s="50">
        <f t="shared" si="3"/>
        <v>54.219736152959804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554.40000000000009</v>
      </c>
      <c r="E28" s="46">
        <f t="shared" ref="E28:F28" si="17">(E13+E14)/2</f>
        <v>514.25</v>
      </c>
      <c r="F28" s="46">
        <f t="shared" si="17"/>
        <v>155.5</v>
      </c>
      <c r="G28" s="5">
        <f t="shared" ref="G28:I28" si="18">G15</f>
        <v>108</v>
      </c>
      <c r="H28" s="5">
        <f t="shared" si="18"/>
        <v>35.700000000000003</v>
      </c>
      <c r="I28" s="5">
        <f t="shared" si="18"/>
        <v>45.9</v>
      </c>
      <c r="J28" s="99">
        <f>AVERAGE(G28:I30)</f>
        <v>50.599999999999994</v>
      </c>
      <c r="M28" s="46">
        <f t="shared" si="0"/>
        <v>33.025141660469323</v>
      </c>
      <c r="N28" s="46">
        <f t="shared" si="5"/>
        <v>25</v>
      </c>
      <c r="O28" s="50">
        <f t="shared" si="1"/>
        <v>81.878482150529095</v>
      </c>
      <c r="P28" s="50">
        <f t="shared" si="2"/>
        <v>48.853340490059772</v>
      </c>
      <c r="Q28" s="50">
        <f t="shared" si="3"/>
        <v>53.90224350087189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1202.5</v>
      </c>
      <c r="E29" s="46">
        <f t="shared" si="20"/>
        <v>1211.5</v>
      </c>
      <c r="F29" s="46">
        <f t="shared" si="20"/>
        <v>651.5</v>
      </c>
      <c r="G29" s="5">
        <f t="shared" ref="G29:I29" si="21">G18</f>
        <v>60.2</v>
      </c>
      <c r="H29" s="5">
        <f t="shared" si="21"/>
        <v>68.2</v>
      </c>
      <c r="I29" s="5">
        <f t="shared" si="21"/>
        <v>42.4</v>
      </c>
      <c r="J29" s="99"/>
      <c r="M29" s="46">
        <f t="shared" si="0"/>
        <v>30.978161461327154</v>
      </c>
      <c r="N29" s="46">
        <f t="shared" si="5"/>
        <v>26</v>
      </c>
      <c r="O29" s="50">
        <f t="shared" si="1"/>
        <v>79.743001989517026</v>
      </c>
      <c r="P29" s="50">
        <f t="shared" si="2"/>
        <v>48.764840528189872</v>
      </c>
      <c r="Q29" s="50">
        <f t="shared" si="3"/>
        <v>53.584750848783976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510.5</v>
      </c>
      <c r="E30" s="46">
        <f t="shared" si="23"/>
        <v>577.5</v>
      </c>
      <c r="F30" s="46">
        <f t="shared" si="23"/>
        <v>533.04999999999995</v>
      </c>
      <c r="G30" s="5">
        <f t="shared" ref="G30:I30" si="24">G21</f>
        <v>27.4</v>
      </c>
      <c r="H30" s="5">
        <f t="shared" si="24"/>
        <v>37.299999999999997</v>
      </c>
      <c r="I30" s="5">
        <f t="shared" si="24"/>
        <v>30.3</v>
      </c>
      <c r="J30" s="99"/>
      <c r="M30" s="46">
        <f t="shared" si="0"/>
        <v>28.931181262184985</v>
      </c>
      <c r="N30" s="46">
        <f t="shared" si="5"/>
        <v>27</v>
      </c>
      <c r="O30" s="50">
        <f t="shared" si="1"/>
        <v>77.607521828504957</v>
      </c>
      <c r="P30" s="50">
        <f t="shared" si="2"/>
        <v>48.676340566319972</v>
      </c>
      <c r="Q30" s="50">
        <f t="shared" si="3"/>
        <v>53.267258196696055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554.40000000000009</v>
      </c>
      <c r="E31" s="46">
        <f t="shared" si="25"/>
        <v>514.25</v>
      </c>
      <c r="F31" s="46">
        <f t="shared" si="25"/>
        <v>155.5</v>
      </c>
      <c r="G31" s="5">
        <f t="shared" ref="G31:I33" si="26">G22*$J$31</f>
        <v>82.9</v>
      </c>
      <c r="H31" s="5">
        <f t="shared" si="26"/>
        <v>31.7</v>
      </c>
      <c r="I31" s="5">
        <f t="shared" si="26"/>
        <v>39.299999999999997</v>
      </c>
      <c r="J31" s="96">
        <f>J$22/J22</f>
        <v>1</v>
      </c>
      <c r="M31" s="46">
        <f t="shared" si="0"/>
        <v>26.884201063042802</v>
      </c>
      <c r="N31" s="46">
        <f t="shared" si="5"/>
        <v>28</v>
      </c>
      <c r="O31" s="50">
        <f t="shared" si="1"/>
        <v>75.472041667492874</v>
      </c>
      <c r="P31" s="50">
        <f t="shared" si="2"/>
        <v>48.587840604450072</v>
      </c>
      <c r="Q31" s="50">
        <f t="shared" si="3"/>
        <v>52.949765544608141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1202.5</v>
      </c>
      <c r="E32" s="46">
        <f t="shared" si="27"/>
        <v>1211.5</v>
      </c>
      <c r="F32" s="46">
        <f t="shared" si="27"/>
        <v>651.5</v>
      </c>
      <c r="G32" s="5">
        <f t="shared" si="26"/>
        <v>63.1</v>
      </c>
      <c r="H32" s="5">
        <f t="shared" si="26"/>
        <v>74.3</v>
      </c>
      <c r="I32" s="5">
        <f t="shared" si="26"/>
        <v>40.799999999999997</v>
      </c>
      <c r="J32" s="96"/>
      <c r="M32" s="46">
        <f t="shared" si="0"/>
        <v>24.837220863900619</v>
      </c>
      <c r="N32" s="46">
        <f t="shared" si="5"/>
        <v>29</v>
      </c>
      <c r="O32" s="50">
        <f t="shared" si="1"/>
        <v>73.336561506480791</v>
      </c>
      <c r="P32" s="50">
        <f t="shared" si="2"/>
        <v>48.499340642580172</v>
      </c>
      <c r="Q32" s="50">
        <f t="shared" si="3"/>
        <v>52.632272892520227</v>
      </c>
    </row>
    <row r="33" spans="1:17">
      <c r="A33" s="78"/>
      <c r="B33" s="46" t="str">
        <f t="shared" si="27"/>
        <v>D65</v>
      </c>
      <c r="C33" s="79"/>
      <c r="D33" s="46">
        <f t="shared" si="27"/>
        <v>510.5</v>
      </c>
      <c r="E33" s="46">
        <f t="shared" si="27"/>
        <v>577.5</v>
      </c>
      <c r="F33" s="46">
        <f t="shared" si="27"/>
        <v>533.04999999999995</v>
      </c>
      <c r="G33" s="5">
        <f t="shared" si="26"/>
        <v>28.4</v>
      </c>
      <c r="H33" s="5">
        <f t="shared" si="26"/>
        <v>36.4</v>
      </c>
      <c r="I33" s="5">
        <f t="shared" si="26"/>
        <v>30.9</v>
      </c>
      <c r="J33" s="96"/>
      <c r="M33" s="46">
        <f t="shared" si="0"/>
        <v>22.79024066475845</v>
      </c>
      <c r="N33" s="46">
        <f t="shared" si="5"/>
        <v>30</v>
      </c>
      <c r="O33" s="50">
        <f t="shared" si="1"/>
        <v>71.201081345468722</v>
      </c>
      <c r="P33" s="50">
        <f t="shared" si="2"/>
        <v>48.410840680710272</v>
      </c>
      <c r="Q33" s="50">
        <f t="shared" si="3"/>
        <v>52.314780240432313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554.40000000000009</v>
      </c>
      <c r="E34" s="46">
        <f t="shared" si="27"/>
        <v>514.25</v>
      </c>
      <c r="F34" s="46">
        <f t="shared" si="27"/>
        <v>155.5</v>
      </c>
      <c r="G34" s="5">
        <f t="shared" ref="G34:I36" si="28">G25*$J$34</f>
        <v>78.866594029200257</v>
      </c>
      <c r="H34" s="5">
        <f t="shared" si="28"/>
        <v>30.763565046851166</v>
      </c>
      <c r="I34" s="5">
        <f t="shared" si="28"/>
        <v>37.941730224449778</v>
      </c>
      <c r="J34" s="96">
        <f>J$22/J25</f>
        <v>0.93222924384397476</v>
      </c>
      <c r="M34" s="46">
        <f t="shared" si="0"/>
        <v>20.743260465616281</v>
      </c>
      <c r="N34" s="46">
        <f t="shared" si="5"/>
        <v>31</v>
      </c>
      <c r="O34" s="50">
        <f t="shared" si="1"/>
        <v>69.065601184456654</v>
      </c>
      <c r="P34" s="50">
        <f t="shared" si="2"/>
        <v>48.322340718840373</v>
      </c>
      <c r="Q34" s="50">
        <f t="shared" si="3"/>
        <v>51.997287588344392</v>
      </c>
    </row>
    <row r="35" spans="1:17">
      <c r="A35" s="78"/>
      <c r="B35" s="46" t="str">
        <f t="shared" si="27"/>
        <v>CWF</v>
      </c>
      <c r="C35" s="79"/>
      <c r="D35" s="46">
        <f t="shared" si="27"/>
        <v>1202.5</v>
      </c>
      <c r="E35" s="46">
        <f t="shared" si="27"/>
        <v>1211.5</v>
      </c>
      <c r="F35" s="46">
        <f t="shared" si="27"/>
        <v>651.5</v>
      </c>
      <c r="G35" s="5">
        <f t="shared" si="28"/>
        <v>64.044149052081067</v>
      </c>
      <c r="H35" s="5">
        <f t="shared" si="28"/>
        <v>74.764785356286779</v>
      </c>
      <c r="I35" s="5">
        <f t="shared" si="28"/>
        <v>42.323207670516453</v>
      </c>
      <c r="J35" s="96"/>
      <c r="M35" s="46">
        <f t="shared" si="0"/>
        <v>18.696280266474098</v>
      </c>
      <c r="N35" s="46">
        <f t="shared" si="5"/>
        <v>32</v>
      </c>
      <c r="O35" s="50">
        <f t="shared" si="1"/>
        <v>66.93012102344457</v>
      </c>
      <c r="P35" s="50">
        <f t="shared" si="2"/>
        <v>48.233840756970473</v>
      </c>
      <c r="Q35" s="50">
        <f t="shared" si="3"/>
        <v>51.679794936256478</v>
      </c>
    </row>
    <row r="36" spans="1:17">
      <c r="A36" s="78"/>
      <c r="B36" s="46" t="str">
        <f t="shared" si="27"/>
        <v>D65</v>
      </c>
      <c r="C36" s="79"/>
      <c r="D36" s="46">
        <f t="shared" si="27"/>
        <v>510.5</v>
      </c>
      <c r="E36" s="46">
        <f t="shared" si="27"/>
        <v>577.5</v>
      </c>
      <c r="F36" s="46">
        <f t="shared" si="27"/>
        <v>533.04999999999995</v>
      </c>
      <c r="G36" s="5">
        <f t="shared" si="28"/>
        <v>29.458444105469603</v>
      </c>
      <c r="H36" s="5">
        <f t="shared" si="28"/>
        <v>37.66206145129658</v>
      </c>
      <c r="I36" s="5">
        <f t="shared" si="28"/>
        <v>31.975463063848331</v>
      </c>
      <c r="J36" s="96"/>
      <c r="M36" s="46">
        <f t="shared" si="0"/>
        <v>16.649300067331914</v>
      </c>
      <c r="N36" s="46">
        <f t="shared" si="5"/>
        <v>33</v>
      </c>
      <c r="O36" s="50">
        <f t="shared" si="1"/>
        <v>64.794640862432487</v>
      </c>
      <c r="P36" s="50">
        <f t="shared" si="2"/>
        <v>48.145340795100573</v>
      </c>
      <c r="Q36" s="50">
        <f t="shared" si="3"/>
        <v>51.362302284168564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554.40000000000009</v>
      </c>
      <c r="E37" s="46">
        <f t="shared" si="27"/>
        <v>514.25</v>
      </c>
      <c r="F37" s="46">
        <f t="shared" si="27"/>
        <v>155.5</v>
      </c>
      <c r="G37" s="5">
        <f t="shared" ref="G37:I39" si="29">G28*$J$37</f>
        <v>101.45454545454547</v>
      </c>
      <c r="H37" s="5">
        <f t="shared" si="29"/>
        <v>33.536363636363639</v>
      </c>
      <c r="I37" s="5">
        <f t="shared" si="29"/>
        <v>43.118181818181817</v>
      </c>
      <c r="J37" s="96">
        <f>J$22/J28</f>
        <v>0.93939393939393945</v>
      </c>
      <c r="K37" s="51" t="str">
        <f>CHAR(34) &amp; "EEpromVersion" &amp;CHAR(34)  &amp; ",3,"</f>
        <v>"EEpromVersion",3,</v>
      </c>
      <c r="M37" s="46">
        <f t="shared" si="0"/>
        <v>14.602319868189745</v>
      </c>
      <c r="N37" s="46">
        <f t="shared" si="5"/>
        <v>34</v>
      </c>
      <c r="O37" s="50">
        <f t="shared" si="1"/>
        <v>62.659160701420419</v>
      </c>
      <c r="P37" s="50">
        <f t="shared" si="2"/>
        <v>48.056840833230673</v>
      </c>
      <c r="Q37" s="50">
        <f t="shared" si="3"/>
        <v>51.044809632080643</v>
      </c>
    </row>
    <row r="38" spans="1:17">
      <c r="A38" s="78"/>
      <c r="B38" s="46" t="str">
        <f t="shared" si="27"/>
        <v>CWF</v>
      </c>
      <c r="C38" s="79"/>
      <c r="D38" s="46">
        <f t="shared" si="27"/>
        <v>1202.5</v>
      </c>
      <c r="E38" s="46">
        <f t="shared" si="27"/>
        <v>1211.5</v>
      </c>
      <c r="F38" s="46">
        <f t="shared" si="27"/>
        <v>651.5</v>
      </c>
      <c r="G38" s="5">
        <f t="shared" si="29"/>
        <v>56.551515151515154</v>
      </c>
      <c r="H38" s="5">
        <f t="shared" si="29"/>
        <v>64.066666666666677</v>
      </c>
      <c r="I38" s="5">
        <f t="shared" si="29"/>
        <v>39.830303030303028</v>
      </c>
      <c r="J38" s="96"/>
      <c r="K38" s="52" t="str">
        <f>K4</f>
        <v>"Compensation",41,</v>
      </c>
      <c r="M38" s="46">
        <f t="shared" si="0"/>
        <v>12.555339669047584</v>
      </c>
      <c r="N38" s="46">
        <f t="shared" si="5"/>
        <v>35</v>
      </c>
      <c r="O38" s="50">
        <f t="shared" si="1"/>
        <v>60.52368054040835</v>
      </c>
      <c r="P38" s="50">
        <f t="shared" si="2"/>
        <v>47.968340871360766</v>
      </c>
      <c r="Q38" s="50">
        <f t="shared" si="3"/>
        <v>50.727316979992729</v>
      </c>
    </row>
    <row r="39" spans="1:17">
      <c r="A39" s="78"/>
      <c r="B39" s="46" t="str">
        <f t="shared" si="27"/>
        <v>D65</v>
      </c>
      <c r="C39" s="79"/>
      <c r="D39" s="46">
        <f t="shared" si="27"/>
        <v>510.5</v>
      </c>
      <c r="E39" s="46">
        <f t="shared" si="27"/>
        <v>577.5</v>
      </c>
      <c r="F39" s="46">
        <f t="shared" si="27"/>
        <v>533.04999999999995</v>
      </c>
      <c r="G39" s="5">
        <f t="shared" si="29"/>
        <v>25.739393939393938</v>
      </c>
      <c r="H39" s="5">
        <f t="shared" si="29"/>
        <v>35.039393939393939</v>
      </c>
      <c r="I39" s="5">
        <f t="shared" si="29"/>
        <v>28.463636363636365</v>
      </c>
      <c r="J39" s="96"/>
      <c r="K39" s="53" t="str">
        <f>linefmt("CardGain",J42,J45,J48)</f>
        <v>"CardGain",16.63991,16.57576,24.32139,</v>
      </c>
      <c r="M39" s="46">
        <f t="shared" si="0"/>
        <v>10.5083594699054</v>
      </c>
      <c r="N39" s="46">
        <f t="shared" si="5"/>
        <v>36</v>
      </c>
      <c r="O39" s="50">
        <f t="shared" si="1"/>
        <v>58.388200379396267</v>
      </c>
      <c r="P39" s="50">
        <f t="shared" si="2"/>
        <v>47.879840909490866</v>
      </c>
      <c r="Q39" s="50">
        <f t="shared" si="3"/>
        <v>50.409824327904815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"Range",1,0.9322292,0.9393939,</v>
      </c>
      <c r="M40" s="46">
        <f t="shared" si="0"/>
        <v>8.4613792707632172</v>
      </c>
      <c r="N40" s="46">
        <f t="shared" si="5"/>
        <v>37</v>
      </c>
      <c r="O40" s="50">
        <f t="shared" si="1"/>
        <v>56.252720218384184</v>
      </c>
      <c r="P40" s="50">
        <f t="shared" si="2"/>
        <v>47.791340947620967</v>
      </c>
      <c r="Q40" s="50">
        <f t="shared" si="3"/>
        <v>50.092331675816894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6.4143990716210482</v>
      </c>
      <c r="N41" s="46">
        <f t="shared" si="5"/>
        <v>38</v>
      </c>
      <c r="O41" s="50">
        <f t="shared" si="1"/>
        <v>54.117240057372115</v>
      </c>
      <c r="P41" s="50">
        <f t="shared" si="2"/>
        <v>47.702840985751067</v>
      </c>
      <c r="Q41" s="50">
        <f t="shared" si="3"/>
        <v>49.77483902372898</v>
      </c>
    </row>
    <row r="42" spans="1:17">
      <c r="A42" s="4"/>
      <c r="B42" s="46" t="s">
        <v>3</v>
      </c>
      <c r="C42" s="79">
        <f>C31</f>
        <v>0</v>
      </c>
      <c r="D42" s="46">
        <f>I42/$H$43</f>
        <v>0.19606127090095052</v>
      </c>
      <c r="E42" s="46">
        <f>H42/$H$43</f>
        <v>1.019066649216799</v>
      </c>
      <c r="F42" s="46">
        <f>G42/$H$43</f>
        <v>-0.38779647119398436</v>
      </c>
      <c r="G42" s="46">
        <f t="array" ref="G42:I42">LINEST($D31:$D33,$G31:$I33,FALSE)</f>
        <v>-6.4528978124993976</v>
      </c>
      <c r="H42" s="46">
        <v>16.957175838334916</v>
      </c>
      <c r="I42" s="46">
        <v>3.2624416158746654</v>
      </c>
      <c r="J42" s="97">
        <f>H43</f>
        <v>16.639908539218027</v>
      </c>
      <c r="K42" s="53" t="str">
        <f t="shared" ref="K42:K50" si="30">linefmt("",D42,E42,F42)</f>
        <v>0.1960613,1.019067,-0.3877965,</v>
      </c>
      <c r="M42" s="46">
        <f t="shared" si="0"/>
        <v>4.3674188724788792</v>
      </c>
      <c r="N42" s="46">
        <f t="shared" si="5"/>
        <v>39</v>
      </c>
      <c r="O42" s="50">
        <f t="shared" si="1"/>
        <v>51.981759896360046</v>
      </c>
      <c r="P42" s="50">
        <f t="shared" si="2"/>
        <v>47.614341023881167</v>
      </c>
      <c r="Q42" s="50">
        <f t="shared" si="3"/>
        <v>49.457346371641066</v>
      </c>
    </row>
    <row r="43" spans="1:17">
      <c r="A43" s="4"/>
      <c r="B43" s="46" t="s">
        <v>4</v>
      </c>
      <c r="C43" s="79"/>
      <c r="D43" s="46">
        <f>I43/$H$43</f>
        <v>2.9061345471347404E-2</v>
      </c>
      <c r="E43" s="46">
        <f>H43/$H$43</f>
        <v>1</v>
      </c>
      <c r="F43" s="46">
        <f>G43/$H$43</f>
        <v>-8.154118470176254E-2</v>
      </c>
      <c r="G43" s="46">
        <f t="array" ref="G43:I43">LINEST($E31:$E33,$G31:$I33,FALSE)</f>
        <v>-1.3568378556168128</v>
      </c>
      <c r="H43" s="46">
        <v>16.639908539218027</v>
      </c>
      <c r="I43" s="46">
        <v>0.48357813066983879</v>
      </c>
      <c r="J43" s="97"/>
      <c r="K43" s="53" t="str">
        <f t="shared" si="30"/>
        <v>2.906135E-02,1,-8.154119E-02,</v>
      </c>
      <c r="M43" s="46">
        <f t="shared" si="0"/>
        <v>2.320438673336696</v>
      </c>
      <c r="N43" s="46">
        <f t="shared" si="5"/>
        <v>40</v>
      </c>
      <c r="O43" s="50">
        <f t="shared" si="1"/>
        <v>49.846279735347963</v>
      </c>
      <c r="P43" s="50">
        <f t="shared" si="2"/>
        <v>47.525841062011267</v>
      </c>
      <c r="Q43" s="50">
        <f t="shared" si="3"/>
        <v>49.139853719553145</v>
      </c>
    </row>
    <row r="44" spans="1:17">
      <c r="A44" s="4"/>
      <c r="B44" s="46" t="s">
        <v>5</v>
      </c>
      <c r="C44" s="79"/>
      <c r="D44" s="46">
        <f>I44/$H$43</f>
        <v>-0.54321566956813983</v>
      </c>
      <c r="E44" s="46">
        <f>H44/$H$43</f>
        <v>0.41016367086057232</v>
      </c>
      <c r="F44" s="46">
        <f>G44/$H$43</f>
        <v>1.0528090058080632</v>
      </c>
      <c r="G44" s="46">
        <f t="array" ref="G44:I44">LINEST($F$31:$F$33,$G31:$I33,FALSE)</f>
        <v>17.518645565911232</v>
      </c>
      <c r="H44" s="46">
        <v>6.8250859692298498</v>
      </c>
      <c r="I44" s="46">
        <v>-9.039059058683927</v>
      </c>
      <c r="J44" s="97"/>
      <c r="K44" s="53" t="str">
        <f t="shared" si="30"/>
        <v>-0.5432157,0.4101637,1.052809,</v>
      </c>
      <c r="M44" s="46">
        <f t="shared" si="0"/>
        <v>1.3850199673238635</v>
      </c>
      <c r="N44" s="46">
        <f t="shared" si="5"/>
        <v>41</v>
      </c>
      <c r="O44" s="50">
        <f t="shared" si="1"/>
        <v>47.71079957433588</v>
      </c>
      <c r="P44" s="50">
        <f t="shared" si="2"/>
        <v>47.437341100141367</v>
      </c>
      <c r="Q44" s="50">
        <f t="shared" si="3"/>
        <v>48.822361067465231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0.25322823426382052</v>
      </c>
      <c r="E45" s="46">
        <f>H45/$H$46</f>
        <v>1.0209637059372736</v>
      </c>
      <c r="F45" s="46">
        <f>G45/$H$46</f>
        <v>-0.47265369752846514</v>
      </c>
      <c r="G45" s="46">
        <f t="array" ref="G45:I45">LINEST($D34:$D36,$G34:$I36,FALSE)</f>
        <v>-7.8345936826472791</v>
      </c>
      <c r="H45" s="46">
        <v>16.923248125582674</v>
      </c>
      <c r="I45" s="46">
        <v>4.1974501306250174</v>
      </c>
      <c r="J45" s="97">
        <f>H46</f>
        <v>16.575758792568099</v>
      </c>
      <c r="K45" s="53" t="str">
        <f t="shared" si="30"/>
        <v>0.2532282,1.020964,-0.4726537,</v>
      </c>
      <c r="M45" s="46">
        <f t="shared" si="0"/>
        <v>2.9295490020535055</v>
      </c>
      <c r="N45" s="46">
        <f t="shared" si="5"/>
        <v>42</v>
      </c>
      <c r="O45" s="50">
        <f t="shared" si="1"/>
        <v>45.575319413323811</v>
      </c>
      <c r="P45" s="50">
        <f t="shared" si="2"/>
        <v>47.348841138271467</v>
      </c>
      <c r="Q45" s="50">
        <f t="shared" si="3"/>
        <v>48.504868415377317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8.219349593563853E-2</v>
      </c>
      <c r="E46" s="46">
        <f>H46/$H$46</f>
        <v>1</v>
      </c>
      <c r="F46" s="46">
        <f>G46/$H$46</f>
        <v>-0.1639794845560866</v>
      </c>
      <c r="G46" s="46">
        <f t="array" ref="G46:I46">LINEST($E34:$E36,$G34:$I36,FALSE)</f>
        <v>-2.7180843829313375</v>
      </c>
      <c r="H46" s="46">
        <v>16.575758792568099</v>
      </c>
      <c r="I46" s="46">
        <v>1.3624195629470706</v>
      </c>
      <c r="J46" s="97"/>
      <c r="K46" s="53" t="str">
        <f t="shared" si="30"/>
        <v>8.219349E-02,1,-0.1639795,</v>
      </c>
      <c r="M46" s="46">
        <f t="shared" si="0"/>
        <v>4.7475365109776533</v>
      </c>
      <c r="N46" s="46">
        <f t="shared" si="5"/>
        <v>43</v>
      </c>
      <c r="O46" s="50">
        <f t="shared" si="1"/>
        <v>43.439839252311742</v>
      </c>
      <c r="P46" s="50">
        <f t="shared" si="2"/>
        <v>47.260341176401568</v>
      </c>
      <c r="Q46" s="50">
        <f t="shared" si="3"/>
        <v>48.187375763289396</v>
      </c>
    </row>
    <row r="47" spans="1:17">
      <c r="A47" s="4"/>
      <c r="B47" s="46" t="str">
        <f t="shared" si="31"/>
        <v>Z</v>
      </c>
      <c r="C47" s="79"/>
      <c r="D47" s="46">
        <f>I47/$H$46</f>
        <v>-0.52837190648705468</v>
      </c>
      <c r="E47" s="46">
        <f>H47/$H$46</f>
        <v>0.40040882605208955</v>
      </c>
      <c r="F47" s="46">
        <f>G47/$H$46</f>
        <v>1.0208827794685229</v>
      </c>
      <c r="G47" s="46">
        <f t="array" ref="G47:I47">LINEST($F$31:$F$33,$G34:$I36,FALSE)</f>
        <v>16.921906707956726</v>
      </c>
      <c r="H47" s="46">
        <v>6.6370801190547937</v>
      </c>
      <c r="I47" s="46">
        <v>-8.758165274698765</v>
      </c>
      <c r="J47" s="97"/>
      <c r="K47" s="53" t="str">
        <f t="shared" si="30"/>
        <v>-0.5283719,0.4004088,1.020883,</v>
      </c>
      <c r="M47" s="46">
        <f t="shared" si="0"/>
        <v>6.5655240199018223</v>
      </c>
      <c r="N47" s="46">
        <f t="shared" si="5"/>
        <v>44</v>
      </c>
      <c r="O47" s="50">
        <f t="shared" si="1"/>
        <v>41.304359091299659</v>
      </c>
      <c r="P47" s="50">
        <f t="shared" si="2"/>
        <v>47.171841214531668</v>
      </c>
      <c r="Q47" s="50">
        <f t="shared" si="3"/>
        <v>47.869883111201482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0.19165934443634924</v>
      </c>
      <c r="E48" s="46">
        <f>H48/$H$49</f>
        <v>1.0731792717403172</v>
      </c>
      <c r="F48" s="46">
        <f>G48/$H$49</f>
        <v>-0.7570005914828748</v>
      </c>
      <c r="G48" s="46">
        <f t="array" ref="G48:I48">LINEST($D37:$D39,$G37:$I39,FALSE)</f>
        <v>-18.4113041689094</v>
      </c>
      <c r="H48" s="46">
        <v>26.101208139183662</v>
      </c>
      <c r="I48" s="46">
        <v>4.6614210436997094</v>
      </c>
      <c r="J48" s="97">
        <f>H49</f>
        <v>24.321386767801368</v>
      </c>
      <c r="K48" s="53" t="str">
        <f t="shared" si="30"/>
        <v>0.1916593,1.073179,-0.7570006,</v>
      </c>
      <c r="M48" s="46">
        <f t="shared" si="0"/>
        <v>8.3835115288259914</v>
      </c>
      <c r="N48" s="46">
        <f t="shared" si="5"/>
        <v>45</v>
      </c>
      <c r="O48" s="50">
        <f t="shared" si="1"/>
        <v>39.168878930287576</v>
      </c>
      <c r="P48" s="50">
        <f t="shared" si="2"/>
        <v>47.083341252661768</v>
      </c>
      <c r="Q48" s="50">
        <f t="shared" si="3"/>
        <v>47.552390459113568</v>
      </c>
    </row>
    <row r="49" spans="1:24">
      <c r="A49" s="4"/>
      <c r="B49" s="46" t="str">
        <f t="shared" si="31"/>
        <v>Y</v>
      </c>
      <c r="C49" s="79"/>
      <c r="D49" s="46">
        <f>I49/$H$49</f>
        <v>7.5526306756168601E-2</v>
      </c>
      <c r="E49" s="46">
        <f>H49/$H$49</f>
        <v>1</v>
      </c>
      <c r="F49" s="46">
        <f>G49/$H$49</f>
        <v>-0.46511489004823869</v>
      </c>
      <c r="G49" s="46">
        <f t="array" ref="G49:I49">LINEST($E37:$E39,$G37:$I39,FALSE)</f>
        <v>-11.312239132326621</v>
      </c>
      <c r="H49" s="46">
        <v>24.321386767801368</v>
      </c>
      <c r="I49" s="46">
        <v>1.836904517760386</v>
      </c>
      <c r="J49" s="97"/>
      <c r="K49" s="53" t="str">
        <f t="shared" si="30"/>
        <v>0.0755263,1,-0.4651149,</v>
      </c>
      <c r="M49" s="46">
        <f t="shared" si="0"/>
        <v>10.201499037750139</v>
      </c>
      <c r="N49" s="46">
        <f t="shared" si="5"/>
        <v>46</v>
      </c>
      <c r="O49" s="50">
        <f t="shared" si="1"/>
        <v>37.033398769275507</v>
      </c>
      <c r="P49" s="50">
        <f t="shared" si="2"/>
        <v>46.994841290791868</v>
      </c>
      <c r="Q49" s="50">
        <f t="shared" si="3"/>
        <v>47.234897807025646</v>
      </c>
    </row>
    <row r="50" spans="1:24">
      <c r="A50" s="4"/>
      <c r="B50" s="46" t="str">
        <f t="shared" si="31"/>
        <v>Z</v>
      </c>
      <c r="C50" s="79"/>
      <c r="D50" s="46">
        <f>I50/$H$49</f>
        <v>-0.35728742532398583</v>
      </c>
      <c r="E50" s="46">
        <f>H50/$H$49</f>
        <v>0.22974971089064025</v>
      </c>
      <c r="F50" s="46">
        <f>G50/$H$49</f>
        <v>0.8102617483500778</v>
      </c>
      <c r="G50" s="46">
        <f t="array" ref="G50:I50">LINEST($F$31:$F$33,$G37:$I39,FALSE)</f>
        <v>19.706689364777183</v>
      </c>
      <c r="H50" s="46">
        <v>5.5878315783618078</v>
      </c>
      <c r="I50" s="46">
        <v>-8.6897256585766076</v>
      </c>
      <c r="J50" s="97"/>
      <c r="K50" s="54" t="str">
        <f t="shared" si="30"/>
        <v>-0.3572874,0.2297497,0.8102617,</v>
      </c>
      <c r="M50" s="46">
        <f t="shared" si="0"/>
        <v>12.019486546674294</v>
      </c>
      <c r="N50" s="46">
        <f t="shared" si="5"/>
        <v>47</v>
      </c>
      <c r="O50" s="50">
        <f t="shared" si="1"/>
        <v>34.897918608263439</v>
      </c>
      <c r="P50" s="50">
        <f t="shared" si="2"/>
        <v>46.906341328921968</v>
      </c>
      <c r="Q50" s="50">
        <f t="shared" si="3"/>
        <v>46.917405154937732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0.21364961653370676</v>
      </c>
      <c r="E51" s="46">
        <f t="shared" ref="E51:F51" si="32">(E42+E45+E48)/3</f>
        <v>1.0377365422981299</v>
      </c>
      <c r="F51" s="46">
        <f t="shared" si="32"/>
        <v>-0.5391502534017748</v>
      </c>
      <c r="J51" s="97">
        <f>(J42+J45+J48)/3</f>
        <v>19.179018033195831</v>
      </c>
      <c r="M51" s="46">
        <f t="shared" si="0"/>
        <v>14.055402919800713</v>
      </c>
      <c r="N51" s="46">
        <f t="shared" si="5"/>
        <v>48</v>
      </c>
      <c r="O51" s="50">
        <f t="shared" si="1"/>
        <v>32.762438447251355</v>
      </c>
      <c r="P51" s="50">
        <f t="shared" si="2"/>
        <v>46.817841367052068</v>
      </c>
      <c r="Q51" s="50">
        <f t="shared" si="3"/>
        <v>46.599912502849818</v>
      </c>
    </row>
    <row r="52" spans="1:24">
      <c r="B52" s="46" t="str">
        <f t="shared" si="31"/>
        <v>Y</v>
      </c>
      <c r="C52" s="79"/>
      <c r="D52" s="46">
        <f t="shared" ref="D52:F53" si="33">(D43+D46+D49)/3</f>
        <v>6.226038272105152E-2</v>
      </c>
      <c r="E52" s="46">
        <f t="shared" si="33"/>
        <v>1</v>
      </c>
      <c r="F52" s="46">
        <f t="shared" si="33"/>
        <v>-0.23687851976869592</v>
      </c>
      <c r="J52" s="97"/>
      <c r="M52" s="46">
        <f t="shared" si="0"/>
        <v>16.102383118942896</v>
      </c>
      <c r="N52" s="46">
        <f t="shared" si="5"/>
        <v>49</v>
      </c>
      <c r="O52" s="50">
        <f t="shared" si="1"/>
        <v>30.626958286239272</v>
      </c>
      <c r="P52" s="50">
        <f t="shared" si="2"/>
        <v>46.729341405182169</v>
      </c>
      <c r="Q52" s="50">
        <f t="shared" si="3"/>
        <v>46.282419850761897</v>
      </c>
    </row>
    <row r="53" spans="1:24" ht="15.75" thickBot="1">
      <c r="B53" s="46" t="str">
        <f t="shared" si="31"/>
        <v>Z</v>
      </c>
      <c r="C53" s="79"/>
      <c r="D53" s="46">
        <f t="shared" si="33"/>
        <v>-0.47629166712639348</v>
      </c>
      <c r="E53" s="46">
        <f t="shared" si="33"/>
        <v>0.34677406926776738</v>
      </c>
      <c r="F53" s="46">
        <f t="shared" si="33"/>
        <v>0.96131784454222124</v>
      </c>
      <c r="J53" s="100"/>
      <c r="M53" s="46">
        <f t="shared" si="0"/>
        <v>18.149363318085065</v>
      </c>
      <c r="N53" s="46">
        <f t="shared" si="5"/>
        <v>50</v>
      </c>
      <c r="O53" s="50">
        <f t="shared" si="1"/>
        <v>28.491478125227204</v>
      </c>
      <c r="P53" s="50">
        <f t="shared" si="2"/>
        <v>46.640841443312269</v>
      </c>
      <c r="Q53" s="50">
        <f t="shared" si="3"/>
        <v>45.964927198673983</v>
      </c>
    </row>
    <row r="54" spans="1:24">
      <c r="B54" s="79" t="s">
        <v>14</v>
      </c>
      <c r="C54" s="79"/>
      <c r="D54" s="19">
        <f>I54/$H$55</f>
        <v>0.16135946780638308</v>
      </c>
      <c r="E54" s="20">
        <f>H54/$H$55</f>
        <v>1.0340535601568599</v>
      </c>
      <c r="F54" s="21">
        <f>G54/$H$55</f>
        <v>-0.40258946840863186</v>
      </c>
      <c r="G54" s="46">
        <f t="array" ref="G54:I54">LINEST(D$31:D$39,$G$31:$I$39,FALSE)</f>
        <v>-7.1459371400801892</v>
      </c>
      <c r="H54" s="46">
        <v>18.354384106384181</v>
      </c>
      <c r="I54" s="46">
        <v>2.8641201630511497</v>
      </c>
      <c r="J54" s="98">
        <f>H55</f>
        <v>17.749935606430221</v>
      </c>
      <c r="M54" s="46">
        <f t="shared" si="0"/>
        <v>20.196343517227234</v>
      </c>
      <c r="N54" s="46">
        <f t="shared" si="5"/>
        <v>51</v>
      </c>
      <c r="O54" s="50">
        <f t="shared" si="1"/>
        <v>26.355997964215135</v>
      </c>
      <c r="P54" s="50">
        <f t="shared" si="2"/>
        <v>46.552341481442369</v>
      </c>
      <c r="Q54" s="50">
        <f t="shared" si="3"/>
        <v>45.647434546586069</v>
      </c>
    </row>
    <row r="55" spans="1:24" ht="15" customHeight="1">
      <c r="B55" s="79"/>
      <c r="C55" s="79"/>
      <c r="D55" s="22">
        <f>I55/$H$55</f>
        <v>1.6292153690069172E-2</v>
      </c>
      <c r="E55" s="18">
        <f>H55/$H$55</f>
        <v>1</v>
      </c>
      <c r="F55" s="23">
        <f>G55/$H$55</f>
        <v>-0.11201652181060147</v>
      </c>
      <c r="G55" s="46">
        <f t="array" ref="G55:I55">LINEST(E$31:E$39,$G$31:$I$39,FALSE)</f>
        <v>-1.9882860489944625</v>
      </c>
      <c r="H55" s="46">
        <v>17.749935606430221</v>
      </c>
      <c r="I55" s="46">
        <v>0.28918467888879229</v>
      </c>
      <c r="J55" s="98"/>
      <c r="M55" s="46">
        <f t="shared" si="0"/>
        <v>22.243323716369417</v>
      </c>
      <c r="N55" s="46">
        <f t="shared" si="5"/>
        <v>52</v>
      </c>
      <c r="O55" s="50">
        <f t="shared" si="1"/>
        <v>24.220517803203052</v>
      </c>
      <c r="P55" s="50">
        <f t="shared" si="2"/>
        <v>46.463841519572469</v>
      </c>
      <c r="Q55" s="50">
        <f t="shared" si="3"/>
        <v>45.329941894498148</v>
      </c>
    </row>
    <row r="56" spans="1:24" ht="15" customHeight="1" thickBot="1">
      <c r="B56" s="79"/>
      <c r="C56" s="79"/>
      <c r="D56" s="24">
        <f>I56/$H$55</f>
        <v>-0.47901146703992992</v>
      </c>
      <c r="E56" s="25">
        <f>H56/$H$55</f>
        <v>0.35941217558961619</v>
      </c>
      <c r="F56" s="26">
        <f>G56/$H$55</f>
        <v>0.98684900238308881</v>
      </c>
      <c r="G56" s="46">
        <f t="array" ref="G56:I56">LINEST(F$31:F$39,$G$31:$I$39,FALSE)</f>
        <v>17.51650624556973</v>
      </c>
      <c r="H56" s="46">
        <v>6.3795429728826791</v>
      </c>
      <c r="I56" s="46">
        <v>-8.502422694700428</v>
      </c>
      <c r="J56" s="98"/>
      <c r="M56" s="46">
        <f t="shared" si="0"/>
        <v>24.290303915511601</v>
      </c>
      <c r="N56" s="46">
        <f t="shared" si="5"/>
        <v>53</v>
      </c>
      <c r="O56" s="50">
        <f t="shared" si="1"/>
        <v>22.085037642190969</v>
      </c>
      <c r="P56" s="50">
        <f t="shared" si="2"/>
        <v>46.375341557702569</v>
      </c>
      <c r="Q56" s="50">
        <f t="shared" si="3"/>
        <v>45.012449242410234</v>
      </c>
    </row>
    <row r="57" spans="1:24">
      <c r="M57" s="46">
        <f t="shared" si="0"/>
        <v>26.33728411465377</v>
      </c>
      <c r="N57" s="46">
        <f t="shared" si="5"/>
        <v>54</v>
      </c>
      <c r="O57" s="50">
        <f t="shared" si="1"/>
        <v>19.9495574811789</v>
      </c>
      <c r="P57" s="50">
        <f t="shared" si="2"/>
        <v>46.286841595832669</v>
      </c>
      <c r="Q57" s="50">
        <f t="shared" si="3"/>
        <v>44.69495659032232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28.384264313795939</v>
      </c>
      <c r="N58" s="46">
        <f t="shared" si="5"/>
        <v>55</v>
      </c>
      <c r="O58" s="50">
        <f t="shared" si="1"/>
        <v>17.814077320166831</v>
      </c>
      <c r="P58" s="50">
        <f t="shared" si="2"/>
        <v>46.198341633962769</v>
      </c>
      <c r="Q58" s="50">
        <f t="shared" si="3"/>
        <v>44.377463938234399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30.431244512938122</v>
      </c>
      <c r="N59" s="46">
        <f t="shared" si="5"/>
        <v>56</v>
      </c>
      <c r="O59" s="50">
        <f t="shared" si="1"/>
        <v>15.678597159154748</v>
      </c>
      <c r="P59" s="50">
        <f t="shared" si="2"/>
        <v>46.10984167209287</v>
      </c>
      <c r="Q59" s="50">
        <f t="shared" si="3"/>
        <v>44.059971286146485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514.25</v>
      </c>
      <c r="E60" s="32">
        <f t="shared" ref="E60:E68" si="37">getCCTfromXY(D22/SUM(D22:F22),E22/SUM(D22:F22))</f>
        <v>2880</v>
      </c>
      <c r="F60" s="31">
        <f t="shared" ref="F60:F68" si="38">V60</f>
        <v>508.50672687823658</v>
      </c>
      <c r="G60" s="32">
        <f t="shared" ref="G60:G68" si="39">getCCTfromXY(U60/X60,V60/X60)</f>
        <v>3079</v>
      </c>
      <c r="H60" s="33">
        <f>F60/D60-1</f>
        <v>-1.1168251087532166E-2</v>
      </c>
      <c r="I60" s="34">
        <f t="shared" ref="I60:I68" si="40">G60/E60-1</f>
        <v>6.9097222222222143E-2</v>
      </c>
      <c r="M60" s="46">
        <f t="shared" si="0"/>
        <v>32.478224712080305</v>
      </c>
      <c r="N60" s="46">
        <f t="shared" si="5"/>
        <v>57</v>
      </c>
      <c r="O60" s="50">
        <f t="shared" si="1"/>
        <v>13.543116998142665</v>
      </c>
      <c r="P60" s="50">
        <f t="shared" si="2"/>
        <v>46.02134171022297</v>
      </c>
      <c r="Q60" s="50">
        <f t="shared" si="3"/>
        <v>43.742478634058571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538.43420808416738</v>
      </c>
      <c r="V60" s="50">
        <f>$J$54*$J$31*($D$55*G22+$E$55*H22+$F$55*I22)</f>
        <v>508.50672687823658</v>
      </c>
      <c r="W60" s="50">
        <f>$J$54*$J$31*($D$56*G22+$E$56*H22+$F$56*I22)</f>
        <v>185.77936630060572</v>
      </c>
      <c r="X60" s="29">
        <f>SUM(U60:W60)</f>
        <v>1232.7203012630096</v>
      </c>
    </row>
    <row r="61" spans="1:24">
      <c r="A61" s="87"/>
      <c r="B61" s="48" t="str">
        <f t="shared" si="35"/>
        <v>CWF</v>
      </c>
      <c r="C61" s="93"/>
      <c r="D61" s="31">
        <f t="shared" si="36"/>
        <v>1211.5</v>
      </c>
      <c r="E61" s="32">
        <f t="shared" si="37"/>
        <v>3857</v>
      </c>
      <c r="F61" s="31">
        <f t="shared" si="38"/>
        <v>1255.9456979966742</v>
      </c>
      <c r="G61" s="32">
        <f t="shared" si="39"/>
        <v>3775</v>
      </c>
      <c r="H61" s="33">
        <f t="shared" ref="H61:H68" si="41">F61/D61-1</f>
        <v>3.6686502679879718E-2</v>
      </c>
      <c r="I61" s="34">
        <f t="shared" si="40"/>
        <v>-2.1260046668395094E-2</v>
      </c>
      <c r="M61" s="46">
        <f t="shared" si="0"/>
        <v>34.525204911222474</v>
      </c>
      <c r="N61" s="46">
        <f t="shared" si="5"/>
        <v>58</v>
      </c>
      <c r="O61" s="50">
        <f t="shared" si="1"/>
        <v>11.407636837130596</v>
      </c>
      <c r="P61" s="50">
        <f t="shared" si="2"/>
        <v>45.93284174835307</v>
      </c>
      <c r="Q61" s="50">
        <f t="shared" si="3"/>
        <v>43.42498598197065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1252.9024860776005</v>
      </c>
      <c r="V61" s="50">
        <f>$J$54*$J$31*($D$55*G23+$E$55*H23+$F$55*I23)</f>
        <v>1255.9456979966742</v>
      </c>
      <c r="W61" s="50">
        <f>$J$54*$J$31*($D$56*G23+$E$56*H23+$F$56*I23)</f>
        <v>652.17062566883089</v>
      </c>
      <c r="X61" s="29">
        <f t="shared" ref="X61:X68" si="43">SUM(U61:W61)</f>
        <v>3161.0188097431055</v>
      </c>
    </row>
    <row r="62" spans="1:24">
      <c r="A62" s="87"/>
      <c r="B62" s="48" t="str">
        <f t="shared" si="35"/>
        <v>D65</v>
      </c>
      <c r="C62" s="93"/>
      <c r="D62" s="31">
        <f t="shared" si="36"/>
        <v>577.5</v>
      </c>
      <c r="E62" s="32">
        <f t="shared" si="37"/>
        <v>6347</v>
      </c>
      <c r="F62" s="31">
        <f t="shared" si="38"/>
        <v>592.87246204057283</v>
      </c>
      <c r="G62" s="32">
        <f t="shared" si="39"/>
        <v>6122</v>
      </c>
      <c r="H62" s="33">
        <f t="shared" si="41"/>
        <v>2.6618981888437698E-2</v>
      </c>
      <c r="I62" s="34">
        <f t="shared" si="40"/>
        <v>-3.5449818812037237E-2</v>
      </c>
      <c r="M62" s="46">
        <f t="shared" si="0"/>
        <v>36.572185110364643</v>
      </c>
      <c r="N62" s="46">
        <f t="shared" si="5"/>
        <v>59</v>
      </c>
      <c r="O62" s="50">
        <f t="shared" si="1"/>
        <v>9.2721566761185272</v>
      </c>
      <c r="P62" s="50">
        <f t="shared" si="2"/>
        <v>45.84434178648317</v>
      </c>
      <c r="Q62" s="50">
        <f t="shared" si="3"/>
        <v>43.107493329882736</v>
      </c>
      <c r="R62" s="78"/>
      <c r="S62" s="46" t="str">
        <f t="shared" si="42"/>
        <v>D65</v>
      </c>
      <c r="T62" s="79"/>
      <c r="U62" s="50">
        <f>$J$54*$J$31*($D$54*G24+$E$54*H24+$F$54*I24)</f>
        <v>528.63113647455907</v>
      </c>
      <c r="V62" s="50">
        <f>$J$54*$J$31*($D$55*G24+$E$55*H24+$F$55*I24)</f>
        <v>592.87246204057283</v>
      </c>
      <c r="W62" s="50">
        <f>$J$54*$J$31*($D$56*G24+$E$56*H24+$F$56*I24)</f>
        <v>532.00660267154194</v>
      </c>
      <c r="X62" s="29">
        <f t="shared" si="43"/>
        <v>1653.5102011866738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514.25</v>
      </c>
      <c r="E63" s="32">
        <f t="shared" si="37"/>
        <v>2880</v>
      </c>
      <c r="F63" s="31">
        <f t="shared" si="38"/>
        <v>493.41929639523778</v>
      </c>
      <c r="G63" s="32">
        <f t="shared" si="39"/>
        <v>3149</v>
      </c>
      <c r="H63" s="33">
        <f t="shared" si="41"/>
        <v>-4.0506958881404431E-2</v>
      </c>
      <c r="I63" s="34">
        <f t="shared" si="40"/>
        <v>9.3402777777777724E-2</v>
      </c>
      <c r="M63" s="46">
        <f t="shared" si="0"/>
        <v>38.619165309506819</v>
      </c>
      <c r="N63" s="46">
        <f t="shared" si="5"/>
        <v>60</v>
      </c>
      <c r="O63" s="50">
        <f t="shared" si="1"/>
        <v>7.1366765151064442</v>
      </c>
      <c r="P63" s="50">
        <f t="shared" si="2"/>
        <v>45.755841824613263</v>
      </c>
      <c r="Q63" s="50">
        <f t="shared" si="3"/>
        <v>42.790000677794822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519.40047233204427</v>
      </c>
      <c r="V63" s="50">
        <f>$J$54*$J$34*($D$55*G25+$E$55*H25+$F$55*I25)</f>
        <v>493.41929639523778</v>
      </c>
      <c r="W63" s="50">
        <f>$J$54*$J$34*($D$56*G25+$E$56*H25+$F$56*I25)</f>
        <v>190.30692073215735</v>
      </c>
      <c r="X63" s="29">
        <f t="shared" si="43"/>
        <v>1203.1266894594394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1211.5</v>
      </c>
      <c r="E64" s="32">
        <f t="shared" si="37"/>
        <v>3857</v>
      </c>
      <c r="F64" s="31">
        <f t="shared" si="38"/>
        <v>1261.4400690210161</v>
      </c>
      <c r="G64" s="32">
        <f t="shared" si="39"/>
        <v>3841</v>
      </c>
      <c r="H64" s="33">
        <f t="shared" si="41"/>
        <v>4.1221683054903924E-2</v>
      </c>
      <c r="I64" s="34">
        <f t="shared" si="40"/>
        <v>-4.1483017889551999E-3</v>
      </c>
      <c r="M64" s="46">
        <f t="shared" si="0"/>
        <v>40.666145508649002</v>
      </c>
      <c r="N64" s="46">
        <f t="shared" si="5"/>
        <v>61</v>
      </c>
      <c r="O64" s="50">
        <f t="shared" si="1"/>
        <v>5.0011963540943611</v>
      </c>
      <c r="P64" s="50">
        <f t="shared" si="2"/>
        <v>45.667341862743363</v>
      </c>
      <c r="Q64" s="50">
        <f t="shared" si="3"/>
        <v>42.472508025706901</v>
      </c>
      <c r="R64" s="78"/>
      <c r="S64" s="46" t="str">
        <f t="shared" si="42"/>
        <v>CWF</v>
      </c>
      <c r="T64" s="79"/>
      <c r="U64" s="50">
        <f>$J$54*$J$34*($D$54*G26+$E$54*H26+$F$54*I26)</f>
        <v>1253.2527451061032</v>
      </c>
      <c r="V64" s="50">
        <f>$J$54*$J$34*($D$55*G26+$E$55*H26+$F$55*I26)</f>
        <v>1261.4400690210161</v>
      </c>
      <c r="W64" s="50">
        <f>$J$54*$J$34*($D$56*G26+$E$56*H26+$F$56*I26)</f>
        <v>673.78946616873623</v>
      </c>
      <c r="X64" s="29">
        <f t="shared" si="43"/>
        <v>3188.4822802958552</v>
      </c>
    </row>
    <row r="65" spans="1:24">
      <c r="A65" s="87"/>
      <c r="B65" s="48" t="str">
        <f t="shared" si="35"/>
        <v>D65</v>
      </c>
      <c r="C65" s="93"/>
      <c r="D65" s="31">
        <f t="shared" si="36"/>
        <v>577.5</v>
      </c>
      <c r="E65" s="32">
        <f t="shared" si="37"/>
        <v>6347</v>
      </c>
      <c r="F65" s="31">
        <f t="shared" si="38"/>
        <v>613.44172914514854</v>
      </c>
      <c r="G65" s="32">
        <f t="shared" si="39"/>
        <v>6114</v>
      </c>
      <c r="H65" s="33">
        <f t="shared" si="41"/>
        <v>6.2236760424499549E-2</v>
      </c>
      <c r="I65" s="34">
        <f t="shared" si="40"/>
        <v>-3.6710256814243003E-2</v>
      </c>
      <c r="M65" s="46">
        <f t="shared" si="0"/>
        <v>42.713125707791157</v>
      </c>
      <c r="N65" s="46">
        <f t="shared" si="5"/>
        <v>62</v>
      </c>
      <c r="O65" s="50">
        <f t="shared" si="1"/>
        <v>2.8657161930823065</v>
      </c>
      <c r="P65" s="50">
        <f t="shared" si="2"/>
        <v>45.578841900873464</v>
      </c>
      <c r="Q65" s="50">
        <f t="shared" si="3"/>
        <v>42.155015373618987</v>
      </c>
      <c r="R65" s="78"/>
      <c r="S65" s="46" t="str">
        <f t="shared" si="42"/>
        <v>D65</v>
      </c>
      <c r="T65" s="79"/>
      <c r="U65" s="50">
        <f>$J$54*$J$34*($D$54*G27+$E$54*H27+$F$54*I27)</f>
        <v>547.14181677071701</v>
      </c>
      <c r="V65" s="50">
        <f>$J$54*$J$34*($D$55*G27+$E$55*H27+$F$55*I27)</f>
        <v>613.44172914514854</v>
      </c>
      <c r="W65" s="50">
        <f>$J$54*$J$34*($D$56*G27+$E$56*H27+$F$56*I27)</f>
        <v>549.89699422586943</v>
      </c>
      <c r="X65" s="29">
        <f t="shared" si="43"/>
        <v>1710.4805401417352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514.25</v>
      </c>
      <c r="E66" s="32">
        <f t="shared" si="37"/>
        <v>2880</v>
      </c>
      <c r="F66" s="31">
        <f t="shared" si="38"/>
        <v>538.87611580126611</v>
      </c>
      <c r="G66" s="32">
        <f t="shared" si="39"/>
        <v>2599</v>
      </c>
      <c r="H66" s="33">
        <f t="shared" si="41"/>
        <v>4.7887439574654467E-2</v>
      </c>
      <c r="I66" s="34">
        <f t="shared" si="40"/>
        <v>-9.7569444444444486E-2</v>
      </c>
      <c r="M66" s="46">
        <f t="shared" si="0"/>
        <v>44.76010590693334</v>
      </c>
      <c r="N66" s="46">
        <f t="shared" si="5"/>
        <v>63</v>
      </c>
      <c r="O66" s="50">
        <f t="shared" si="1"/>
        <v>0.73023603207022347</v>
      </c>
      <c r="P66" s="50">
        <f t="shared" si="2"/>
        <v>45.490341939003564</v>
      </c>
      <c r="Q66" s="50">
        <f t="shared" si="3"/>
        <v>41.837522721531073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597.99749211547055</v>
      </c>
      <c r="V66" s="50">
        <f>$J$54*$J$37*($D$55*G28+$E$55*H28+$F$55*I28)</f>
        <v>538.87611580126611</v>
      </c>
      <c r="W66" s="50">
        <f>$J$54*$J$37*($D$56*G28+$E$56*H28+$F$56*I28)</f>
        <v>106.6171443349514</v>
      </c>
      <c r="X66" s="29">
        <f t="shared" si="43"/>
        <v>1243.490752251688</v>
      </c>
    </row>
    <row r="67" spans="1:24">
      <c r="A67" s="87"/>
      <c r="B67" s="48" t="str">
        <f t="shared" si="35"/>
        <v>CWF</v>
      </c>
      <c r="C67" s="93"/>
      <c r="D67" s="31">
        <f t="shared" si="36"/>
        <v>1211.5</v>
      </c>
      <c r="E67" s="32">
        <f t="shared" si="37"/>
        <v>3857</v>
      </c>
      <c r="F67" s="31">
        <f t="shared" si="38"/>
        <v>1074.3390037593551</v>
      </c>
      <c r="G67" s="32">
        <f t="shared" si="39"/>
        <v>4067</v>
      </c>
      <c r="H67" s="33">
        <f t="shared" si="41"/>
        <v>-0.11321584501910431</v>
      </c>
      <c r="I67" s="34">
        <f t="shared" si="40"/>
        <v>5.444646098003636E-2</v>
      </c>
      <c r="R67" s="78"/>
      <c r="S67" s="46" t="str">
        <f t="shared" si="42"/>
        <v>CWF</v>
      </c>
      <c r="T67" s="79"/>
      <c r="U67" s="50">
        <f>$J$54*$J$37*($D$54*G29+$E$54*H29+$F$54*I29)</f>
        <v>1053.2497014873363</v>
      </c>
      <c r="V67" s="50">
        <f>$J$54*$J$37*($D$55*G29+$E$55*H29+$F$55*I29)</f>
        <v>1074.3390037593551</v>
      </c>
      <c r="W67" s="50">
        <f>$J$54*$J$37*($D$56*G29+$E$56*H29+$F$56*I29)</f>
        <v>625.57891907865076</v>
      </c>
      <c r="X67" s="29">
        <f t="shared" si="43"/>
        <v>2753.1676243253423</v>
      </c>
    </row>
    <row r="68" spans="1:24">
      <c r="A68" s="87"/>
      <c r="B68" s="48" t="str">
        <f t="shared" si="35"/>
        <v>D65</v>
      </c>
      <c r="C68" s="93"/>
      <c r="D68" s="31">
        <f t="shared" si="36"/>
        <v>577.5</v>
      </c>
      <c r="E68" s="32">
        <f t="shared" si="37"/>
        <v>6347</v>
      </c>
      <c r="F68" s="31">
        <f t="shared" si="38"/>
        <v>572.79657339826986</v>
      </c>
      <c r="G68" s="32">
        <f t="shared" si="39"/>
        <v>5973</v>
      </c>
      <c r="H68" s="33">
        <f t="shared" si="41"/>
        <v>-8.1444616480175203E-3</v>
      </c>
      <c r="I68" s="34">
        <f t="shared" si="40"/>
        <v>-5.8925476603119531E-2</v>
      </c>
      <c r="R68" s="78"/>
      <c r="S68" s="46" t="str">
        <f t="shared" si="42"/>
        <v>D65</v>
      </c>
      <c r="T68" s="79"/>
      <c r="U68" s="50">
        <f>$J$54*$J$37*($D$54*G30+$E$54*H30+$F$54*I30)</f>
        <v>513.44785615243507</v>
      </c>
      <c r="V68" s="50">
        <f>$J$54*$J$37*($D$55*G30+$E$55*H30+$F$55*I30)</f>
        <v>572.79657339826986</v>
      </c>
      <c r="W68" s="50">
        <f>$J$54*$J$37*($D$56*G30+$E$56*H30+$F$56*I30)</f>
        <v>503.2715763372529</v>
      </c>
      <c r="X68" s="29">
        <f t="shared" si="43"/>
        <v>1589.5160058879578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0.11321584501910431</v>
      </c>
      <c r="G69" s="47"/>
      <c r="H69" s="36" t="str">
        <f>I59</f>
        <v>CCT</v>
      </c>
      <c r="I69" s="38">
        <f>MAX(MAX(I60:I68,-MIN(I60:I68)))</f>
        <v>9.7569444444444486E-2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514.25</v>
      </c>
      <c r="E72" s="31">
        <f t="shared" ref="E72:E80" si="47">E60</f>
        <v>2880</v>
      </c>
      <c r="F72" s="31">
        <f t="shared" ref="F72:F80" si="48">V72</f>
        <v>528.42145368655383</v>
      </c>
      <c r="G72" s="32">
        <f t="shared" ref="G72:G80" si="49">getCCTfromXY(U72/X72,V72/X72)</f>
        <v>2986</v>
      </c>
      <c r="H72" s="33">
        <f>F72/D72-1</f>
        <v>2.7557518107056644E-2</v>
      </c>
      <c r="I72" s="34">
        <f t="shared" ref="I72:I80" si="50">G72/E72-1</f>
        <v>3.6805555555555536E-2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564.23130293449628</v>
      </c>
      <c r="V72" s="50">
        <f>$J$51*$J$31*($D$52*G22+$E$52*H22+$F$52*I22)</f>
        <v>528.42145368655383</v>
      </c>
      <c r="W72" s="50">
        <f>$J$51*$J$31*($D$53*G22+$E$53*H22+$F$53*I22)</f>
        <v>178.13376210488514</v>
      </c>
      <c r="X72" s="29">
        <f>SUM(U72:W72)</f>
        <v>1270.7865187259354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1211.5</v>
      </c>
      <c r="E73" s="31">
        <f t="shared" si="47"/>
        <v>3857</v>
      </c>
      <c r="F73" s="31">
        <f t="shared" si="48"/>
        <v>1314.9899343385932</v>
      </c>
      <c r="G73" s="32">
        <f t="shared" si="49"/>
        <v>3732</v>
      </c>
      <c r="H73" s="33">
        <f t="shared" ref="H73:H80" si="52">F73/D73-1</f>
        <v>8.5422975104080257E-2</v>
      </c>
      <c r="I73" s="34">
        <f t="shared" si="50"/>
        <v>-3.2408607726212124E-2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1315.4463760591889</v>
      </c>
      <c r="V73" s="50">
        <f t="shared" ref="V73:V74" si="55">$J$51*$J$31*($D$52*G23+$E$52*H23+$F$52*I23)</f>
        <v>1314.9899343385932</v>
      </c>
      <c r="W73" s="50">
        <f t="shared" ref="W73:W74" si="56">$J$51*$J$31*($D$53*G23+$E$53*H23+$F$53*I23)</f>
        <v>669.98211773190155</v>
      </c>
      <c r="X73" s="29">
        <f t="shared" ref="X73:X80" si="57">SUM(U73:W73)</f>
        <v>3300.4184281296839</v>
      </c>
    </row>
    <row r="74" spans="1:24">
      <c r="A74" s="87"/>
      <c r="B74" s="48" t="str">
        <f t="shared" si="46"/>
        <v>X</v>
      </c>
      <c r="C74" s="93"/>
      <c r="D74" s="31">
        <f t="shared" si="51"/>
        <v>577.5</v>
      </c>
      <c r="E74" s="31">
        <f t="shared" si="47"/>
        <v>6347</v>
      </c>
      <c r="F74" s="31">
        <f t="shared" si="48"/>
        <v>591.64678796070757</v>
      </c>
      <c r="G74" s="32">
        <f t="shared" si="49"/>
        <v>6439</v>
      </c>
      <c r="H74" s="33">
        <f t="shared" si="52"/>
        <v>2.4496602529363809E-2</v>
      </c>
      <c r="I74" s="34">
        <f t="shared" si="50"/>
        <v>1.4495037025366253E-2</v>
      </c>
      <c r="R74" s="78"/>
      <c r="S74" s="46" t="str">
        <f t="shared" si="53"/>
        <v>D65</v>
      </c>
      <c r="T74" s="79"/>
      <c r="U74" s="50">
        <f t="shared" si="54"/>
        <v>521.31479357141927</v>
      </c>
      <c r="V74" s="50">
        <f t="shared" si="55"/>
        <v>591.64678796070757</v>
      </c>
      <c r="W74" s="50">
        <f t="shared" si="56"/>
        <v>552.36749855870426</v>
      </c>
      <c r="X74" s="29">
        <f t="shared" si="57"/>
        <v>1665.329080090831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514.25</v>
      </c>
      <c r="E75" s="31">
        <f t="shared" si="47"/>
        <v>2880</v>
      </c>
      <c r="F75" s="31">
        <f t="shared" si="48"/>
        <v>511.81604087431828</v>
      </c>
      <c r="G75" s="32">
        <f t="shared" si="49"/>
        <v>3056</v>
      </c>
      <c r="H75" s="33">
        <f t="shared" si="52"/>
        <v>-4.7330269823659954E-3</v>
      </c>
      <c r="I75" s="34">
        <f t="shared" si="50"/>
        <v>6.1111111111111116E-2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543.11142743060759</v>
      </c>
      <c r="V75" s="50">
        <f>$J$51*$J$34*($D$52*G25+$E$52*H25+$F$52*I25)</f>
        <v>511.81604087431828</v>
      </c>
      <c r="W75" s="50">
        <f>$J$51*$J$34*($D$53*G25+$E$53*H25+$F$53*I25)</f>
        <v>183.70751696012002</v>
      </c>
      <c r="X75" s="29">
        <f t="shared" si="57"/>
        <v>1238.634985265046</v>
      </c>
    </row>
    <row r="76" spans="1:24">
      <c r="A76" s="87"/>
      <c r="B76" s="48" t="str">
        <f t="shared" si="46"/>
        <v>Z</v>
      </c>
      <c r="C76" s="93"/>
      <c r="D76" s="31">
        <f t="shared" si="51"/>
        <v>1211.5</v>
      </c>
      <c r="E76" s="31">
        <f t="shared" si="47"/>
        <v>3857</v>
      </c>
      <c r="F76" s="31">
        <f t="shared" si="48"/>
        <v>1318.1113820341066</v>
      </c>
      <c r="G76" s="32">
        <f t="shared" si="49"/>
        <v>3801</v>
      </c>
      <c r="H76" s="33">
        <f t="shared" si="52"/>
        <v>8.7999489916720242E-2</v>
      </c>
      <c r="I76" s="34">
        <f t="shared" si="50"/>
        <v>-1.4519056261342977E-2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1312.8150920751186</v>
      </c>
      <c r="V76" s="50">
        <f t="shared" ref="V76:V77" si="59">$J$51*$J$34*($D$52*G26+$E$52*H26+$F$52*I26)</f>
        <v>1318.1113820341066</v>
      </c>
      <c r="W76" s="50">
        <f t="shared" ref="W76:W77" si="60">$J$51*$J$34*($D$53*G26+$E$53*H26+$F$53*I26)</f>
        <v>692.53226816494202</v>
      </c>
      <c r="X76" s="29">
        <f t="shared" si="57"/>
        <v>3323.458742274167</v>
      </c>
    </row>
    <row r="77" spans="1:24">
      <c r="A77" s="87"/>
      <c r="B77" s="48" t="str">
        <f t="shared" si="46"/>
        <v>X</v>
      </c>
      <c r="C77" s="93"/>
      <c r="D77" s="31">
        <f t="shared" si="51"/>
        <v>577.5</v>
      </c>
      <c r="E77" s="31">
        <f t="shared" si="47"/>
        <v>6347</v>
      </c>
      <c r="F77" s="31">
        <f t="shared" si="48"/>
        <v>612.22983454283121</v>
      </c>
      <c r="G77" s="32">
        <f t="shared" si="49"/>
        <v>6429</v>
      </c>
      <c r="H77" s="33">
        <f t="shared" si="52"/>
        <v>6.0138241632608169E-2</v>
      </c>
      <c r="I77" s="34">
        <f t="shared" si="50"/>
        <v>1.2919489522609018E-2</v>
      </c>
      <c r="R77" s="78"/>
      <c r="S77" s="46" t="str">
        <f t="shared" si="53"/>
        <v>D65</v>
      </c>
      <c r="T77" s="79"/>
      <c r="U77" s="50">
        <f t="shared" si="58"/>
        <v>539.64969086352232</v>
      </c>
      <c r="V77" s="50">
        <f t="shared" si="59"/>
        <v>612.22983454283121</v>
      </c>
      <c r="W77" s="50">
        <f t="shared" si="60"/>
        <v>570.92097205200139</v>
      </c>
      <c r="X77" s="29">
        <f t="shared" si="57"/>
        <v>1722.8004974583548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514.25</v>
      </c>
      <c r="E78" s="31">
        <f t="shared" si="47"/>
        <v>2880</v>
      </c>
      <c r="F78" s="31">
        <f t="shared" si="48"/>
        <v>568.45058598449725</v>
      </c>
      <c r="G78" s="32">
        <f t="shared" si="49"/>
        <v>2510</v>
      </c>
      <c r="H78" s="33">
        <f t="shared" si="52"/>
        <v>0.10539734756343666</v>
      </c>
      <c r="I78" s="34">
        <f t="shared" si="50"/>
        <v>-0.12847222222222221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637.32751717145902</v>
      </c>
      <c r="V78" s="50">
        <f>$J$51*$J$37*($D$52*G28+$E$52*H28+$F$52*I28)</f>
        <v>568.45058598449725</v>
      </c>
      <c r="W78" s="50">
        <f>$J$51*$J$37*($D$53*G28+$E$53*H28+$F$53*I28)</f>
        <v>91.251165220008303</v>
      </c>
      <c r="X78" s="29">
        <f t="shared" si="57"/>
        <v>1297.0292683759644</v>
      </c>
    </row>
    <row r="79" spans="1:24">
      <c r="A79" s="87"/>
      <c r="B79" s="48" t="str">
        <f t="shared" si="46"/>
        <v>Z</v>
      </c>
      <c r="C79" s="93"/>
      <c r="D79" s="31">
        <f t="shared" si="51"/>
        <v>1211.5</v>
      </c>
      <c r="E79" s="31">
        <f t="shared" si="47"/>
        <v>3857</v>
      </c>
      <c r="F79" s="31">
        <f t="shared" si="48"/>
        <v>1115.3105776453876</v>
      </c>
      <c r="G79" s="32">
        <f t="shared" si="49"/>
        <v>4043</v>
      </c>
      <c r="H79" s="33">
        <f t="shared" si="52"/>
        <v>-7.9396964386803437E-2</v>
      </c>
      <c r="I79" s="34">
        <f t="shared" si="50"/>
        <v>4.8224008296603671E-2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1094.9687410844215</v>
      </c>
      <c r="V79" s="50">
        <f t="shared" ref="V79:V80" si="62">$J$51*$J$37*($D$52*G29+$E$52*H29+$F$52*I29)</f>
        <v>1115.3105776453876</v>
      </c>
      <c r="W79" s="50">
        <f t="shared" ref="W79:W80" si="63">$J$51*$J$37*($D$53*G29+$E$53*H29+$F$53*I29)</f>
        <v>643.86311683951101</v>
      </c>
      <c r="X79" s="29">
        <f t="shared" si="57"/>
        <v>2854.1424355693202</v>
      </c>
    </row>
    <row r="80" spans="1:24">
      <c r="A80" s="87"/>
      <c r="B80" s="48" t="str">
        <f t="shared" si="46"/>
        <v>X</v>
      </c>
      <c r="C80" s="93"/>
      <c r="D80" s="31">
        <f t="shared" si="51"/>
        <v>577.5</v>
      </c>
      <c r="E80" s="31">
        <f t="shared" si="47"/>
        <v>6347</v>
      </c>
      <c r="F80" s="31">
        <f t="shared" si="48"/>
        <v>573.44332601513577</v>
      </c>
      <c r="G80" s="32">
        <f t="shared" si="49"/>
        <v>6252</v>
      </c>
      <c r="H80" s="33">
        <f t="shared" si="52"/>
        <v>-7.0245436967345531E-3</v>
      </c>
      <c r="I80" s="34">
        <f t="shared" si="50"/>
        <v>-1.4967701276193512E-2</v>
      </c>
      <c r="R80" s="78"/>
      <c r="S80" s="46" t="str">
        <f t="shared" si="53"/>
        <v>D65</v>
      </c>
      <c r="T80" s="79"/>
      <c r="U80" s="50">
        <f t="shared" si="61"/>
        <v>508.52580199739242</v>
      </c>
      <c r="V80" s="50">
        <f t="shared" si="62"/>
        <v>573.44332601513577</v>
      </c>
      <c r="W80" s="50">
        <f t="shared" si="63"/>
        <v>522.70296147311285</v>
      </c>
      <c r="X80" s="29">
        <f t="shared" si="57"/>
        <v>1604.6720894856412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0.10539734756343666</v>
      </c>
      <c r="G81" s="47"/>
      <c r="H81" s="36" t="str">
        <f>I71</f>
        <v>CCT</v>
      </c>
      <c r="I81" s="38">
        <f>MAX(MAX(I72:I80,-MIN(I72:I80)))</f>
        <v>0.12847222222222221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514.25</v>
      </c>
      <c r="E84" s="31">
        <f t="shared" ref="E84:E92" si="67">E72</f>
        <v>2880</v>
      </c>
      <c r="F84" s="31">
        <f t="shared" ref="F84:F92" si="68">V84</f>
        <v>514.25000000000023</v>
      </c>
      <c r="G84" s="32">
        <f t="shared" ref="G84:G92" si="69">getCCTfromXY(U84/X84,V84/X84)</f>
        <v>2880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554.40000000000032</v>
      </c>
      <c r="V84" s="50">
        <f>$J$42*$J$31*($D$43*G22+$E$43*H22+$F$43*I22)</f>
        <v>514.25000000000023</v>
      </c>
      <c r="W84" s="50">
        <f>$J$42*$J$31*($D$44*G22+$E$44*H22+$F$44*I22)</f>
        <v>155.50000000000006</v>
      </c>
      <c r="X84" s="29">
        <f>SUM(U84:W84)</f>
        <v>1224.1500000000005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1211.5</v>
      </c>
      <c r="E85" s="31">
        <f t="shared" si="67"/>
        <v>3857</v>
      </c>
      <c r="F85" s="31">
        <f t="shared" si="68"/>
        <v>1211.5000000000002</v>
      </c>
      <c r="G85" s="32">
        <f t="shared" si="69"/>
        <v>3857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1202.5000000000002</v>
      </c>
      <c r="V85" s="50">
        <f t="shared" ref="V85:V86" si="75">$J$42*$J$31*($D$43*G23+$E$43*H23+$F$43*I23)</f>
        <v>1211.5000000000002</v>
      </c>
      <c r="W85" s="50">
        <f t="shared" ref="W85:W86" si="76">$J$42*$J$31*($D$44*G23+$E$44*H23+$F$44*I23)</f>
        <v>651.50000000000011</v>
      </c>
      <c r="X85" s="29">
        <f t="shared" ref="X85:X92" si="77">SUM(U85:W85)</f>
        <v>3065.5000000000005</v>
      </c>
    </row>
    <row r="86" spans="1:24">
      <c r="A86" s="87"/>
      <c r="B86" s="48">
        <f t="shared" si="66"/>
        <v>0</v>
      </c>
      <c r="C86" s="93"/>
      <c r="D86" s="31">
        <f t="shared" si="71"/>
        <v>577.5</v>
      </c>
      <c r="E86" s="31">
        <f t="shared" si="67"/>
        <v>6347</v>
      </c>
      <c r="F86" s="31">
        <f t="shared" si="68"/>
        <v>577.5</v>
      </c>
      <c r="G86" s="32">
        <f t="shared" si="69"/>
        <v>6347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510.5</v>
      </c>
      <c r="V86" s="50">
        <f t="shared" si="75"/>
        <v>577.5</v>
      </c>
      <c r="W86" s="50">
        <f t="shared" si="76"/>
        <v>533.04999999999995</v>
      </c>
      <c r="X86" s="29">
        <f t="shared" si="77"/>
        <v>1621.05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514.25</v>
      </c>
      <c r="E87" s="31">
        <f t="shared" si="67"/>
        <v>2880</v>
      </c>
      <c r="F87" s="31">
        <f t="shared" si="68"/>
        <v>514.25000000000011</v>
      </c>
      <c r="G87" s="32">
        <f t="shared" si="69"/>
        <v>2880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554.4</v>
      </c>
      <c r="V87" s="50">
        <f>$J$45*$J$34*($D$46*G25+$E$46*H25+$F$46*I25)</f>
        <v>514.25000000000011</v>
      </c>
      <c r="W87" s="50">
        <f>$J$45*$J$34*($D$47*G25+$E$47*H25+$F$47*I25)</f>
        <v>155.49999999999937</v>
      </c>
      <c r="X87" s="29">
        <f t="shared" si="77"/>
        <v>1224.1499999999994</v>
      </c>
    </row>
    <row r="88" spans="1:24">
      <c r="A88" s="87"/>
      <c r="B88" s="48">
        <f t="shared" si="66"/>
        <v>0</v>
      </c>
      <c r="C88" s="93"/>
      <c r="D88" s="31">
        <f t="shared" si="71"/>
        <v>1211.5</v>
      </c>
      <c r="E88" s="31">
        <f t="shared" si="67"/>
        <v>3857</v>
      </c>
      <c r="F88" s="31">
        <f t="shared" si="68"/>
        <v>1211.4999999999998</v>
      </c>
      <c r="G88" s="32">
        <f t="shared" si="69"/>
        <v>3857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1202.5</v>
      </c>
      <c r="V88" s="50">
        <f t="shared" ref="V88:V89" si="79">$J$45*$J$34*($D$46*G26+$E$46*H26+$F$46*I26)</f>
        <v>1211.4999999999998</v>
      </c>
      <c r="W88" s="50">
        <f t="shared" ref="W88:W89" si="80">$J$45*$J$34*($D$47*G26+$E$47*H26+$F$47*I26)</f>
        <v>651.49999999999966</v>
      </c>
      <c r="X88" s="29">
        <f t="shared" si="77"/>
        <v>3065.4999999999995</v>
      </c>
    </row>
    <row r="89" spans="1:24">
      <c r="A89" s="87"/>
      <c r="B89" s="48" t="str">
        <f t="shared" si="66"/>
        <v>A</v>
      </c>
      <c r="C89" s="93"/>
      <c r="D89" s="31">
        <f t="shared" si="71"/>
        <v>577.5</v>
      </c>
      <c r="E89" s="31">
        <f t="shared" si="67"/>
        <v>6347</v>
      </c>
      <c r="F89" s="31">
        <f t="shared" si="68"/>
        <v>577.5</v>
      </c>
      <c r="G89" s="32">
        <f t="shared" si="69"/>
        <v>6347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510.49999999999994</v>
      </c>
      <c r="V89" s="50">
        <f t="shared" si="79"/>
        <v>577.5</v>
      </c>
      <c r="W89" s="50">
        <f t="shared" si="80"/>
        <v>533.04999999999961</v>
      </c>
      <c r="X89" s="29">
        <f t="shared" si="77"/>
        <v>1621.0499999999997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514.25</v>
      </c>
      <c r="E90" s="31">
        <f t="shared" si="67"/>
        <v>2880</v>
      </c>
      <c r="F90" s="31">
        <f t="shared" si="68"/>
        <v>514.25</v>
      </c>
      <c r="G90" s="32">
        <f t="shared" si="69"/>
        <v>2880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554.40000000000009</v>
      </c>
      <c r="V90" s="50">
        <f>$J$48*$J$37*($D$49*G28+$E$49*H28+$F$49*I28)</f>
        <v>514.25</v>
      </c>
      <c r="W90" s="50">
        <f>$J$48*$J$37*($D$50*G28+$E$50*H28+$F$50*I28)</f>
        <v>155.49999999999952</v>
      </c>
      <c r="X90" s="29">
        <f t="shared" si="77"/>
        <v>1224.1499999999996</v>
      </c>
    </row>
    <row r="91" spans="1:24">
      <c r="A91" s="87"/>
      <c r="B91" s="48" t="str">
        <f t="shared" si="66"/>
        <v>D65</v>
      </c>
      <c r="C91" s="93"/>
      <c r="D91" s="31">
        <f t="shared" si="71"/>
        <v>1211.5</v>
      </c>
      <c r="E91" s="31">
        <f t="shared" si="67"/>
        <v>3857</v>
      </c>
      <c r="F91" s="31">
        <f t="shared" si="68"/>
        <v>1211.4999999999993</v>
      </c>
      <c r="G91" s="32">
        <f t="shared" si="69"/>
        <v>3857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1202.4999999999993</v>
      </c>
      <c r="V91" s="50">
        <f t="shared" ref="V91:V92" si="82">$J$48*$J$37*($D$49*G29+$E$49*H29+$F$49*I29)</f>
        <v>1211.4999999999993</v>
      </c>
      <c r="W91" s="50">
        <f t="shared" ref="W91:W92" si="83">$J$48*$J$37*($D$50*G29+$E$50*H29+$F$50*I29)</f>
        <v>651.49999999999989</v>
      </c>
      <c r="X91" s="29">
        <f t="shared" si="77"/>
        <v>3065.4999999999986</v>
      </c>
    </row>
    <row r="92" spans="1:24">
      <c r="A92" s="87"/>
      <c r="B92" s="48" t="str">
        <f t="shared" si="66"/>
        <v>A</v>
      </c>
      <c r="C92" s="93"/>
      <c r="D92" s="31">
        <f t="shared" si="71"/>
        <v>577.5</v>
      </c>
      <c r="E92" s="31">
        <f t="shared" si="67"/>
        <v>6347</v>
      </c>
      <c r="F92" s="31">
        <f t="shared" si="68"/>
        <v>577.5</v>
      </c>
      <c r="G92" s="32">
        <f t="shared" si="69"/>
        <v>6347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510.5</v>
      </c>
      <c r="V92" s="50">
        <f t="shared" si="82"/>
        <v>577.5</v>
      </c>
      <c r="W92" s="50">
        <f t="shared" si="83"/>
        <v>533.04999999999995</v>
      </c>
      <c r="X92" s="29">
        <f t="shared" si="77"/>
        <v>1621.05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1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6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2.3943289237167775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77.820108695652166</v>
      </c>
      <c r="N3" s="46">
        <v>0</v>
      </c>
      <c r="O3" s="50">
        <f>G$5-N3*G$7</f>
        <v>127.30939440993788</v>
      </c>
      <c r="P3" s="50">
        <f>H$5-N3*H$7</f>
        <v>49.489285714285714</v>
      </c>
      <c r="Q3" s="50">
        <f>I$5-N3*I$7</f>
        <v>60.245502920932395</v>
      </c>
    </row>
    <row r="4" spans="1:17">
      <c r="C4" s="46" t="s">
        <v>20</v>
      </c>
      <c r="D4" s="7">
        <v>515.20000000000005</v>
      </c>
      <c r="E4" s="7">
        <v>1218</v>
      </c>
      <c r="F4" s="7">
        <v>576.29999999999995</v>
      </c>
      <c r="G4" s="50">
        <f>AVERAGE(D4:F4)</f>
        <v>769.83333333333337</v>
      </c>
      <c r="H4" s="50">
        <f>G4</f>
        <v>769.83333333333337</v>
      </c>
      <c r="I4" s="50">
        <f>H4</f>
        <v>769.83333333333337</v>
      </c>
      <c r="K4" s="13" t="str">
        <f>linefmt("Compensation",B12)</f>
        <v>"Compensation",36,</v>
      </c>
      <c r="M4" s="46">
        <f t="shared" si="0"/>
        <v>75.675197090017917</v>
      </c>
      <c r="N4" s="46">
        <f>N3+1</f>
        <v>1</v>
      </c>
      <c r="O4" s="50">
        <f t="shared" ref="O4:O66" si="1">G$5-N4*G$7</f>
        <v>125.07870498742975</v>
      </c>
      <c r="P4" s="50">
        <f t="shared" ref="P4:P66" si="2">H$5-N4*H$7</f>
        <v>49.403507897411835</v>
      </c>
      <c r="Q4" s="50">
        <f t="shared" ref="Q4:Q66" si="3">I$5-N4*I$7</f>
        <v>59.927450429532691</v>
      </c>
    </row>
    <row r="5" spans="1:17">
      <c r="C5" s="46">
        <v>0</v>
      </c>
      <c r="D5" s="9">
        <v>85.2</v>
      </c>
      <c r="E5" s="9">
        <v>78.3</v>
      </c>
      <c r="F5" s="9">
        <v>45.1</v>
      </c>
      <c r="G5" s="50">
        <f>G$4/D$4*D5</f>
        <v>127.30939440993788</v>
      </c>
      <c r="H5" s="50">
        <f t="shared" ref="H5:I6" si="4">H$4/E$4*E5</f>
        <v>49.489285714285714</v>
      </c>
      <c r="I5" s="50">
        <f t="shared" si="4"/>
        <v>60.245502920932395</v>
      </c>
      <c r="K5" s="14" t="str">
        <f>linefmt("CardGain",J54)</f>
        <v>"CardGain",18.68959,</v>
      </c>
      <c r="M5" s="46">
        <f t="shared" si="0"/>
        <v>73.530285484383654</v>
      </c>
      <c r="N5" s="46">
        <f t="shared" ref="N5:N66" si="5">N4+1</f>
        <v>2</v>
      </c>
      <c r="O5" s="50">
        <f t="shared" si="1"/>
        <v>122.84801556492161</v>
      </c>
      <c r="P5" s="50">
        <f t="shared" si="2"/>
        <v>49.317730080537963</v>
      </c>
      <c r="Q5" s="50">
        <f t="shared" si="3"/>
        <v>59.609397938132979</v>
      </c>
    </row>
    <row r="6" spans="1:17">
      <c r="B6" s="50">
        <f>D5/4</f>
        <v>21.3</v>
      </c>
      <c r="C6" s="7">
        <v>42</v>
      </c>
      <c r="D6" s="9">
        <v>22.5</v>
      </c>
      <c r="E6" s="9">
        <v>72.599999999999994</v>
      </c>
      <c r="F6" s="9">
        <v>35.1</v>
      </c>
      <c r="G6" s="50">
        <f>G$4/D$4*D6</f>
        <v>33.620438664596271</v>
      </c>
      <c r="H6" s="50">
        <f t="shared" si="4"/>
        <v>45.886617405582925</v>
      </c>
      <c r="I6" s="50">
        <f t="shared" si="4"/>
        <v>46.88729828214472</v>
      </c>
      <c r="K6" s="14" t="str">
        <f>linefmt("Range",1,J34,J37)</f>
        <v>"Range",1,0.9949864,0.8426945,</v>
      </c>
      <c r="M6" s="46">
        <f t="shared" si="0"/>
        <v>71.385373878749391</v>
      </c>
      <c r="N6" s="46">
        <f t="shared" si="5"/>
        <v>3</v>
      </c>
      <c r="O6" s="50">
        <f t="shared" si="1"/>
        <v>120.61732614241348</v>
      </c>
      <c r="P6" s="50">
        <f t="shared" si="2"/>
        <v>49.231952263664084</v>
      </c>
      <c r="Q6" s="50">
        <f t="shared" si="3"/>
        <v>59.291345446733274</v>
      </c>
    </row>
    <row r="7" spans="1:17">
      <c r="C7" s="46">
        <f>C5</f>
        <v>0</v>
      </c>
      <c r="D7" s="46">
        <f t="shared" ref="D7:F8" si="6">D$4/D5</f>
        <v>6.046948356807512</v>
      </c>
      <c r="E7" s="46">
        <f t="shared" si="6"/>
        <v>15.555555555555555</v>
      </c>
      <c r="F7" s="46">
        <f t="shared" si="6"/>
        <v>12.778270509977826</v>
      </c>
      <c r="G7" s="49">
        <f>(G5-G6)/($C6-$C5)</f>
        <v>2.2306894225081337</v>
      </c>
      <c r="H7" s="49">
        <f t="shared" ref="H7:I7" si="7">(H5-H6)/($C6-$C5)</f>
        <v>8.5777816873875937E-2</v>
      </c>
      <c r="I7" s="49">
        <f t="shared" si="7"/>
        <v>0.31805249139970659</v>
      </c>
      <c r="K7" s="14" t="str">
        <f>linefmt("CCM" )</f>
        <v>"CCM",</v>
      </c>
      <c r="M7" s="46">
        <f t="shared" si="0"/>
        <v>69.240462273115128</v>
      </c>
      <c r="N7" s="46">
        <f t="shared" si="5"/>
        <v>4</v>
      </c>
      <c r="O7" s="50">
        <f t="shared" si="1"/>
        <v>118.38663671990534</v>
      </c>
      <c r="P7" s="50">
        <f t="shared" si="2"/>
        <v>49.146174446790212</v>
      </c>
      <c r="Q7" s="50">
        <f t="shared" si="3"/>
        <v>58.973292955333569</v>
      </c>
    </row>
    <row r="8" spans="1:17">
      <c r="C8" s="46">
        <f>C6</f>
        <v>42</v>
      </c>
      <c r="D8" s="46">
        <f t="shared" si="6"/>
        <v>22.89777777777778</v>
      </c>
      <c r="E8" s="46">
        <f t="shared" si="6"/>
        <v>16.776859504132233</v>
      </c>
      <c r="F8" s="46">
        <f t="shared" si="6"/>
        <v>16.418803418803417</v>
      </c>
      <c r="K8" s="15" t="str">
        <f>linefmt("",D54,E54,F54)</f>
        <v>0.1636723,1.038499,-0.4799642,</v>
      </c>
      <c r="M8" s="46">
        <f t="shared" si="0"/>
        <v>67.095550667480865</v>
      </c>
      <c r="N8" s="46">
        <f t="shared" si="5"/>
        <v>5</v>
      </c>
      <c r="O8" s="50">
        <f t="shared" si="1"/>
        <v>116.1559472973972</v>
      </c>
      <c r="P8" s="50">
        <f t="shared" si="2"/>
        <v>49.060396629916333</v>
      </c>
      <c r="Q8" s="50">
        <f t="shared" si="3"/>
        <v>58.655240463933865</v>
      </c>
    </row>
    <row r="9" spans="1:17">
      <c r="C9" s="46" t="s">
        <v>23</v>
      </c>
      <c r="D9" s="46">
        <f>(D8-D7)/($C8-$C7)</f>
        <v>0.40121022430881592</v>
      </c>
      <c r="E9" s="46">
        <f>(E8-E7)/($C8-$C7)</f>
        <v>2.9078665442301845E-2</v>
      </c>
      <c r="F9" s="46">
        <f>(F8-F7)/($C8-$C7)</f>
        <v>8.6679354972037881E-2</v>
      </c>
      <c r="K9" s="15" t="str">
        <f>linefmt("",D55,E55,F55)</f>
        <v>2.544865E-02,1,-0.202659,</v>
      </c>
      <c r="M9" s="46">
        <f t="shared" si="0"/>
        <v>64.950639061846601</v>
      </c>
      <c r="N9" s="46">
        <f t="shared" si="5"/>
        <v>6</v>
      </c>
      <c r="O9" s="50">
        <f t="shared" si="1"/>
        <v>113.92525787488907</v>
      </c>
      <c r="P9" s="50">
        <f t="shared" si="2"/>
        <v>48.974618813042461</v>
      </c>
      <c r="Q9" s="50">
        <f t="shared" si="3"/>
        <v>58.337187972534153</v>
      </c>
    </row>
    <row r="10" spans="1:17">
      <c r="K10" s="16" t="str">
        <f>linefmt("",D56,E56,F56)</f>
        <v>-0.4539026,0.3322383,0.9112629,</v>
      </c>
      <c r="M10" s="46">
        <f t="shared" si="0"/>
        <v>62.805727456212367</v>
      </c>
      <c r="N10" s="46">
        <f t="shared" si="5"/>
        <v>7</v>
      </c>
      <c r="O10" s="50">
        <f t="shared" si="1"/>
        <v>111.69456845238095</v>
      </c>
      <c r="P10" s="50">
        <f t="shared" si="2"/>
        <v>48.888840996168582</v>
      </c>
      <c r="Q10" s="50">
        <f t="shared" si="3"/>
        <v>58.019135481134448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60.660815850578111</v>
      </c>
      <c r="N11" s="46">
        <f t="shared" si="5"/>
        <v>8</v>
      </c>
      <c r="O11" s="50">
        <f t="shared" si="1"/>
        <v>109.46387902987281</v>
      </c>
      <c r="P11" s="50">
        <f t="shared" si="2"/>
        <v>48.803063179294703</v>
      </c>
      <c r="Q11" s="50">
        <f t="shared" si="3"/>
        <v>57.701082989734743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58.515904244943847</v>
      </c>
      <c r="N12" s="46">
        <f t="shared" si="5"/>
        <v>9</v>
      </c>
      <c r="O12" s="50">
        <f t="shared" si="1"/>
        <v>107.23318960736468</v>
      </c>
      <c r="P12" s="50">
        <f t="shared" si="2"/>
        <v>48.717285362420832</v>
      </c>
      <c r="Q12" s="50">
        <f t="shared" si="3"/>
        <v>57.383030498335039</v>
      </c>
    </row>
    <row r="13" spans="1:17">
      <c r="A13" s="78" t="s">
        <v>12</v>
      </c>
      <c r="B13" s="79" t="s">
        <v>0</v>
      </c>
      <c r="C13" s="46">
        <v>0</v>
      </c>
      <c r="D13" s="7">
        <v>558.1</v>
      </c>
      <c r="E13" s="7">
        <v>517.79999999999995</v>
      </c>
      <c r="F13" s="7">
        <v>157.19999999999999</v>
      </c>
      <c r="G13" s="8">
        <v>84.3</v>
      </c>
      <c r="H13" s="8">
        <v>33.799999999999997</v>
      </c>
      <c r="I13" s="8">
        <v>40.1</v>
      </c>
      <c r="M13" s="46">
        <f t="shared" si="0"/>
        <v>56.370992639309591</v>
      </c>
      <c r="N13" s="46">
        <f t="shared" si="5"/>
        <v>10</v>
      </c>
      <c r="O13" s="50">
        <f t="shared" si="1"/>
        <v>105.00250018485654</v>
      </c>
      <c r="P13" s="50">
        <f t="shared" si="2"/>
        <v>48.631507545546953</v>
      </c>
      <c r="Q13" s="50">
        <f t="shared" si="3"/>
        <v>57.064978006935327</v>
      </c>
    </row>
    <row r="14" spans="1:17">
      <c r="A14" s="78"/>
      <c r="B14" s="79"/>
      <c r="C14" s="46">
        <f>C13+1</f>
        <v>1</v>
      </c>
      <c r="D14" s="7">
        <v>562.4</v>
      </c>
      <c r="E14" s="7">
        <v>521.70000000000005</v>
      </c>
      <c r="F14" s="7">
        <v>156.30000000000001</v>
      </c>
      <c r="G14" s="8">
        <v>84.5</v>
      </c>
      <c r="H14" s="8">
        <v>34.299999999999997</v>
      </c>
      <c r="I14" s="8">
        <v>40.5</v>
      </c>
      <c r="M14" s="46">
        <f t="shared" si="0"/>
        <v>54.226081033675328</v>
      </c>
      <c r="N14" s="46">
        <f t="shared" si="5"/>
        <v>11</v>
      </c>
      <c r="O14" s="50">
        <f t="shared" si="1"/>
        <v>102.77181076234841</v>
      </c>
      <c r="P14" s="50">
        <f t="shared" si="2"/>
        <v>48.545729728673081</v>
      </c>
      <c r="Q14" s="50">
        <f t="shared" si="3"/>
        <v>56.746925515535622</v>
      </c>
    </row>
    <row r="15" spans="1:17">
      <c r="A15" s="78"/>
      <c r="B15" s="79"/>
      <c r="C15" s="46">
        <f>C14+1</f>
        <v>2</v>
      </c>
      <c r="D15" s="6">
        <f>2*(D13-D14)/(D13+D14)</f>
        <v>-7.6751450245425333E-3</v>
      </c>
      <c r="E15" s="6">
        <f t="shared" ref="E15:F15" si="8">2*(E13-E14)/(E13+E14)</f>
        <v>-7.5036075036076788E-3</v>
      </c>
      <c r="F15" s="6">
        <f t="shared" si="8"/>
        <v>5.7416267942582283E-3</v>
      </c>
      <c r="G15" s="8">
        <v>108.9</v>
      </c>
      <c r="H15" s="8">
        <v>39.6</v>
      </c>
      <c r="I15" s="8">
        <v>47.7</v>
      </c>
      <c r="M15" s="46">
        <f t="shared" si="0"/>
        <v>52.081169428041072</v>
      </c>
      <c r="N15" s="46">
        <f t="shared" si="5"/>
        <v>12</v>
      </c>
      <c r="O15" s="50">
        <f t="shared" si="1"/>
        <v>100.54112133984027</v>
      </c>
      <c r="P15" s="50">
        <f t="shared" si="2"/>
        <v>48.459951911799202</v>
      </c>
      <c r="Q15" s="50">
        <f t="shared" si="3"/>
        <v>56.428873024135918</v>
      </c>
    </row>
    <row r="16" spans="1:17">
      <c r="A16" s="78"/>
      <c r="B16" s="79" t="s">
        <v>1</v>
      </c>
      <c r="C16" s="46">
        <f>C13</f>
        <v>0</v>
      </c>
      <c r="D16" s="7">
        <v>1206</v>
      </c>
      <c r="E16" s="7">
        <v>1215</v>
      </c>
      <c r="F16" s="7">
        <v>650</v>
      </c>
      <c r="G16" s="8">
        <v>64.599999999999994</v>
      </c>
      <c r="H16" s="8">
        <v>73.3</v>
      </c>
      <c r="I16" s="8">
        <v>43.9</v>
      </c>
      <c r="M16" s="46">
        <f t="shared" si="0"/>
        <v>49.936257822406809</v>
      </c>
      <c r="N16" s="46">
        <f t="shared" si="5"/>
        <v>13</v>
      </c>
      <c r="O16" s="50">
        <f t="shared" si="1"/>
        <v>98.310431917332139</v>
      </c>
      <c r="P16" s="50">
        <f t="shared" si="2"/>
        <v>48.37417409492533</v>
      </c>
      <c r="Q16" s="50">
        <f t="shared" si="3"/>
        <v>56.110820532736213</v>
      </c>
    </row>
    <row r="17" spans="1:21">
      <c r="A17" s="78"/>
      <c r="B17" s="79"/>
      <c r="C17" s="46">
        <f t="shared" ref="C17:C21" si="9">C14</f>
        <v>1</v>
      </c>
      <c r="D17" s="7">
        <v>1207</v>
      </c>
      <c r="E17" s="7">
        <v>1216</v>
      </c>
      <c r="F17" s="7">
        <v>649</v>
      </c>
      <c r="G17" s="8">
        <v>64.599999999999994</v>
      </c>
      <c r="H17" s="8">
        <v>73</v>
      </c>
      <c r="I17" s="8">
        <v>44.3</v>
      </c>
      <c r="M17" s="46">
        <f t="shared" si="0"/>
        <v>47.791346216772553</v>
      </c>
      <c r="N17" s="46">
        <f t="shared" si="5"/>
        <v>14</v>
      </c>
      <c r="O17" s="50">
        <f t="shared" si="1"/>
        <v>96.079742494824004</v>
      </c>
      <c r="P17" s="50">
        <f t="shared" si="2"/>
        <v>48.288396278051451</v>
      </c>
      <c r="Q17" s="50">
        <f t="shared" si="3"/>
        <v>55.792768041336501</v>
      </c>
    </row>
    <row r="18" spans="1:21">
      <c r="A18" s="78"/>
      <c r="B18" s="79"/>
      <c r="C18" s="46">
        <f t="shared" si="9"/>
        <v>2</v>
      </c>
      <c r="D18" s="6">
        <f>2*(D16-D17)/(D16+D17)</f>
        <v>-8.2884376295068376E-4</v>
      </c>
      <c r="E18" s="6">
        <f t="shared" ref="E18:F18" si="10">2*(E16-E17)/(E16+E17)</f>
        <v>-8.2270670505964628E-4</v>
      </c>
      <c r="F18" s="6">
        <f t="shared" si="10"/>
        <v>1.539645881447267E-3</v>
      </c>
      <c r="G18" s="8">
        <v>74.7</v>
      </c>
      <c r="H18" s="8">
        <v>84</v>
      </c>
      <c r="I18" s="8">
        <v>51.1</v>
      </c>
      <c r="M18" s="46">
        <f t="shared" si="0"/>
        <v>45.646434611138311</v>
      </c>
      <c r="N18" s="46">
        <f t="shared" si="5"/>
        <v>15</v>
      </c>
      <c r="O18" s="50">
        <f t="shared" si="1"/>
        <v>93.849053072315883</v>
      </c>
      <c r="P18" s="50">
        <f t="shared" si="2"/>
        <v>48.202618461177572</v>
      </c>
      <c r="Q18" s="50">
        <f t="shared" si="3"/>
        <v>55.474715549936796</v>
      </c>
    </row>
    <row r="19" spans="1:21">
      <c r="A19" s="78"/>
      <c r="B19" s="79" t="s">
        <v>2</v>
      </c>
      <c r="C19" s="46">
        <f t="shared" si="9"/>
        <v>0</v>
      </c>
      <c r="D19" s="7">
        <v>510.1</v>
      </c>
      <c r="E19" s="7">
        <v>577.29999999999995</v>
      </c>
      <c r="F19" s="7">
        <v>534.79999999999995</v>
      </c>
      <c r="G19" s="8">
        <v>28.1</v>
      </c>
      <c r="H19" s="8">
        <v>36.6</v>
      </c>
      <c r="I19" s="8">
        <v>31.9</v>
      </c>
      <c r="M19" s="46">
        <f t="shared" si="0"/>
        <v>43.501523005504048</v>
      </c>
      <c r="N19" s="46">
        <f t="shared" si="5"/>
        <v>16</v>
      </c>
      <c r="O19" s="50">
        <f t="shared" si="1"/>
        <v>91.618363649807748</v>
      </c>
      <c r="P19" s="50">
        <f t="shared" si="2"/>
        <v>48.1168406443037</v>
      </c>
      <c r="Q19" s="50">
        <f t="shared" si="3"/>
        <v>55.156663058537092</v>
      </c>
    </row>
    <row r="20" spans="1:21">
      <c r="A20" s="78"/>
      <c r="B20" s="79"/>
      <c r="C20" s="46">
        <f t="shared" si="9"/>
        <v>1</v>
      </c>
      <c r="D20" s="7">
        <v>511.5</v>
      </c>
      <c r="E20" s="7">
        <v>578.5</v>
      </c>
      <c r="F20" s="7">
        <v>534.9</v>
      </c>
      <c r="G20" s="8">
        <v>28.5</v>
      </c>
      <c r="H20" s="8">
        <v>36.9</v>
      </c>
      <c r="I20" s="8">
        <v>32.200000000000003</v>
      </c>
      <c r="M20" s="46">
        <f t="shared" si="0"/>
        <v>41.356611399869792</v>
      </c>
      <c r="N20" s="46">
        <f t="shared" si="5"/>
        <v>17</v>
      </c>
      <c r="O20" s="50">
        <f t="shared" si="1"/>
        <v>89.387674227299613</v>
      </c>
      <c r="P20" s="50">
        <f t="shared" si="2"/>
        <v>48.031062827429821</v>
      </c>
      <c r="Q20" s="50">
        <f t="shared" si="3"/>
        <v>54.83861056713738</v>
      </c>
    </row>
    <row r="21" spans="1:21">
      <c r="A21" s="78"/>
      <c r="B21" s="79"/>
      <c r="C21" s="46">
        <f t="shared" si="9"/>
        <v>2</v>
      </c>
      <c r="D21" s="6">
        <f>2*(D19-D20)/(D19+D20)</f>
        <v>-2.7407987470633851E-3</v>
      </c>
      <c r="E21" s="6">
        <f t="shared" ref="E21:F21" si="11">2*(E19-E20)/(E19+E20)</f>
        <v>-2.0764838207303089E-3</v>
      </c>
      <c r="F21" s="6">
        <f t="shared" si="11"/>
        <v>-1.8696830887168881E-4</v>
      </c>
      <c r="G21" s="8">
        <v>31.8</v>
      </c>
      <c r="H21" s="8">
        <v>43.4</v>
      </c>
      <c r="I21" s="8">
        <v>36.9</v>
      </c>
      <c r="M21" s="46">
        <f t="shared" si="0"/>
        <v>39.211699794235528</v>
      </c>
      <c r="N21" s="46">
        <f t="shared" si="5"/>
        <v>18</v>
      </c>
      <c r="O21" s="50">
        <f t="shared" si="1"/>
        <v>87.156984804791477</v>
      </c>
      <c r="P21" s="50">
        <f t="shared" si="2"/>
        <v>47.945285010555949</v>
      </c>
      <c r="Q21" s="50">
        <f t="shared" si="3"/>
        <v>54.520558075737675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560.25</v>
      </c>
      <c r="E22" s="46">
        <f t="shared" ref="E22:F22" si="12">(E13+E14)/2</f>
        <v>519.75</v>
      </c>
      <c r="F22" s="46">
        <f t="shared" si="12"/>
        <v>156.75</v>
      </c>
      <c r="G22" s="5">
        <f>G13</f>
        <v>84.3</v>
      </c>
      <c r="H22" s="5">
        <f t="shared" ref="H22:I22" si="13">H13</f>
        <v>33.799999999999997</v>
      </c>
      <c r="I22" s="5">
        <f t="shared" si="13"/>
        <v>40.1</v>
      </c>
      <c r="J22" s="99">
        <f>AVERAGE(G22:I24)</f>
        <v>48.511111111111106</v>
      </c>
      <c r="M22" s="46">
        <f t="shared" si="0"/>
        <v>37.066788188601272</v>
      </c>
      <c r="N22" s="46">
        <f t="shared" si="5"/>
        <v>19</v>
      </c>
      <c r="O22" s="50">
        <f t="shared" si="1"/>
        <v>84.926295382283342</v>
      </c>
      <c r="P22" s="50">
        <f t="shared" si="2"/>
        <v>47.85950719368207</v>
      </c>
      <c r="Q22" s="50">
        <f t="shared" si="3"/>
        <v>54.20250558433797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1206.5</v>
      </c>
      <c r="E23" s="46">
        <f>(E16+E17)/2</f>
        <v>1215.5</v>
      </c>
      <c r="F23" s="46">
        <f>(F16+F17)/2</f>
        <v>649.5</v>
      </c>
      <c r="G23" s="5">
        <f>G16</f>
        <v>64.599999999999994</v>
      </c>
      <c r="H23" s="5">
        <f>H16</f>
        <v>73.3</v>
      </c>
      <c r="I23" s="5">
        <f>I16</f>
        <v>43.9</v>
      </c>
      <c r="J23" s="99"/>
      <c r="M23" s="46">
        <f t="shared" si="0"/>
        <v>34.921876582967009</v>
      </c>
      <c r="N23" s="46">
        <f t="shared" si="5"/>
        <v>20</v>
      </c>
      <c r="O23" s="50">
        <f t="shared" si="1"/>
        <v>82.695605959775207</v>
      </c>
      <c r="P23" s="50">
        <f t="shared" si="2"/>
        <v>47.773729376808198</v>
      </c>
      <c r="Q23" s="50">
        <f t="shared" si="3"/>
        <v>53.884453092938266</v>
      </c>
    </row>
    <row r="24" spans="1:21">
      <c r="A24" s="78"/>
      <c r="B24" s="46" t="str">
        <f>B19</f>
        <v>D65</v>
      </c>
      <c r="C24" s="79"/>
      <c r="D24" s="46">
        <f>(D19+D20)/2</f>
        <v>510.8</v>
      </c>
      <c r="E24" s="46">
        <f>(E19+E20)/2</f>
        <v>577.9</v>
      </c>
      <c r="F24" s="46">
        <f>(F19+F20)/2</f>
        <v>534.84999999999991</v>
      </c>
      <c r="G24" s="5">
        <f>G19</f>
        <v>28.1</v>
      </c>
      <c r="H24" s="5">
        <f>H19</f>
        <v>36.6</v>
      </c>
      <c r="I24" s="5">
        <f>I19</f>
        <v>31.9</v>
      </c>
      <c r="J24" s="99"/>
      <c r="M24" s="46">
        <f t="shared" si="0"/>
        <v>32.776964977332753</v>
      </c>
      <c r="N24" s="46">
        <f t="shared" si="5"/>
        <v>21</v>
      </c>
      <c r="O24" s="50">
        <f t="shared" si="1"/>
        <v>80.464916537267072</v>
      </c>
      <c r="P24" s="50">
        <f t="shared" si="2"/>
        <v>47.687951559934319</v>
      </c>
      <c r="Q24" s="50">
        <f t="shared" si="3"/>
        <v>53.566400601538554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560.25</v>
      </c>
      <c r="E25" s="46">
        <f t="shared" ref="E25:F25" si="15">(E13+E14)/2</f>
        <v>519.75</v>
      </c>
      <c r="F25" s="46">
        <f t="shared" si="15"/>
        <v>156.75</v>
      </c>
      <c r="G25" s="5">
        <f t="shared" ref="G25:I25" si="16">G14</f>
        <v>84.5</v>
      </c>
      <c r="H25" s="5">
        <f t="shared" si="16"/>
        <v>34.299999999999997</v>
      </c>
      <c r="I25" s="5">
        <f t="shared" si="16"/>
        <v>40.5</v>
      </c>
      <c r="J25" s="99">
        <f>AVERAGE(G25:I27)</f>
        <v>48.755555555555553</v>
      </c>
      <c r="M25" s="46">
        <f t="shared" si="0"/>
        <v>30.632053371698497</v>
      </c>
      <c r="N25" s="46">
        <f t="shared" si="5"/>
        <v>22</v>
      </c>
      <c r="O25" s="50">
        <f t="shared" si="1"/>
        <v>78.234227114758937</v>
      </c>
      <c r="P25" s="50">
        <f t="shared" si="2"/>
        <v>47.60217374306044</v>
      </c>
      <c r="Q25" s="50">
        <f t="shared" si="3"/>
        <v>53.248348110138849</v>
      </c>
    </row>
    <row r="26" spans="1:21">
      <c r="A26" s="78"/>
      <c r="B26" s="46" t="str">
        <f>B16</f>
        <v>CWF</v>
      </c>
      <c r="C26" s="79"/>
      <c r="D26" s="46">
        <f>(D16+D17)/2</f>
        <v>1206.5</v>
      </c>
      <c r="E26" s="46">
        <f>(E16+E17)/2</f>
        <v>1215.5</v>
      </c>
      <c r="F26" s="46">
        <f>(F16+F17)/2</f>
        <v>649.5</v>
      </c>
      <c r="G26" s="5">
        <f>G17</f>
        <v>64.599999999999994</v>
      </c>
      <c r="H26" s="5">
        <f>H17</f>
        <v>73</v>
      </c>
      <c r="I26" s="5">
        <f>I17</f>
        <v>44.3</v>
      </c>
      <c r="J26" s="99"/>
      <c r="M26" s="46">
        <f t="shared" si="0"/>
        <v>28.487141766064234</v>
      </c>
      <c r="N26" s="46">
        <f t="shared" si="5"/>
        <v>23</v>
      </c>
      <c r="O26" s="50">
        <f t="shared" si="1"/>
        <v>76.003537692250802</v>
      </c>
      <c r="P26" s="50">
        <f t="shared" si="2"/>
        <v>47.516395926186568</v>
      </c>
      <c r="Q26" s="50">
        <f t="shared" si="3"/>
        <v>52.930295618739144</v>
      </c>
    </row>
    <row r="27" spans="1:21">
      <c r="A27" s="78"/>
      <c r="B27" s="46" t="str">
        <f>B19</f>
        <v>D65</v>
      </c>
      <c r="C27" s="79"/>
      <c r="D27" s="46">
        <f>(D19+D20)/2</f>
        <v>510.8</v>
      </c>
      <c r="E27" s="46">
        <f>(E19+E20)/2</f>
        <v>577.9</v>
      </c>
      <c r="F27" s="46">
        <f>(F19+F20)/2</f>
        <v>534.84999999999991</v>
      </c>
      <c r="G27" s="5">
        <f>G20</f>
        <v>28.5</v>
      </c>
      <c r="H27" s="5">
        <f>H20</f>
        <v>36.9</v>
      </c>
      <c r="I27" s="5">
        <f>I20</f>
        <v>32.200000000000003</v>
      </c>
      <c r="J27" s="99"/>
      <c r="M27" s="46">
        <f t="shared" si="0"/>
        <v>26.342230160429978</v>
      </c>
      <c r="N27" s="46">
        <f t="shared" si="5"/>
        <v>24</v>
      </c>
      <c r="O27" s="50">
        <f t="shared" si="1"/>
        <v>73.772848269742667</v>
      </c>
      <c r="P27" s="50">
        <f t="shared" si="2"/>
        <v>47.43061810931269</v>
      </c>
      <c r="Q27" s="50">
        <f t="shared" si="3"/>
        <v>52.61224312733944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560.25</v>
      </c>
      <c r="E28" s="46">
        <f t="shared" ref="E28:F28" si="17">(E13+E14)/2</f>
        <v>519.75</v>
      </c>
      <c r="F28" s="46">
        <f t="shared" si="17"/>
        <v>156.75</v>
      </c>
      <c r="G28" s="5">
        <f t="shared" ref="G28:I28" si="18">G15</f>
        <v>108.9</v>
      </c>
      <c r="H28" s="5">
        <f t="shared" si="18"/>
        <v>39.6</v>
      </c>
      <c r="I28" s="5">
        <f t="shared" si="18"/>
        <v>47.7</v>
      </c>
      <c r="J28" s="99">
        <f>AVERAGE(G28:I30)</f>
        <v>57.56666666666667</v>
      </c>
      <c r="M28" s="46">
        <f t="shared" si="0"/>
        <v>24.197318554795714</v>
      </c>
      <c r="N28" s="46">
        <f t="shared" si="5"/>
        <v>25</v>
      </c>
      <c r="O28" s="50">
        <f t="shared" si="1"/>
        <v>71.542158847234532</v>
      </c>
      <c r="P28" s="50">
        <f t="shared" si="2"/>
        <v>47.344840292438818</v>
      </c>
      <c r="Q28" s="50">
        <f t="shared" si="3"/>
        <v>52.294190635939728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1206.5</v>
      </c>
      <c r="E29" s="46">
        <f t="shared" si="20"/>
        <v>1215.5</v>
      </c>
      <c r="F29" s="46">
        <f t="shared" si="20"/>
        <v>649.5</v>
      </c>
      <c r="G29" s="5">
        <f t="shared" ref="G29:I29" si="21">G18</f>
        <v>74.7</v>
      </c>
      <c r="H29" s="5">
        <f t="shared" si="21"/>
        <v>84</v>
      </c>
      <c r="I29" s="5">
        <f t="shared" si="21"/>
        <v>51.1</v>
      </c>
      <c r="J29" s="99"/>
      <c r="M29" s="46">
        <f t="shared" si="0"/>
        <v>22.052406949161458</v>
      </c>
      <c r="N29" s="46">
        <f t="shared" si="5"/>
        <v>26</v>
      </c>
      <c r="O29" s="50">
        <f t="shared" si="1"/>
        <v>69.311469424726397</v>
      </c>
      <c r="P29" s="50">
        <f t="shared" si="2"/>
        <v>47.259062475564939</v>
      </c>
      <c r="Q29" s="50">
        <f t="shared" si="3"/>
        <v>51.976138144540023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510.8</v>
      </c>
      <c r="E30" s="46">
        <f t="shared" si="23"/>
        <v>577.9</v>
      </c>
      <c r="F30" s="46">
        <f t="shared" si="23"/>
        <v>534.84999999999991</v>
      </c>
      <c r="G30" s="5">
        <f t="shared" ref="G30:I30" si="24">G21</f>
        <v>31.8</v>
      </c>
      <c r="H30" s="5">
        <f t="shared" si="24"/>
        <v>43.4</v>
      </c>
      <c r="I30" s="5">
        <f t="shared" si="24"/>
        <v>36.9</v>
      </c>
      <c r="J30" s="99"/>
      <c r="M30" s="46">
        <f t="shared" si="0"/>
        <v>19.907495343527195</v>
      </c>
      <c r="N30" s="46">
        <f t="shared" si="5"/>
        <v>27</v>
      </c>
      <c r="O30" s="50">
        <f t="shared" si="1"/>
        <v>67.080780002218262</v>
      </c>
      <c r="P30" s="50">
        <f t="shared" si="2"/>
        <v>47.173284658691067</v>
      </c>
      <c r="Q30" s="50">
        <f t="shared" si="3"/>
        <v>51.658085653140319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560.25</v>
      </c>
      <c r="E31" s="46">
        <f t="shared" si="25"/>
        <v>519.75</v>
      </c>
      <c r="F31" s="46">
        <f t="shared" si="25"/>
        <v>156.75</v>
      </c>
      <c r="G31" s="5">
        <f t="shared" ref="G31:I33" si="26">G22*$J$31</f>
        <v>84.3</v>
      </c>
      <c r="H31" s="5">
        <f t="shared" si="26"/>
        <v>33.799999999999997</v>
      </c>
      <c r="I31" s="5">
        <f t="shared" si="26"/>
        <v>40.1</v>
      </c>
      <c r="J31" s="96">
        <f>J$22/J22</f>
        <v>1</v>
      </c>
      <c r="M31" s="46">
        <f t="shared" si="0"/>
        <v>17.762583737892939</v>
      </c>
      <c r="N31" s="46">
        <f t="shared" si="5"/>
        <v>28</v>
      </c>
      <c r="O31" s="50">
        <f t="shared" si="1"/>
        <v>64.850090579710127</v>
      </c>
      <c r="P31" s="50">
        <f t="shared" si="2"/>
        <v>47.087506841817188</v>
      </c>
      <c r="Q31" s="50">
        <f t="shared" si="3"/>
        <v>51.340033161740607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1206.5</v>
      </c>
      <c r="E32" s="46">
        <f t="shared" si="27"/>
        <v>1215.5</v>
      </c>
      <c r="F32" s="46">
        <f t="shared" si="27"/>
        <v>649.5</v>
      </c>
      <c r="G32" s="5">
        <f t="shared" si="26"/>
        <v>64.599999999999994</v>
      </c>
      <c r="H32" s="5">
        <f t="shared" si="26"/>
        <v>73.3</v>
      </c>
      <c r="I32" s="5">
        <f t="shared" si="26"/>
        <v>43.9</v>
      </c>
      <c r="J32" s="96"/>
      <c r="M32" s="46">
        <f t="shared" si="0"/>
        <v>15.617672132258697</v>
      </c>
      <c r="N32" s="46">
        <f t="shared" si="5"/>
        <v>29</v>
      </c>
      <c r="O32" s="50">
        <f t="shared" si="1"/>
        <v>62.619401157202006</v>
      </c>
      <c r="P32" s="50">
        <f t="shared" si="2"/>
        <v>47.001729024943309</v>
      </c>
      <c r="Q32" s="50">
        <f t="shared" si="3"/>
        <v>51.021980670340902</v>
      </c>
    </row>
    <row r="33" spans="1:17">
      <c r="A33" s="78"/>
      <c r="B33" s="46" t="str">
        <f t="shared" si="27"/>
        <v>D65</v>
      </c>
      <c r="C33" s="79"/>
      <c r="D33" s="46">
        <f t="shared" si="27"/>
        <v>510.8</v>
      </c>
      <c r="E33" s="46">
        <f t="shared" si="27"/>
        <v>577.9</v>
      </c>
      <c r="F33" s="46">
        <f t="shared" si="27"/>
        <v>534.84999999999991</v>
      </c>
      <c r="G33" s="5">
        <f t="shared" si="26"/>
        <v>28.1</v>
      </c>
      <c r="H33" s="5">
        <f t="shared" si="26"/>
        <v>36.6</v>
      </c>
      <c r="I33" s="5">
        <f t="shared" si="26"/>
        <v>31.9</v>
      </c>
      <c r="J33" s="96"/>
      <c r="M33" s="46">
        <f t="shared" si="0"/>
        <v>13.472760526624434</v>
      </c>
      <c r="N33" s="46">
        <f t="shared" si="5"/>
        <v>30</v>
      </c>
      <c r="O33" s="50">
        <f t="shared" si="1"/>
        <v>60.388711734693871</v>
      </c>
      <c r="P33" s="50">
        <f t="shared" si="2"/>
        <v>46.915951208069437</v>
      </c>
      <c r="Q33" s="50">
        <f t="shared" si="3"/>
        <v>50.703928178941197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560.25</v>
      </c>
      <c r="E34" s="46">
        <f t="shared" si="27"/>
        <v>519.75</v>
      </c>
      <c r="F34" s="46">
        <f t="shared" si="27"/>
        <v>156.75</v>
      </c>
      <c r="G34" s="5">
        <f t="shared" ref="G34:I36" si="28">G25*$J$34</f>
        <v>84.076344576116682</v>
      </c>
      <c r="H34" s="5">
        <f t="shared" si="28"/>
        <v>34.128030993618957</v>
      </c>
      <c r="I34" s="5">
        <f t="shared" si="28"/>
        <v>40.296946216955334</v>
      </c>
      <c r="J34" s="96">
        <f>J$22/J25</f>
        <v>0.99498632634457607</v>
      </c>
      <c r="M34" s="46">
        <f t="shared" si="0"/>
        <v>11.327848920990178</v>
      </c>
      <c r="N34" s="46">
        <f t="shared" si="5"/>
        <v>31</v>
      </c>
      <c r="O34" s="50">
        <f t="shared" si="1"/>
        <v>58.158022312185736</v>
      </c>
      <c r="P34" s="50">
        <f t="shared" si="2"/>
        <v>46.830173391195558</v>
      </c>
      <c r="Q34" s="50">
        <f t="shared" si="3"/>
        <v>50.385875687541493</v>
      </c>
    </row>
    <row r="35" spans="1:17">
      <c r="A35" s="78"/>
      <c r="B35" s="46" t="str">
        <f t="shared" si="27"/>
        <v>CWF</v>
      </c>
      <c r="C35" s="79"/>
      <c r="D35" s="46">
        <f t="shared" si="27"/>
        <v>1206.5</v>
      </c>
      <c r="E35" s="46">
        <f t="shared" si="27"/>
        <v>1215.5</v>
      </c>
      <c r="F35" s="46">
        <f t="shared" si="27"/>
        <v>649.5</v>
      </c>
      <c r="G35" s="5">
        <f t="shared" si="28"/>
        <v>64.276116681859605</v>
      </c>
      <c r="H35" s="5">
        <f t="shared" si="28"/>
        <v>72.634001823154051</v>
      </c>
      <c r="I35" s="5">
        <f t="shared" si="28"/>
        <v>44.07789425706472</v>
      </c>
      <c r="J35" s="96"/>
      <c r="M35" s="46">
        <f t="shared" si="0"/>
        <v>9.1829373153559146</v>
      </c>
      <c r="N35" s="46">
        <f t="shared" si="5"/>
        <v>32</v>
      </c>
      <c r="O35" s="50">
        <f t="shared" si="1"/>
        <v>55.927332889677601</v>
      </c>
      <c r="P35" s="50">
        <f t="shared" si="2"/>
        <v>46.744395574321686</v>
      </c>
      <c r="Q35" s="50">
        <f t="shared" si="3"/>
        <v>50.067823196141788</v>
      </c>
    </row>
    <row r="36" spans="1:17">
      <c r="A36" s="78"/>
      <c r="B36" s="46" t="str">
        <f t="shared" si="27"/>
        <v>D65</v>
      </c>
      <c r="C36" s="79"/>
      <c r="D36" s="46">
        <f t="shared" si="27"/>
        <v>510.8</v>
      </c>
      <c r="E36" s="46">
        <f t="shared" si="27"/>
        <v>577.9</v>
      </c>
      <c r="F36" s="46">
        <f t="shared" si="27"/>
        <v>534.84999999999991</v>
      </c>
      <c r="G36" s="5">
        <f t="shared" si="28"/>
        <v>28.357110300820416</v>
      </c>
      <c r="H36" s="5">
        <f t="shared" si="28"/>
        <v>36.714995442114855</v>
      </c>
      <c r="I36" s="5">
        <f t="shared" si="28"/>
        <v>32.038559708295352</v>
      </c>
      <c r="J36" s="96"/>
      <c r="M36" s="46">
        <f t="shared" si="0"/>
        <v>7.0380257097216585</v>
      </c>
      <c r="N36" s="46">
        <f t="shared" si="5"/>
        <v>33</v>
      </c>
      <c r="O36" s="50">
        <f t="shared" si="1"/>
        <v>53.696643467169466</v>
      </c>
      <c r="P36" s="50">
        <f t="shared" si="2"/>
        <v>46.658617757447807</v>
      </c>
      <c r="Q36" s="50">
        <f t="shared" si="3"/>
        <v>49.749770704742076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560.25</v>
      </c>
      <c r="E37" s="46">
        <f t="shared" si="27"/>
        <v>519.75</v>
      </c>
      <c r="F37" s="46">
        <f t="shared" si="27"/>
        <v>156.75</v>
      </c>
      <c r="G37" s="5">
        <f t="shared" ref="G37:I39" si="29">G28*$J$37</f>
        <v>91.769426751592349</v>
      </c>
      <c r="H37" s="5">
        <f t="shared" si="29"/>
        <v>33.370700636942672</v>
      </c>
      <c r="I37" s="5">
        <f t="shared" si="29"/>
        <v>40.196525767226404</v>
      </c>
      <c r="J37" s="96">
        <f>J$22/J28</f>
        <v>0.84269446052885533</v>
      </c>
      <c r="K37" s="51" t="str">
        <f>CHAR(34) &amp; "EEpromVersion" &amp;CHAR(34)  &amp; ",3,"</f>
        <v>"EEpromVersion",3,</v>
      </c>
      <c r="M37" s="46">
        <f t="shared" si="0"/>
        <v>4.8931141040873953</v>
      </c>
      <c r="N37" s="46">
        <f t="shared" si="5"/>
        <v>34</v>
      </c>
      <c r="O37" s="50">
        <f t="shared" si="1"/>
        <v>51.465954044661331</v>
      </c>
      <c r="P37" s="50">
        <f t="shared" si="2"/>
        <v>46.572839940573935</v>
      </c>
      <c r="Q37" s="50">
        <f t="shared" si="3"/>
        <v>49.431718213342371</v>
      </c>
    </row>
    <row r="38" spans="1:17">
      <c r="A38" s="78"/>
      <c r="B38" s="46" t="str">
        <f t="shared" si="27"/>
        <v>CWF</v>
      </c>
      <c r="C38" s="79"/>
      <c r="D38" s="46">
        <f t="shared" si="27"/>
        <v>1206.5</v>
      </c>
      <c r="E38" s="46">
        <f t="shared" si="27"/>
        <v>1215.5</v>
      </c>
      <c r="F38" s="46">
        <f t="shared" si="27"/>
        <v>649.5</v>
      </c>
      <c r="G38" s="5">
        <f t="shared" si="29"/>
        <v>62.949276201505498</v>
      </c>
      <c r="H38" s="5">
        <f t="shared" si="29"/>
        <v>70.786334684423849</v>
      </c>
      <c r="I38" s="5">
        <f t="shared" si="29"/>
        <v>43.061686933024511</v>
      </c>
      <c r="J38" s="96"/>
      <c r="K38" s="52" t="str">
        <f>K4</f>
        <v>"Compensation",36,</v>
      </c>
      <c r="M38" s="46">
        <f t="shared" si="0"/>
        <v>2.7482024984531392</v>
      </c>
      <c r="N38" s="46">
        <f t="shared" si="5"/>
        <v>35</v>
      </c>
      <c r="O38" s="50">
        <f t="shared" si="1"/>
        <v>49.235264622153196</v>
      </c>
      <c r="P38" s="50">
        <f t="shared" si="2"/>
        <v>46.487062123700056</v>
      </c>
      <c r="Q38" s="50">
        <f t="shared" si="3"/>
        <v>49.113665721942667</v>
      </c>
    </row>
    <row r="39" spans="1:17">
      <c r="A39" s="78"/>
      <c r="B39" s="46" t="str">
        <f t="shared" si="27"/>
        <v>D65</v>
      </c>
      <c r="C39" s="79"/>
      <c r="D39" s="46">
        <f t="shared" si="27"/>
        <v>510.8</v>
      </c>
      <c r="E39" s="46">
        <f t="shared" si="27"/>
        <v>577.9</v>
      </c>
      <c r="F39" s="46">
        <f t="shared" si="27"/>
        <v>534.84999999999991</v>
      </c>
      <c r="G39" s="5">
        <f t="shared" si="29"/>
        <v>26.797683844817598</v>
      </c>
      <c r="H39" s="5">
        <f t="shared" si="29"/>
        <v>36.572939586952323</v>
      </c>
      <c r="I39" s="5">
        <f t="shared" si="29"/>
        <v>31.095425593514761</v>
      </c>
      <c r="J39" s="96"/>
      <c r="K39" s="53" t="str">
        <f>linefmt("CardGain",J42,J45,J48)</f>
        <v>"CardGain",18.01789,18.60261,19.60009,</v>
      </c>
      <c r="M39" s="46">
        <f t="shared" si="0"/>
        <v>2.3943289237167775</v>
      </c>
      <c r="N39" s="46">
        <f t="shared" si="5"/>
        <v>36</v>
      </c>
      <c r="O39" s="50">
        <f t="shared" si="1"/>
        <v>47.00457519964506</v>
      </c>
      <c r="P39" s="50">
        <f t="shared" si="2"/>
        <v>46.401284306826177</v>
      </c>
      <c r="Q39" s="50">
        <f t="shared" si="3"/>
        <v>48.795613230542955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"Range",1,0.9949864,0.8426945,</v>
      </c>
      <c r="M40" s="46">
        <f t="shared" si="0"/>
        <v>3.7036749620063247</v>
      </c>
      <c r="N40" s="46">
        <f t="shared" si="5"/>
        <v>37</v>
      </c>
      <c r="O40" s="50">
        <f t="shared" si="1"/>
        <v>44.773885777136925</v>
      </c>
      <c r="P40" s="50">
        <f t="shared" si="2"/>
        <v>46.315506489952305</v>
      </c>
      <c r="Q40" s="50">
        <f t="shared" si="3"/>
        <v>48.47756073914325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5.6163118931147409</v>
      </c>
      <c r="N41" s="46">
        <f t="shared" si="5"/>
        <v>38</v>
      </c>
      <c r="O41" s="50">
        <f t="shared" si="1"/>
        <v>42.543196354628805</v>
      </c>
      <c r="P41" s="50">
        <f t="shared" si="2"/>
        <v>46.229728673078426</v>
      </c>
      <c r="Q41" s="50">
        <f t="shared" si="3"/>
        <v>48.159508247743545</v>
      </c>
    </row>
    <row r="42" spans="1:17">
      <c r="A42" s="4"/>
      <c r="B42" s="46" t="s">
        <v>3</v>
      </c>
      <c r="C42" s="79">
        <f>C31</f>
        <v>0</v>
      </c>
      <c r="D42" s="46">
        <f>I42/$H$43</f>
        <v>0.16462393884350027</v>
      </c>
      <c r="E42" s="46">
        <f>H42/$H$43</f>
        <v>1.0325575069713129</v>
      </c>
      <c r="F42" s="46">
        <f>G42/$H$43</f>
        <v>-0.4410012436917331</v>
      </c>
      <c r="G42" s="46">
        <f t="array" ref="G42:I42">LINEST($D31:$D33,$G31:$I33,FALSE)</f>
        <v>-7.9459129248260769</v>
      </c>
      <c r="H42" s="46">
        <v>18.604509981846448</v>
      </c>
      <c r="I42" s="46">
        <v>2.9661764044972179</v>
      </c>
      <c r="J42" s="97">
        <f>H43</f>
        <v>18.017892326808031</v>
      </c>
      <c r="K42" s="53" t="str">
        <f t="shared" ref="K42:K50" si="30">linefmt("",D42,E42,F42)</f>
        <v>0.1646239,1.032557,-0.4410012,</v>
      </c>
      <c r="M42" s="46">
        <f t="shared" si="0"/>
        <v>7.5289488242231712</v>
      </c>
      <c r="N42" s="46">
        <f t="shared" si="5"/>
        <v>39</v>
      </c>
      <c r="O42" s="50">
        <f t="shared" si="1"/>
        <v>40.312506932120669</v>
      </c>
      <c r="P42" s="50">
        <f t="shared" si="2"/>
        <v>46.143950856204555</v>
      </c>
      <c r="Q42" s="50">
        <f t="shared" si="3"/>
        <v>47.841455756343841</v>
      </c>
    </row>
    <row r="43" spans="1:17">
      <c r="A43" s="4"/>
      <c r="B43" s="46" t="s">
        <v>4</v>
      </c>
      <c r="C43" s="79"/>
      <c r="D43" s="46">
        <f>I43/$H$43</f>
        <v>1.5030780126109592E-2</v>
      </c>
      <c r="E43" s="46">
        <f>H43/$H$43</f>
        <v>1</v>
      </c>
      <c r="F43" s="46">
        <f>G43/$H$43</f>
        <v>-0.15513138495350712</v>
      </c>
      <c r="G43" s="46">
        <f t="array" ref="G43:I43">LINEST($E31:$E33,$G31:$I33,FALSE)</f>
        <v>-2.7951405906008988</v>
      </c>
      <c r="H43" s="46">
        <v>18.017892326808031</v>
      </c>
      <c r="I43" s="46">
        <v>0.27082297790016868</v>
      </c>
      <c r="J43" s="97"/>
      <c r="K43" s="53" t="str">
        <f t="shared" si="30"/>
        <v>1.503078E-02,1,-0.1551314,</v>
      </c>
      <c r="M43" s="46">
        <f t="shared" si="0"/>
        <v>9.4415857553316016</v>
      </c>
      <c r="N43" s="46">
        <f t="shared" si="5"/>
        <v>40</v>
      </c>
      <c r="O43" s="50">
        <f t="shared" si="1"/>
        <v>38.081817509612534</v>
      </c>
      <c r="P43" s="50">
        <f t="shared" si="2"/>
        <v>46.058173039330676</v>
      </c>
      <c r="Q43" s="50">
        <f t="shared" si="3"/>
        <v>47.523403264944136</v>
      </c>
    </row>
    <row r="44" spans="1:17">
      <c r="A44" s="4"/>
      <c r="B44" s="46" t="s">
        <v>5</v>
      </c>
      <c r="C44" s="79"/>
      <c r="D44" s="46">
        <f>I44/$H$43</f>
        <v>-0.4965272136654425</v>
      </c>
      <c r="E44" s="46">
        <f>H44/$H$43</f>
        <v>0.35196561778526619</v>
      </c>
      <c r="F44" s="46">
        <f>G44/$H$43</f>
        <v>0.96410204285942569</v>
      </c>
      <c r="G44" s="46">
        <f t="array" ref="G44:I44">LINEST($F$31:$F$33,$G31:$I33,FALSE)</f>
        <v>17.371086800296794</v>
      </c>
      <c r="H44" s="46">
        <v>6.3416786039933957</v>
      </c>
      <c r="I44" s="46">
        <v>-8.9463738731539486</v>
      </c>
      <c r="J44" s="97"/>
      <c r="K44" s="53" t="str">
        <f t="shared" si="30"/>
        <v>-0.4965272,0.3519656,0.964102,</v>
      </c>
      <c r="M44" s="46">
        <f t="shared" si="0"/>
        <v>11.354222686440025</v>
      </c>
      <c r="N44" s="46">
        <f t="shared" si="5"/>
        <v>41</v>
      </c>
      <c r="O44" s="50">
        <f t="shared" si="1"/>
        <v>35.851128087104399</v>
      </c>
      <c r="P44" s="50">
        <f t="shared" si="2"/>
        <v>45.972395222456804</v>
      </c>
      <c r="Q44" s="50">
        <f t="shared" si="3"/>
        <v>47.205350773544424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0.16617939018521821</v>
      </c>
      <c r="E45" s="46">
        <f>H45/$H$46</f>
        <v>1.034315598472044</v>
      </c>
      <c r="F45" s="46">
        <f>G45/$H$46</f>
        <v>-0.47532541868988193</v>
      </c>
      <c r="G45" s="46">
        <f t="array" ref="G45:I45">LINEST($D34:$D36,$G34:$I36,FALSE)</f>
        <v>-8.8422916380023473</v>
      </c>
      <c r="H45" s="46">
        <v>19.240965889500892</v>
      </c>
      <c r="I45" s="46">
        <v>3.0913697741920552</v>
      </c>
      <c r="J45" s="97">
        <f>H46</f>
        <v>18.602606320473999</v>
      </c>
      <c r="K45" s="53" t="str">
        <f t="shared" si="30"/>
        <v>0.1661794,1.034316,-0.4753254,</v>
      </c>
      <c r="M45" s="46">
        <f t="shared" si="0"/>
        <v>13.266859617548455</v>
      </c>
      <c r="N45" s="46">
        <f t="shared" si="5"/>
        <v>42</v>
      </c>
      <c r="O45" s="50">
        <f t="shared" si="1"/>
        <v>33.620438664596264</v>
      </c>
      <c r="P45" s="50">
        <f t="shared" si="2"/>
        <v>45.886617405582925</v>
      </c>
      <c r="Q45" s="50">
        <f t="shared" si="3"/>
        <v>46.88729828214472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1.8948327754784985E-2</v>
      </c>
      <c r="E46" s="46">
        <f>H46/$H$46</f>
        <v>1</v>
      </c>
      <c r="F46" s="46">
        <f>G46/$H$46</f>
        <v>-0.19310405638195605</v>
      </c>
      <c r="G46" s="46">
        <f t="array" ref="G46:I46">LINEST($E34:$E36,$G34:$I36,FALSE)</f>
        <v>-3.592238739760143</v>
      </c>
      <c r="H46" s="46">
        <v>18.602606320473999</v>
      </c>
      <c r="I46" s="46">
        <v>0.35248828165357604</v>
      </c>
      <c r="J46" s="97"/>
      <c r="K46" s="53" t="str">
        <f t="shared" si="30"/>
        <v>1.894833E-02,1,-0.1931041,</v>
      </c>
      <c r="M46" s="46">
        <f t="shared" si="0"/>
        <v>15.179496548656886</v>
      </c>
      <c r="N46" s="46">
        <f t="shared" si="5"/>
        <v>43</v>
      </c>
      <c r="O46" s="50">
        <f t="shared" si="1"/>
        <v>31.389749242088129</v>
      </c>
      <c r="P46" s="50">
        <f t="shared" si="2"/>
        <v>45.800839588709046</v>
      </c>
      <c r="Q46" s="50">
        <f t="shared" si="3"/>
        <v>46.569245790745015</v>
      </c>
    </row>
    <row r="47" spans="1:17">
      <c r="A47" s="4"/>
      <c r="B47" s="46" t="str">
        <f t="shared" si="31"/>
        <v>Z</v>
      </c>
      <c r="C47" s="79"/>
      <c r="D47" s="46">
        <f>I47/$H$46</f>
        <v>-0.48678737557851443</v>
      </c>
      <c r="E47" s="46">
        <f>H47/$H$46</f>
        <v>0.34611028277357003</v>
      </c>
      <c r="F47" s="46">
        <f>G47/$H$46</f>
        <v>0.9316209495086053</v>
      </c>
      <c r="G47" s="46">
        <f t="array" ref="G47:I47">LINEST($F$31:$F$33,$G34:$I36,FALSE)</f>
        <v>17.33057776361477</v>
      </c>
      <c r="H47" s="46">
        <v>6.4385533339046566</v>
      </c>
      <c r="I47" s="46">
        <v>-9.0555139096638229</v>
      </c>
      <c r="J47" s="97"/>
      <c r="K47" s="53" t="str">
        <f t="shared" si="30"/>
        <v>-0.4867874,0.3461103,0.931621,</v>
      </c>
      <c r="M47" s="46">
        <f t="shared" si="0"/>
        <v>17.092133479765309</v>
      </c>
      <c r="N47" s="46">
        <f t="shared" si="5"/>
        <v>44</v>
      </c>
      <c r="O47" s="50">
        <f t="shared" si="1"/>
        <v>29.159059819579994</v>
      </c>
      <c r="P47" s="50">
        <f t="shared" si="2"/>
        <v>45.715061771835174</v>
      </c>
      <c r="Q47" s="50">
        <f t="shared" si="3"/>
        <v>46.251193299345303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0.16646304692438052</v>
      </c>
      <c r="E48" s="46">
        <f>H48/$H$49</f>
        <v>1.0509088886111146</v>
      </c>
      <c r="F48" s="46">
        <f>G48/$H$49</f>
        <v>-0.54138353483041501</v>
      </c>
      <c r="G48" s="46">
        <f t="array" ref="G48:I48">LINEST($D37:$D39,$G37:$I39,FALSE)</f>
        <v>-10.611167981309231</v>
      </c>
      <c r="H48" s="46">
        <v>20.59791263063925</v>
      </c>
      <c r="I48" s="46">
        <v>3.2626913083872533</v>
      </c>
      <c r="J48" s="97">
        <f>H49</f>
        <v>19.600093646425936</v>
      </c>
      <c r="K48" s="53" t="str">
        <f t="shared" si="30"/>
        <v>0.166463,1.050909,-0.5413836,</v>
      </c>
      <c r="M48" s="46">
        <f t="shared" si="0"/>
        <v>19.004770410873739</v>
      </c>
      <c r="N48" s="46">
        <f t="shared" si="5"/>
        <v>45</v>
      </c>
      <c r="O48" s="50">
        <f t="shared" si="1"/>
        <v>26.928370397071859</v>
      </c>
      <c r="P48" s="50">
        <f t="shared" si="2"/>
        <v>45.629283954961295</v>
      </c>
      <c r="Q48" s="50">
        <f t="shared" si="3"/>
        <v>45.933140807945598</v>
      </c>
    </row>
    <row r="49" spans="1:24">
      <c r="A49" s="4"/>
      <c r="B49" s="46" t="str">
        <f t="shared" si="31"/>
        <v>Y</v>
      </c>
      <c r="C49" s="79"/>
      <c r="D49" s="46">
        <f>I49/$H$49</f>
        <v>4.0436303760203393E-2</v>
      </c>
      <c r="E49" s="46">
        <f>H49/$H$49</f>
        <v>1</v>
      </c>
      <c r="F49" s="46">
        <f>G49/$H$49</f>
        <v>-0.26280347385718067</v>
      </c>
      <c r="G49" s="46">
        <f t="array" ref="G49:I49">LINEST($E37:$E39,$G37:$I39,FALSE)</f>
        <v>-5.1509726982067914</v>
      </c>
      <c r="H49" s="46">
        <v>19.600093646425936</v>
      </c>
      <c r="I49" s="46">
        <v>0.79255534041531173</v>
      </c>
      <c r="J49" s="97"/>
      <c r="K49" s="53" t="str">
        <f t="shared" si="30"/>
        <v>4.043631E-02,1,-0.2628035,</v>
      </c>
      <c r="M49" s="46">
        <f t="shared" si="0"/>
        <v>20.91740734198217</v>
      </c>
      <c r="N49" s="46">
        <f t="shared" si="5"/>
        <v>46</v>
      </c>
      <c r="O49" s="50">
        <f t="shared" si="1"/>
        <v>24.697680974563724</v>
      </c>
      <c r="P49" s="50">
        <f t="shared" si="2"/>
        <v>45.543506138087423</v>
      </c>
      <c r="Q49" s="50">
        <f t="shared" si="3"/>
        <v>45.615088316545894</v>
      </c>
    </row>
    <row r="50" spans="1:24">
      <c r="A50" s="4"/>
      <c r="B50" s="46" t="str">
        <f t="shared" si="31"/>
        <v>Z</v>
      </c>
      <c r="C50" s="79"/>
      <c r="D50" s="46">
        <f>I50/$H$49</f>
        <v>-0.4066848852599555</v>
      </c>
      <c r="E50" s="46">
        <f>H50/$H$49</f>
        <v>0.29081266757408281</v>
      </c>
      <c r="F50" s="46">
        <f>G50/$H$49</f>
        <v>0.88599764300443595</v>
      </c>
      <c r="G50" s="46">
        <f t="array" ref="G50:I50">LINEST($F$31:$F$33,$G37:$I39,FALSE)</f>
        <v>17.365636773399601</v>
      </c>
      <c r="H50" s="46">
        <v>5.6999555180189585</v>
      </c>
      <c r="I50" s="46">
        <v>-7.9710618356811143</v>
      </c>
      <c r="J50" s="97"/>
      <c r="K50" s="54" t="str">
        <f t="shared" si="30"/>
        <v>-0.4066849,0.2908127,0.8859977,</v>
      </c>
      <c r="M50" s="46">
        <f t="shared" si="0"/>
        <v>22.990736769157955</v>
      </c>
      <c r="N50" s="46">
        <f t="shared" si="5"/>
        <v>47</v>
      </c>
      <c r="O50" s="50">
        <f t="shared" si="1"/>
        <v>22.466991552055589</v>
      </c>
      <c r="P50" s="50">
        <f t="shared" si="2"/>
        <v>45.457728321213544</v>
      </c>
      <c r="Q50" s="50">
        <f t="shared" si="3"/>
        <v>45.297035825146182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0.165755458651033</v>
      </c>
      <c r="E51" s="46">
        <f t="shared" ref="E51:F51" si="32">(E42+E45+E48)/3</f>
        <v>1.0392606646848239</v>
      </c>
      <c r="F51" s="46">
        <f t="shared" si="32"/>
        <v>-0.4859033990706767</v>
      </c>
      <c r="J51" s="97">
        <f>(J42+J45+J48)/3</f>
        <v>18.740197431235988</v>
      </c>
      <c r="M51" s="46">
        <f t="shared" si="0"/>
        <v>25.135648374792211</v>
      </c>
      <c r="N51" s="46">
        <f t="shared" si="5"/>
        <v>48</v>
      </c>
      <c r="O51" s="50">
        <f t="shared" si="1"/>
        <v>20.236302129547454</v>
      </c>
      <c r="P51" s="50">
        <f t="shared" si="2"/>
        <v>45.371950504339665</v>
      </c>
      <c r="Q51" s="50">
        <f t="shared" si="3"/>
        <v>44.978983333746477</v>
      </c>
    </row>
    <row r="52" spans="1:24">
      <c r="B52" s="46" t="str">
        <f t="shared" si="31"/>
        <v>Y</v>
      </c>
      <c r="C52" s="79"/>
      <c r="D52" s="46">
        <f t="shared" ref="D52:F53" si="33">(D43+D46+D49)/3</f>
        <v>2.4805137213699324E-2</v>
      </c>
      <c r="E52" s="46">
        <f t="shared" si="33"/>
        <v>1</v>
      </c>
      <c r="F52" s="46">
        <f t="shared" si="33"/>
        <v>-0.20367963839754796</v>
      </c>
      <c r="J52" s="97"/>
      <c r="M52" s="46">
        <f t="shared" si="0"/>
        <v>27.28055998042646</v>
      </c>
      <c r="N52" s="46">
        <f t="shared" si="5"/>
        <v>49</v>
      </c>
      <c r="O52" s="50">
        <f t="shared" si="1"/>
        <v>18.005612707039333</v>
      </c>
      <c r="P52" s="50">
        <f t="shared" si="2"/>
        <v>45.286172687465793</v>
      </c>
      <c r="Q52" s="50">
        <f t="shared" si="3"/>
        <v>44.660930842346772</v>
      </c>
    </row>
    <row r="53" spans="1:24" ht="15.75" thickBot="1">
      <c r="B53" s="46" t="str">
        <f t="shared" si="31"/>
        <v>Z</v>
      </c>
      <c r="C53" s="79"/>
      <c r="D53" s="46">
        <f t="shared" si="33"/>
        <v>-0.46333315816797088</v>
      </c>
      <c r="E53" s="46">
        <f t="shared" si="33"/>
        <v>0.32962952271097296</v>
      </c>
      <c r="F53" s="46">
        <f t="shared" si="33"/>
        <v>0.92724021179082239</v>
      </c>
      <c r="J53" s="100"/>
      <c r="M53" s="46">
        <f t="shared" si="0"/>
        <v>29.425471586060716</v>
      </c>
      <c r="N53" s="46">
        <f t="shared" si="5"/>
        <v>50</v>
      </c>
      <c r="O53" s="50">
        <f t="shared" si="1"/>
        <v>15.774923284531198</v>
      </c>
      <c r="P53" s="50">
        <f t="shared" si="2"/>
        <v>45.200394870591914</v>
      </c>
      <c r="Q53" s="50">
        <f t="shared" si="3"/>
        <v>44.342878350947068</v>
      </c>
    </row>
    <row r="54" spans="1:24">
      <c r="B54" s="79" t="s">
        <v>14</v>
      </c>
      <c r="C54" s="79"/>
      <c r="D54" s="19">
        <f>I54/$H$55</f>
        <v>0.16367230092035115</v>
      </c>
      <c r="E54" s="20">
        <f>H54/$H$55</f>
        <v>1.0384987198364468</v>
      </c>
      <c r="F54" s="21">
        <f>G54/$H$55</f>
        <v>-0.47996418906891886</v>
      </c>
      <c r="G54" s="46">
        <f t="array" ref="G54:I54">LINEST(D$31:D$39,$G$31:$I$39,FALSE)</f>
        <v>-8.970336254901996</v>
      </c>
      <c r="H54" s="46">
        <v>19.409120366437453</v>
      </c>
      <c r="I54" s="46">
        <v>3.0589689987438513</v>
      </c>
      <c r="J54" s="98">
        <f>H55</f>
        <v>18.689594888951039</v>
      </c>
      <c r="M54" s="46">
        <f t="shared" si="0"/>
        <v>31.57038319169498</v>
      </c>
      <c r="N54" s="46">
        <f t="shared" si="5"/>
        <v>51</v>
      </c>
      <c r="O54" s="50">
        <f t="shared" si="1"/>
        <v>13.544233862023063</v>
      </c>
      <c r="P54" s="50">
        <f t="shared" si="2"/>
        <v>45.114617053718042</v>
      </c>
      <c r="Q54" s="50">
        <f t="shared" si="3"/>
        <v>44.024825859547363</v>
      </c>
    </row>
    <row r="55" spans="1:24" ht="15" customHeight="1">
      <c r="B55" s="79"/>
      <c r="C55" s="79"/>
      <c r="D55" s="22">
        <f>I55/$H$55</f>
        <v>2.5448646994633412E-2</v>
      </c>
      <c r="E55" s="18">
        <f>H55/$H$55</f>
        <v>1</v>
      </c>
      <c r="F55" s="23">
        <f>G55/$H$55</f>
        <v>-0.20265896036220185</v>
      </c>
      <c r="G55" s="46">
        <f t="array" ref="G55:I55">LINEST(E$31:E$39,$G$31:$I$39,FALSE)</f>
        <v>-3.787613869785539</v>
      </c>
      <c r="H55" s="46">
        <v>18.689594888951039</v>
      </c>
      <c r="I55" s="46">
        <v>0.47562490280161984</v>
      </c>
      <c r="J55" s="98"/>
      <c r="M55" s="46">
        <f t="shared" si="0"/>
        <v>33.715294797329236</v>
      </c>
      <c r="N55" s="46">
        <f t="shared" si="5"/>
        <v>52</v>
      </c>
      <c r="O55" s="50">
        <f t="shared" si="1"/>
        <v>11.313544439514928</v>
      </c>
      <c r="P55" s="50">
        <f t="shared" si="2"/>
        <v>45.028839236844163</v>
      </c>
      <c r="Q55" s="50">
        <f t="shared" si="3"/>
        <v>43.706773368147651</v>
      </c>
    </row>
    <row r="56" spans="1:24" ht="15" customHeight="1" thickBot="1">
      <c r="B56" s="79"/>
      <c r="C56" s="79"/>
      <c r="D56" s="24">
        <f>I56/$H$55</f>
        <v>-0.45390262308489604</v>
      </c>
      <c r="E56" s="25">
        <f>H56/$H$55</f>
        <v>0.33223825328083156</v>
      </c>
      <c r="F56" s="26">
        <f>G56/$H$55</f>
        <v>0.91126291427437933</v>
      </c>
      <c r="G56" s="46">
        <f t="array" ref="G56:I56">LINEST(F$31:F$39,$G$31:$I$39,FALSE)</f>
        <v>17.031134705113068</v>
      </c>
      <c r="H56" s="46">
        <v>6.2093983604314502</v>
      </c>
      <c r="I56" s="46">
        <v>-8.4832561444889425</v>
      </c>
      <c r="J56" s="98"/>
      <c r="M56" s="46">
        <f t="shared" si="0"/>
        <v>35.860206402963499</v>
      </c>
      <c r="N56" s="46">
        <f t="shared" si="5"/>
        <v>53</v>
      </c>
      <c r="O56" s="50">
        <f t="shared" si="1"/>
        <v>9.0828550170067928</v>
      </c>
      <c r="P56" s="50">
        <f t="shared" si="2"/>
        <v>44.943061419970292</v>
      </c>
      <c r="Q56" s="50">
        <f t="shared" si="3"/>
        <v>43.388720876747946</v>
      </c>
    </row>
    <row r="57" spans="1:24">
      <c r="M57" s="46">
        <f t="shared" si="0"/>
        <v>38.005118008597755</v>
      </c>
      <c r="N57" s="46">
        <f t="shared" si="5"/>
        <v>54</v>
      </c>
      <c r="O57" s="50">
        <f t="shared" si="1"/>
        <v>6.8521655944986577</v>
      </c>
      <c r="P57" s="50">
        <f t="shared" si="2"/>
        <v>44.857283603096413</v>
      </c>
      <c r="Q57" s="50">
        <f t="shared" si="3"/>
        <v>43.070668385348242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40.150029614232011</v>
      </c>
      <c r="N58" s="46">
        <f t="shared" si="5"/>
        <v>55</v>
      </c>
      <c r="O58" s="50">
        <f t="shared" si="1"/>
        <v>4.6214761719905226</v>
      </c>
      <c r="P58" s="50">
        <f t="shared" si="2"/>
        <v>44.771505786222534</v>
      </c>
      <c r="Q58" s="50">
        <f t="shared" si="3"/>
        <v>42.75261589394853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42.294941219866274</v>
      </c>
      <c r="N59" s="46">
        <f t="shared" si="5"/>
        <v>56</v>
      </c>
      <c r="O59" s="50">
        <f t="shared" si="1"/>
        <v>2.3907867494823876</v>
      </c>
      <c r="P59" s="50">
        <f t="shared" si="2"/>
        <v>44.685727969348662</v>
      </c>
      <c r="Q59" s="50">
        <f t="shared" si="3"/>
        <v>42.434563402548825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519.75</v>
      </c>
      <c r="E60" s="32">
        <f t="shared" ref="E60:E68" si="37">getCCTfromXY(D22/SUM(D22:F22),E22/SUM(D22:F22))</f>
        <v>2880</v>
      </c>
      <c r="F60" s="31">
        <f t="shared" ref="F60:F68" si="38">V60</f>
        <v>519.92017037432151</v>
      </c>
      <c r="G60" s="32">
        <f t="shared" ref="G60:G68" si="39">getCCTfromXY(U60/X60,V60/X60)</f>
        <v>3003</v>
      </c>
      <c r="H60" s="33">
        <f>F60/D60-1</f>
        <v>3.274081276027907E-4</v>
      </c>
      <c r="I60" s="34">
        <f t="shared" ref="I60:I68" si="40">G60/E60-1</f>
        <v>4.2708333333333348E-2</v>
      </c>
      <c r="M60" s="46">
        <f t="shared" si="0"/>
        <v>44.43985282550053</v>
      </c>
      <c r="N60" s="46">
        <f t="shared" si="5"/>
        <v>57</v>
      </c>
      <c r="O60" s="50">
        <f t="shared" si="1"/>
        <v>0.1600973269742525</v>
      </c>
      <c r="P60" s="50">
        <f t="shared" si="2"/>
        <v>44.599950152474783</v>
      </c>
      <c r="Q60" s="50">
        <f t="shared" si="3"/>
        <v>42.11651091114912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554.18887115812254</v>
      </c>
      <c r="V60" s="50">
        <f>$J$54*$J$31*($D$55*G22+$E$55*H22+$F$55*I22)</f>
        <v>519.92017037432151</v>
      </c>
      <c r="W60" s="50">
        <f>$J$54*$J$31*($D$56*G22+$E$56*H22+$F$56*I22)</f>
        <v>177.68767327719911</v>
      </c>
      <c r="X60" s="29">
        <f>SUM(U60:W60)</f>
        <v>1251.7967148096432</v>
      </c>
    </row>
    <row r="61" spans="1:24">
      <c r="A61" s="87"/>
      <c r="B61" s="48" t="str">
        <f t="shared" si="35"/>
        <v>CWF</v>
      </c>
      <c r="C61" s="93"/>
      <c r="D61" s="31">
        <f t="shared" si="36"/>
        <v>1215.5</v>
      </c>
      <c r="E61" s="32">
        <f t="shared" si="37"/>
        <v>3848</v>
      </c>
      <c r="F61" s="31">
        <f t="shared" si="38"/>
        <v>1234.3964251975106</v>
      </c>
      <c r="G61" s="32">
        <f t="shared" si="39"/>
        <v>3831</v>
      </c>
      <c r="H61" s="33">
        <f t="shared" ref="H61:H68" si="41">F61/D61-1</f>
        <v>1.5546215711649936E-2</v>
      </c>
      <c r="I61" s="34">
        <f t="shared" si="40"/>
        <v>-4.4178794178794112E-3</v>
      </c>
      <c r="M61" s="46">
        <f t="shared" si="0"/>
        <v>46.584764431134779</v>
      </c>
      <c r="N61" s="46">
        <f t="shared" si="5"/>
        <v>58</v>
      </c>
      <c r="O61" s="50">
        <f t="shared" si="1"/>
        <v>-2.0705920955338684</v>
      </c>
      <c r="P61" s="50">
        <f t="shared" si="2"/>
        <v>44.514172335600911</v>
      </c>
      <c r="Q61" s="50">
        <f t="shared" si="3"/>
        <v>41.798458419749409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1226.5001585885204</v>
      </c>
      <c r="V61" s="50">
        <f>$J$54*$J$31*($D$55*G23+$E$55*H23+$F$55*I23)</f>
        <v>1234.3964251975106</v>
      </c>
      <c r="W61" s="50">
        <f>$J$54*$J$31*($D$56*G23+$E$56*H23+$F$56*I23)</f>
        <v>654.79736644010336</v>
      </c>
      <c r="X61" s="29">
        <f t="shared" ref="X61:X68" si="43">SUM(U61:W61)</f>
        <v>3115.6939502261343</v>
      </c>
    </row>
    <row r="62" spans="1:24">
      <c r="A62" s="87"/>
      <c r="B62" s="48" t="str">
        <f t="shared" si="35"/>
        <v>D65</v>
      </c>
      <c r="C62" s="93"/>
      <c r="D62" s="31">
        <f t="shared" si="36"/>
        <v>577.9</v>
      </c>
      <c r="E62" s="32">
        <f t="shared" si="37"/>
        <v>6362</v>
      </c>
      <c r="F62" s="31">
        <f t="shared" si="38"/>
        <v>576.57935025817494</v>
      </c>
      <c r="G62" s="32">
        <f t="shared" si="39"/>
        <v>6338</v>
      </c>
      <c r="H62" s="33">
        <f t="shared" si="41"/>
        <v>-2.2852565181260553E-3</v>
      </c>
      <c r="I62" s="34">
        <f t="shared" si="40"/>
        <v>-3.7723986167871315E-3</v>
      </c>
      <c r="M62" s="46">
        <f t="shared" si="0"/>
        <v>48.729676036769035</v>
      </c>
      <c r="N62" s="46">
        <f t="shared" si="5"/>
        <v>59</v>
      </c>
      <c r="O62" s="50">
        <f t="shared" si="1"/>
        <v>-4.3012815180420034</v>
      </c>
      <c r="P62" s="50">
        <f t="shared" si="2"/>
        <v>44.428394518727032</v>
      </c>
      <c r="Q62" s="50">
        <f t="shared" si="3"/>
        <v>41.480405928349711</v>
      </c>
      <c r="R62" s="78"/>
      <c r="S62" s="46" t="str">
        <f t="shared" si="42"/>
        <v>D65</v>
      </c>
      <c r="T62" s="79"/>
      <c r="U62" s="50">
        <f>$J$54*$J$31*($D$54*G24+$E$54*H24+$F$54*I24)</f>
        <v>510.17710774493935</v>
      </c>
      <c r="V62" s="50">
        <f>$J$54*$J$31*($D$55*G24+$E$55*H24+$F$55*I24)</f>
        <v>576.57935025817494</v>
      </c>
      <c r="W62" s="50">
        <f>$J$54*$J$31*($D$56*G24+$E$56*H24+$F$56*I24)</f>
        <v>532.17767942475859</v>
      </c>
      <c r="X62" s="29">
        <f t="shared" si="43"/>
        <v>1618.9341374278729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519.75</v>
      </c>
      <c r="E63" s="32">
        <f t="shared" si="37"/>
        <v>2880</v>
      </c>
      <c r="F63" s="31">
        <f t="shared" si="38"/>
        <v>525.19860444389258</v>
      </c>
      <c r="G63" s="32">
        <f t="shared" si="39"/>
        <v>3037</v>
      </c>
      <c r="H63" s="33">
        <f t="shared" si="41"/>
        <v>1.0483125433174756E-2</v>
      </c>
      <c r="I63" s="34">
        <f t="shared" si="40"/>
        <v>5.4513888888888973E-2</v>
      </c>
      <c r="M63" s="46">
        <f t="shared" si="0"/>
        <v>50.874587642403299</v>
      </c>
      <c r="N63" s="46">
        <f t="shared" si="5"/>
        <v>60</v>
      </c>
      <c r="O63" s="50">
        <f t="shared" si="1"/>
        <v>-6.5319709405501385</v>
      </c>
      <c r="P63" s="50">
        <f t="shared" si="2"/>
        <v>44.34261670185316</v>
      </c>
      <c r="Q63" s="50">
        <f t="shared" si="3"/>
        <v>41.162353436949999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558.1048353989147</v>
      </c>
      <c r="V63" s="50">
        <f>$J$54*$J$34*($D$55*G25+$E$55*H25+$F$55*I25)</f>
        <v>525.19860444389258</v>
      </c>
      <c r="W63" s="50">
        <f>$J$54*$J$34*($D$56*G25+$E$56*H25+$F$56*I25)</f>
        <v>184.97609219068249</v>
      </c>
      <c r="X63" s="29">
        <f t="shared" si="43"/>
        <v>1268.2795320334897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1215.5</v>
      </c>
      <c r="E64" s="32">
        <f t="shared" si="37"/>
        <v>3848</v>
      </c>
      <c r="F64" s="31">
        <f t="shared" si="38"/>
        <v>1221.1213473483567</v>
      </c>
      <c r="G64" s="32">
        <f t="shared" si="39"/>
        <v>3863</v>
      </c>
      <c r="H64" s="33">
        <f t="shared" si="41"/>
        <v>4.6247201549622918E-3</v>
      </c>
      <c r="I64" s="34">
        <f t="shared" si="40"/>
        <v>3.8981288981287943E-3</v>
      </c>
      <c r="M64" s="46">
        <f t="shared" si="0"/>
        <v>53.019499248037555</v>
      </c>
      <c r="N64" s="46">
        <f t="shared" si="5"/>
        <v>61</v>
      </c>
      <c r="O64" s="50">
        <f t="shared" si="1"/>
        <v>-8.7626603630582736</v>
      </c>
      <c r="P64" s="50">
        <f t="shared" si="2"/>
        <v>44.256838884979281</v>
      </c>
      <c r="Q64" s="50">
        <f t="shared" si="3"/>
        <v>40.844300945550295</v>
      </c>
      <c r="R64" s="78"/>
      <c r="S64" s="46" t="str">
        <f t="shared" si="42"/>
        <v>CWF</v>
      </c>
      <c r="T64" s="79"/>
      <c r="U64" s="50">
        <f>$J$54*$J$34*($D$54*G26+$E$54*H26+$F$54*I26)</f>
        <v>1210.9871994772013</v>
      </c>
      <c r="V64" s="50">
        <f>$J$54*$J$34*($D$55*G26+$E$55*H26+$F$55*I26)</f>
        <v>1221.1213473483567</v>
      </c>
      <c r="W64" s="50">
        <f>$J$54*$J$34*($D$56*G26+$E$56*H26+$F$56*I26)</f>
        <v>656.43924465679299</v>
      </c>
      <c r="X64" s="29">
        <f t="shared" si="43"/>
        <v>3088.5477914823509</v>
      </c>
    </row>
    <row r="65" spans="1:24">
      <c r="A65" s="87"/>
      <c r="B65" s="48" t="str">
        <f t="shared" si="35"/>
        <v>D65</v>
      </c>
      <c r="C65" s="93"/>
      <c r="D65" s="31">
        <f t="shared" si="36"/>
        <v>577.9</v>
      </c>
      <c r="E65" s="32">
        <f t="shared" si="37"/>
        <v>6362</v>
      </c>
      <c r="F65" s="31">
        <f t="shared" si="38"/>
        <v>578.32604587428148</v>
      </c>
      <c r="G65" s="32">
        <f t="shared" si="39"/>
        <v>6326</v>
      </c>
      <c r="H65" s="33">
        <f t="shared" si="41"/>
        <v>7.3723113736190449E-4</v>
      </c>
      <c r="I65" s="34">
        <f t="shared" si="40"/>
        <v>-5.6585979251807528E-3</v>
      </c>
      <c r="M65" s="46">
        <f t="shared" si="0"/>
        <v>55.164410853671811</v>
      </c>
      <c r="N65" s="46">
        <f t="shared" si="5"/>
        <v>62</v>
      </c>
      <c r="O65" s="50">
        <f t="shared" si="1"/>
        <v>-10.993349785566409</v>
      </c>
      <c r="P65" s="50">
        <f t="shared" si="2"/>
        <v>44.171061068105402</v>
      </c>
      <c r="Q65" s="50">
        <f t="shared" si="3"/>
        <v>40.52624845415059</v>
      </c>
      <c r="R65" s="78"/>
      <c r="S65" s="46" t="str">
        <f t="shared" si="42"/>
        <v>D65</v>
      </c>
      <c r="T65" s="79"/>
      <c r="U65" s="50">
        <f>$J$54*$J$34*($D$54*G27+$E$54*H27+$F$54*I27)</f>
        <v>511.95263338721509</v>
      </c>
      <c r="V65" s="50">
        <f>$J$54*$J$34*($D$55*G27+$E$55*H27+$F$55*I27)</f>
        <v>578.32604587428148</v>
      </c>
      <c r="W65" s="50">
        <f>$J$54*$J$34*($D$56*G27+$E$56*H27+$F$56*I27)</f>
        <v>533.07042845191688</v>
      </c>
      <c r="X65" s="29">
        <f t="shared" si="43"/>
        <v>1623.3491077134136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519.75</v>
      </c>
      <c r="E66" s="32">
        <f t="shared" si="37"/>
        <v>2880</v>
      </c>
      <c r="F66" s="31">
        <f t="shared" si="38"/>
        <v>515.08378223066688</v>
      </c>
      <c r="G66" s="32">
        <f t="shared" si="39"/>
        <v>2656</v>
      </c>
      <c r="H66" s="33">
        <f t="shared" si="41"/>
        <v>-8.9778119660088862E-3</v>
      </c>
      <c r="I66" s="34">
        <f t="shared" si="40"/>
        <v>-7.7777777777777724E-2</v>
      </c>
      <c r="M66" s="46">
        <f t="shared" si="0"/>
        <v>57.309322459306074</v>
      </c>
      <c r="N66" s="46">
        <f t="shared" si="5"/>
        <v>63</v>
      </c>
      <c r="O66" s="50">
        <f t="shared" si="1"/>
        <v>-13.224039208074544</v>
      </c>
      <c r="P66" s="50">
        <f t="shared" si="2"/>
        <v>44.08528325123153</v>
      </c>
      <c r="Q66" s="50">
        <f t="shared" si="3"/>
        <v>40.208195962750878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567.83942442953378</v>
      </c>
      <c r="V66" s="50">
        <f>$J$54*$J$37*($D$55*G28+$E$55*H28+$F$55*I28)</f>
        <v>515.08378223066688</v>
      </c>
      <c r="W66" s="50">
        <f>$J$54*$J$37*($D$56*G28+$E$56*H28+$F$56*I28)</f>
        <v>113.30086547398808</v>
      </c>
      <c r="X66" s="29">
        <f t="shared" si="43"/>
        <v>1196.2240721341889</v>
      </c>
    </row>
    <row r="67" spans="1:24">
      <c r="A67" s="87"/>
      <c r="B67" s="48" t="str">
        <f t="shared" si="35"/>
        <v>CWF</v>
      </c>
      <c r="C67" s="93"/>
      <c r="D67" s="31">
        <f t="shared" si="36"/>
        <v>1215.5</v>
      </c>
      <c r="E67" s="32">
        <f t="shared" si="37"/>
        <v>3848</v>
      </c>
      <c r="F67" s="31">
        <f t="shared" si="38"/>
        <v>1189.8071196164726</v>
      </c>
      <c r="G67" s="32">
        <f t="shared" si="39"/>
        <v>3860</v>
      </c>
      <c r="H67" s="33">
        <f t="shared" si="41"/>
        <v>-2.1137704963823389E-2</v>
      </c>
      <c r="I67" s="34">
        <f t="shared" si="40"/>
        <v>3.1185031185030354E-3</v>
      </c>
      <c r="R67" s="78"/>
      <c r="S67" s="46" t="str">
        <f t="shared" si="42"/>
        <v>CWF</v>
      </c>
      <c r="T67" s="79"/>
      <c r="U67" s="50">
        <f>$J$54*$J$37*($D$54*G29+$E$54*H29+$F$54*I29)</f>
        <v>1180.182563090129</v>
      </c>
      <c r="V67" s="50">
        <f>$J$54*$J$37*($D$55*G29+$E$55*H29+$F$55*I29)</f>
        <v>1189.8071196164726</v>
      </c>
      <c r="W67" s="50">
        <f>$J$54*$J$37*($D$56*G29+$E$56*H29+$F$56*I29)</f>
        <v>638.91510718860798</v>
      </c>
      <c r="X67" s="29">
        <f t="shared" si="43"/>
        <v>3008.9047898952094</v>
      </c>
    </row>
    <row r="68" spans="1:24">
      <c r="A68" s="87"/>
      <c r="B68" s="48" t="str">
        <f t="shared" si="35"/>
        <v>D65</v>
      </c>
      <c r="C68" s="93"/>
      <c r="D68" s="31">
        <f t="shared" si="36"/>
        <v>577.9</v>
      </c>
      <c r="E68" s="32">
        <f t="shared" si="37"/>
        <v>6362</v>
      </c>
      <c r="F68" s="31">
        <f t="shared" si="38"/>
        <v>578.50160528733841</v>
      </c>
      <c r="G68" s="32">
        <f t="shared" si="39"/>
        <v>6274</v>
      </c>
      <c r="H68" s="33">
        <f t="shared" si="41"/>
        <v>1.0410197046866188E-3</v>
      </c>
      <c r="I68" s="34">
        <f t="shared" si="40"/>
        <v>-1.3832128261553001E-2</v>
      </c>
      <c r="R68" s="78"/>
      <c r="S68" s="46" t="str">
        <f t="shared" si="42"/>
        <v>D65</v>
      </c>
      <c r="T68" s="79"/>
      <c r="U68" s="50">
        <f>$J$54*$J$37*($D$54*G30+$E$54*H30+$F$54*I30)</f>
        <v>512.88544715392595</v>
      </c>
      <c r="V68" s="50">
        <f>$J$54*$J$37*($D$55*G30+$E$55*H30+$F$55*I30)</f>
        <v>578.50160528733841</v>
      </c>
      <c r="W68" s="50">
        <f>$J$54*$J$37*($D$56*G30+$E$56*H30+$F$56*I30)</f>
        <v>529.35471696872958</v>
      </c>
      <c r="X68" s="29">
        <f t="shared" si="43"/>
        <v>1620.741769409994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2.1137704963823389E-2</v>
      </c>
      <c r="G69" s="47"/>
      <c r="H69" s="36" t="str">
        <f>I59</f>
        <v>CCT</v>
      </c>
      <c r="I69" s="38">
        <f>MAX(MAX(I60:I68,-MIN(I60:I68)))</f>
        <v>7.7777777777777724E-2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519.75</v>
      </c>
      <c r="E72" s="31">
        <f t="shared" ref="E72:E80" si="47">E60</f>
        <v>2880</v>
      </c>
      <c r="F72" s="31">
        <f t="shared" ref="F72:F80" si="48">V72</f>
        <v>519.54423018130751</v>
      </c>
      <c r="G72" s="32">
        <f t="shared" ref="G72:G80" si="49">getCCTfromXY(U72/X72,V72/X72)</f>
        <v>2978</v>
      </c>
      <c r="H72" s="33">
        <f>F72/D72-1</f>
        <v>-3.9590152706592274E-4</v>
      </c>
      <c r="I72" s="34">
        <f t="shared" ref="I72:I80" si="50">G72/E72-1</f>
        <v>3.4027777777777768E-2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554.999742223466</v>
      </c>
      <c r="V72" s="50">
        <f>$J$51*$J$31*($D$52*G22+$E$52*H22+$F$52*I22)</f>
        <v>519.54423018130751</v>
      </c>
      <c r="W72" s="50">
        <f>$J$51*$J$31*($D$53*G22+$E$53*H22+$F$53*I22)</f>
        <v>173.62465204366191</v>
      </c>
      <c r="X72" s="29">
        <f>SUM(U72:W72)</f>
        <v>1248.1686244484354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1215.5</v>
      </c>
      <c r="E73" s="31">
        <f t="shared" si="47"/>
        <v>3848</v>
      </c>
      <c r="F73" s="31">
        <f t="shared" si="48"/>
        <v>1236.119834073952</v>
      </c>
      <c r="G73" s="32">
        <f t="shared" si="49"/>
        <v>3827</v>
      </c>
      <c r="H73" s="33">
        <f t="shared" ref="H73:H80" si="52">F73/D73-1</f>
        <v>1.6964075749857699E-2</v>
      </c>
      <c r="I73" s="34">
        <f t="shared" si="50"/>
        <v>-5.457380457380423E-3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1228.503337952021</v>
      </c>
      <c r="V73" s="50">
        <f t="shared" ref="V73:V74" si="55">$J$51*$J$31*($D$52*G23+$E$52*H23+$F$52*I23)</f>
        <v>1236.119834073952</v>
      </c>
      <c r="W73" s="50">
        <f t="shared" ref="W73:W74" si="56">$J$51*$J$31*($D$53*G23+$E$53*H23+$F$53*I23)</f>
        <v>654.71442063248844</v>
      </c>
      <c r="X73" s="29">
        <f t="shared" ref="X73:X80" si="57">SUM(U73:W73)</f>
        <v>3119.3375926584613</v>
      </c>
    </row>
    <row r="74" spans="1:24">
      <c r="A74" s="87"/>
      <c r="B74" s="48" t="str">
        <f t="shared" si="46"/>
        <v>X</v>
      </c>
      <c r="C74" s="93"/>
      <c r="D74" s="31">
        <f t="shared" si="51"/>
        <v>577.9</v>
      </c>
      <c r="E74" s="31">
        <f t="shared" si="47"/>
        <v>6362</v>
      </c>
      <c r="F74" s="31">
        <f t="shared" si="48"/>
        <v>577.19140732578762</v>
      </c>
      <c r="G74" s="32">
        <f t="shared" si="49"/>
        <v>6395</v>
      </c>
      <c r="H74" s="33">
        <f t="shared" si="52"/>
        <v>-1.2261510195749059E-3</v>
      </c>
      <c r="I74" s="34">
        <f t="shared" si="50"/>
        <v>5.1870480980824585E-3</v>
      </c>
      <c r="R74" s="78"/>
      <c r="S74" s="46" t="str">
        <f t="shared" si="53"/>
        <v>D65</v>
      </c>
      <c r="T74" s="79"/>
      <c r="U74" s="50">
        <f t="shared" si="54"/>
        <v>509.62749335891164</v>
      </c>
      <c r="V74" s="50">
        <f t="shared" si="55"/>
        <v>577.19140732578762</v>
      </c>
      <c r="W74" s="50">
        <f t="shared" si="56"/>
        <v>536.41456773328423</v>
      </c>
      <c r="X74" s="29">
        <f t="shared" si="57"/>
        <v>1623.2334684179834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519.75</v>
      </c>
      <c r="E75" s="31">
        <f t="shared" si="47"/>
        <v>2880</v>
      </c>
      <c r="F75" s="31">
        <f t="shared" si="48"/>
        <v>524.83588578515457</v>
      </c>
      <c r="G75" s="32">
        <f t="shared" si="49"/>
        <v>3013</v>
      </c>
      <c r="H75" s="33">
        <f t="shared" si="52"/>
        <v>9.7852540358913664E-3</v>
      </c>
      <c r="I75" s="34">
        <f t="shared" si="50"/>
        <v>4.6180555555555447E-2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558.90034125019451</v>
      </c>
      <c r="V75" s="50">
        <f>$J$51*$J$34*($D$52*G25+$E$52*H25+$F$52*I25)</f>
        <v>524.83588578515457</v>
      </c>
      <c r="W75" s="50">
        <f>$J$51*$J$34*($D$53*G25+$E$53*H25+$F$53*I25)</f>
        <v>181.01526354011898</v>
      </c>
      <c r="X75" s="29">
        <f t="shared" si="57"/>
        <v>1264.7514905754681</v>
      </c>
    </row>
    <row r="76" spans="1:24">
      <c r="A76" s="87"/>
      <c r="B76" s="48" t="str">
        <f t="shared" si="46"/>
        <v>Z</v>
      </c>
      <c r="C76" s="93"/>
      <c r="D76" s="31">
        <f t="shared" si="51"/>
        <v>1215.5</v>
      </c>
      <c r="E76" s="31">
        <f t="shared" si="47"/>
        <v>3848</v>
      </c>
      <c r="F76" s="31">
        <f t="shared" si="48"/>
        <v>1222.8093167834593</v>
      </c>
      <c r="G76" s="32">
        <f t="shared" si="49"/>
        <v>3859</v>
      </c>
      <c r="H76" s="33">
        <f t="shared" si="52"/>
        <v>6.01342392715698E-3</v>
      </c>
      <c r="I76" s="34">
        <f t="shared" si="50"/>
        <v>2.8586278586277825E-3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1212.9064233399451</v>
      </c>
      <c r="V76" s="50">
        <f t="shared" ref="V76:V77" si="59">$J$51*$J$34*($D$52*G26+$E$52*H26+$F$52*I26)</f>
        <v>1222.8093167834593</v>
      </c>
      <c r="W76" s="50">
        <f t="shared" ref="W76:W77" si="60">$J$51*$J$34*($D$53*G26+$E$53*H26+$F$53*I26)</f>
        <v>656.50380829675851</v>
      </c>
      <c r="X76" s="29">
        <f t="shared" si="57"/>
        <v>3092.2195484201629</v>
      </c>
    </row>
    <row r="77" spans="1:24">
      <c r="A77" s="87"/>
      <c r="B77" s="48" t="str">
        <f t="shared" si="46"/>
        <v>X</v>
      </c>
      <c r="C77" s="93"/>
      <c r="D77" s="31">
        <f t="shared" si="51"/>
        <v>577.9</v>
      </c>
      <c r="E77" s="31">
        <f t="shared" si="47"/>
        <v>6362</v>
      </c>
      <c r="F77" s="31">
        <f t="shared" si="48"/>
        <v>578.93708121226337</v>
      </c>
      <c r="G77" s="32">
        <f t="shared" si="49"/>
        <v>6383</v>
      </c>
      <c r="H77" s="33">
        <f t="shared" si="52"/>
        <v>1.7945686317069054E-3</v>
      </c>
      <c r="I77" s="34">
        <f t="shared" si="50"/>
        <v>3.3008487896888372E-3</v>
      </c>
      <c r="R77" s="78"/>
      <c r="S77" s="46" t="str">
        <f t="shared" si="53"/>
        <v>D65</v>
      </c>
      <c r="T77" s="79"/>
      <c r="U77" s="50">
        <f t="shared" si="58"/>
        <v>511.40408360660354</v>
      </c>
      <c r="V77" s="50">
        <f t="shared" si="59"/>
        <v>578.93708121226337</v>
      </c>
      <c r="W77" s="50">
        <f t="shared" si="60"/>
        <v>537.30016009305336</v>
      </c>
      <c r="X77" s="29">
        <f t="shared" si="57"/>
        <v>1627.6413249119203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519.75</v>
      </c>
      <c r="E78" s="31">
        <f t="shared" si="47"/>
        <v>2880</v>
      </c>
      <c r="F78" s="31">
        <f t="shared" si="48"/>
        <v>514.60282352549325</v>
      </c>
      <c r="G78" s="32">
        <f t="shared" si="49"/>
        <v>2630</v>
      </c>
      <c r="H78" s="33">
        <f t="shared" si="52"/>
        <v>-9.9031774401284745E-3</v>
      </c>
      <c r="I78" s="34">
        <f t="shared" si="50"/>
        <v>-8.680555555555558E-2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568.96197859583333</v>
      </c>
      <c r="V78" s="50">
        <f>$J$51*$J$37*($D$52*G28+$E$52*H28+$F$52*I28)</f>
        <v>514.60282352549325</v>
      </c>
      <c r="W78" s="50">
        <f>$J$51*$J$37*($D$53*G28+$E$53*H28+$F$53*I28)</f>
        <v>107.79333206775789</v>
      </c>
      <c r="X78" s="29">
        <f t="shared" si="57"/>
        <v>1191.3581341890845</v>
      </c>
    </row>
    <row r="79" spans="1:24">
      <c r="A79" s="87"/>
      <c r="B79" s="48" t="str">
        <f t="shared" si="46"/>
        <v>Z</v>
      </c>
      <c r="C79" s="93"/>
      <c r="D79" s="31">
        <f t="shared" si="51"/>
        <v>1215.5</v>
      </c>
      <c r="E79" s="31">
        <f t="shared" si="47"/>
        <v>3848</v>
      </c>
      <c r="F79" s="31">
        <f t="shared" si="48"/>
        <v>1191.4457437524425</v>
      </c>
      <c r="G79" s="32">
        <f t="shared" si="49"/>
        <v>3856</v>
      </c>
      <c r="H79" s="33">
        <f t="shared" si="52"/>
        <v>-1.9789597900088496E-2</v>
      </c>
      <c r="I79" s="34">
        <f t="shared" si="50"/>
        <v>2.0790020790020236E-3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1182.053307433529</v>
      </c>
      <c r="V79" s="50">
        <f t="shared" ref="V79:V80" si="62">$J$51*$J$37*($D$52*G29+$E$52*H29+$F$52*I29)</f>
        <v>1191.4457437524425</v>
      </c>
      <c r="W79" s="50">
        <f t="shared" ref="W79:W80" si="63">$J$51*$J$37*($D$53*G29+$E$53*H29+$F$53*I29)</f>
        <v>638.95277494184984</v>
      </c>
      <c r="X79" s="29">
        <f t="shared" si="57"/>
        <v>3012.4518261278213</v>
      </c>
    </row>
    <row r="80" spans="1:24">
      <c r="A80" s="87"/>
      <c r="B80" s="48" t="str">
        <f t="shared" si="46"/>
        <v>X</v>
      </c>
      <c r="C80" s="93"/>
      <c r="D80" s="31">
        <f t="shared" si="51"/>
        <v>577.9</v>
      </c>
      <c r="E80" s="31">
        <f t="shared" si="47"/>
        <v>6362</v>
      </c>
      <c r="F80" s="31">
        <f t="shared" si="48"/>
        <v>579.14996185452719</v>
      </c>
      <c r="G80" s="32">
        <f t="shared" si="49"/>
        <v>6329</v>
      </c>
      <c r="H80" s="33">
        <f t="shared" si="52"/>
        <v>2.1629379728798082E-3</v>
      </c>
      <c r="I80" s="34">
        <f t="shared" si="50"/>
        <v>-5.1870480980823475E-3</v>
      </c>
      <c r="R80" s="78"/>
      <c r="S80" s="46" t="str">
        <f t="shared" si="53"/>
        <v>D65</v>
      </c>
      <c r="T80" s="79"/>
      <c r="U80" s="50">
        <f t="shared" si="61"/>
        <v>512.38148914022167</v>
      </c>
      <c r="V80" s="50">
        <f t="shared" si="62"/>
        <v>579.14996185452719</v>
      </c>
      <c r="W80" s="50">
        <f t="shared" si="63"/>
        <v>533.57453959342149</v>
      </c>
      <c r="X80" s="29">
        <f t="shared" si="57"/>
        <v>1625.1059905881702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1.9789597900088496E-2</v>
      </c>
      <c r="G81" s="47"/>
      <c r="H81" s="36" t="str">
        <f>I71</f>
        <v>CCT</v>
      </c>
      <c r="I81" s="38">
        <f>MAX(MAX(I72:I80,-MIN(I72:I80)))</f>
        <v>8.680555555555558E-2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519.75</v>
      </c>
      <c r="E84" s="31">
        <f t="shared" ref="E84:E92" si="67">E72</f>
        <v>2880</v>
      </c>
      <c r="F84" s="31">
        <f t="shared" ref="F84:F92" si="68">V84</f>
        <v>519.74999999999955</v>
      </c>
      <c r="G84" s="32">
        <f t="shared" ref="G84:G92" si="69">getCCTfromXY(U84/X84,V84/X84)</f>
        <v>2880</v>
      </c>
      <c r="H84" s="33">
        <f>F84/D84-1</f>
        <v>-8.8817841970012523E-16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560.24999999999977</v>
      </c>
      <c r="V84" s="50">
        <f>$J$42*$J$31*($D$43*G22+$E$43*H22+$F$43*I22)</f>
        <v>519.74999999999955</v>
      </c>
      <c r="W84" s="50">
        <f>$J$42*$J$31*($D$44*G22+$E$44*H22+$F$44*I22)</f>
        <v>156.75000000000043</v>
      </c>
      <c r="X84" s="29">
        <f>SUM(U84:W84)</f>
        <v>1236.7499999999998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1215.5</v>
      </c>
      <c r="E85" s="31">
        <f t="shared" si="67"/>
        <v>3848</v>
      </c>
      <c r="F85" s="31">
        <f t="shared" si="68"/>
        <v>1215.5</v>
      </c>
      <c r="G85" s="32">
        <f t="shared" si="69"/>
        <v>3848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1206.5</v>
      </c>
      <c r="V85" s="50">
        <f t="shared" ref="V85:V86" si="75">$J$42*$J$31*($D$43*G23+$E$43*H23+$F$43*I23)</f>
        <v>1215.5</v>
      </c>
      <c r="W85" s="50">
        <f t="shared" ref="W85:W86" si="76">$J$42*$J$31*($D$44*G23+$E$44*H23+$F$44*I23)</f>
        <v>649.50000000000011</v>
      </c>
      <c r="X85" s="29">
        <f t="shared" ref="X85:X92" si="77">SUM(U85:W85)</f>
        <v>3071.5</v>
      </c>
    </row>
    <row r="86" spans="1:24">
      <c r="A86" s="87"/>
      <c r="B86" s="48">
        <f t="shared" si="66"/>
        <v>0</v>
      </c>
      <c r="C86" s="93"/>
      <c r="D86" s="31">
        <f t="shared" si="71"/>
        <v>577.9</v>
      </c>
      <c r="E86" s="31">
        <f t="shared" si="67"/>
        <v>6362</v>
      </c>
      <c r="F86" s="31">
        <f t="shared" si="68"/>
        <v>577.9</v>
      </c>
      <c r="G86" s="32">
        <f t="shared" si="69"/>
        <v>6362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510.80000000000007</v>
      </c>
      <c r="V86" s="50">
        <f t="shared" si="75"/>
        <v>577.9</v>
      </c>
      <c r="W86" s="50">
        <f t="shared" si="76"/>
        <v>534.85</v>
      </c>
      <c r="X86" s="29">
        <f t="shared" si="77"/>
        <v>1623.5500000000002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519.75</v>
      </c>
      <c r="E87" s="31">
        <f t="shared" si="67"/>
        <v>2880</v>
      </c>
      <c r="F87" s="31">
        <f t="shared" si="68"/>
        <v>519.74999999999989</v>
      </c>
      <c r="G87" s="32">
        <f t="shared" si="69"/>
        <v>2880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560.25000000000034</v>
      </c>
      <c r="V87" s="50">
        <f>$J$45*$J$34*($D$46*G25+$E$46*H25+$F$46*I25)</f>
        <v>519.74999999999989</v>
      </c>
      <c r="W87" s="50">
        <f>$J$45*$J$34*($D$47*G25+$E$47*H25+$F$47*I25)</f>
        <v>156.75000000000017</v>
      </c>
      <c r="X87" s="29">
        <f t="shared" si="77"/>
        <v>1236.7500000000005</v>
      </c>
    </row>
    <row r="88" spans="1:24">
      <c r="A88" s="87"/>
      <c r="B88" s="48">
        <f t="shared" si="66"/>
        <v>0</v>
      </c>
      <c r="C88" s="93"/>
      <c r="D88" s="31">
        <f t="shared" si="71"/>
        <v>1215.5</v>
      </c>
      <c r="E88" s="31">
        <f t="shared" si="67"/>
        <v>3848</v>
      </c>
      <c r="F88" s="31">
        <f t="shared" si="68"/>
        <v>1215.5</v>
      </c>
      <c r="G88" s="32">
        <f t="shared" si="69"/>
        <v>3848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1206.5000000000002</v>
      </c>
      <c r="V88" s="50">
        <f t="shared" ref="V88:V89" si="79">$J$45*$J$34*($D$46*G26+$E$46*H26+$F$46*I26)</f>
        <v>1215.5</v>
      </c>
      <c r="W88" s="50">
        <f t="shared" ref="W88:W89" si="80">$J$45*$J$34*($D$47*G26+$E$47*H26+$F$47*I26)</f>
        <v>649.49999999999977</v>
      </c>
      <c r="X88" s="29">
        <f t="shared" si="77"/>
        <v>3071.5</v>
      </c>
    </row>
    <row r="89" spans="1:24">
      <c r="A89" s="87"/>
      <c r="B89" s="48" t="str">
        <f t="shared" si="66"/>
        <v>A</v>
      </c>
      <c r="C89" s="93"/>
      <c r="D89" s="31">
        <f t="shared" si="71"/>
        <v>577.9</v>
      </c>
      <c r="E89" s="31">
        <f t="shared" si="67"/>
        <v>6362</v>
      </c>
      <c r="F89" s="31">
        <f t="shared" si="68"/>
        <v>577.9</v>
      </c>
      <c r="G89" s="32">
        <f t="shared" si="69"/>
        <v>6362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510.80000000000013</v>
      </c>
      <c r="V89" s="50">
        <f t="shared" si="79"/>
        <v>577.9</v>
      </c>
      <c r="W89" s="50">
        <f t="shared" si="80"/>
        <v>534.8499999999998</v>
      </c>
      <c r="X89" s="29">
        <f t="shared" si="77"/>
        <v>1623.5499999999997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519.75</v>
      </c>
      <c r="E90" s="31">
        <f t="shared" si="67"/>
        <v>2880</v>
      </c>
      <c r="F90" s="31">
        <f t="shared" si="68"/>
        <v>519.7499999999992</v>
      </c>
      <c r="G90" s="32">
        <f t="shared" si="69"/>
        <v>2880</v>
      </c>
      <c r="H90" s="33">
        <f t="shared" si="72"/>
        <v>-1.5543122344752192E-15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560.24999999999943</v>
      </c>
      <c r="V90" s="50">
        <f>$J$48*$J$37*($D$49*G28+$E$49*H28+$F$49*I28)</f>
        <v>519.7499999999992</v>
      </c>
      <c r="W90" s="50">
        <f>$J$48*$J$37*($D$50*G28+$E$50*H28+$F$50*I28)</f>
        <v>156.75000000000028</v>
      </c>
      <c r="X90" s="29">
        <f t="shared" si="77"/>
        <v>1236.7499999999989</v>
      </c>
    </row>
    <row r="91" spans="1:24">
      <c r="A91" s="87"/>
      <c r="B91" s="48" t="str">
        <f t="shared" si="66"/>
        <v>D65</v>
      </c>
      <c r="C91" s="93"/>
      <c r="D91" s="31">
        <f t="shared" si="71"/>
        <v>1215.5</v>
      </c>
      <c r="E91" s="31">
        <f t="shared" si="67"/>
        <v>3848</v>
      </c>
      <c r="F91" s="31">
        <f t="shared" si="68"/>
        <v>1215.4999999999998</v>
      </c>
      <c r="G91" s="32">
        <f t="shared" si="69"/>
        <v>3848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1206.4999999999998</v>
      </c>
      <c r="V91" s="50">
        <f t="shared" ref="V91:V92" si="82">$J$48*$J$37*($D$49*G29+$E$49*H29+$F$49*I29)</f>
        <v>1215.4999999999998</v>
      </c>
      <c r="W91" s="50">
        <f t="shared" ref="W91:W92" si="83">$J$48*$J$37*($D$50*G29+$E$50*H29+$F$50*I29)</f>
        <v>649.49999999999989</v>
      </c>
      <c r="X91" s="29">
        <f t="shared" si="77"/>
        <v>3071.4999999999995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577.9</v>
      </c>
      <c r="E92" s="31">
        <f t="shared" si="67"/>
        <v>6362</v>
      </c>
      <c r="F92" s="31">
        <f t="shared" si="68"/>
        <v>577.89999999999975</v>
      </c>
      <c r="G92" s="32">
        <f t="shared" si="69"/>
        <v>6362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510.79999999999984</v>
      </c>
      <c r="V92" s="50">
        <f t="shared" si="82"/>
        <v>577.89999999999975</v>
      </c>
      <c r="W92" s="50">
        <f t="shared" si="83"/>
        <v>534.8499999999998</v>
      </c>
      <c r="X92" s="29">
        <f t="shared" si="77"/>
        <v>1623.5499999999993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1.5543122344752192E-15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90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9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1.4071687273826328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76.659610441089058</v>
      </c>
      <c r="N3" s="46">
        <v>0</v>
      </c>
      <c r="O3" s="50">
        <f>G$5-N3*G$7</f>
        <v>131.27050153019798</v>
      </c>
      <c r="P3" s="50">
        <f>H$5-N3*H$7</f>
        <v>54.610891089108911</v>
      </c>
      <c r="Q3" s="50">
        <f>I$5-N3*I$7</f>
        <v>63.627397260273959</v>
      </c>
    </row>
    <row r="4" spans="1:17">
      <c r="C4" s="46" t="s">
        <v>20</v>
      </c>
      <c r="D4" s="7">
        <v>533.70000000000005</v>
      </c>
      <c r="E4" s="7">
        <v>1212</v>
      </c>
      <c r="F4" s="7">
        <v>576.70000000000005</v>
      </c>
      <c r="G4" s="50">
        <f>AVERAGE(D4:F4)</f>
        <v>774.13333333333333</v>
      </c>
      <c r="H4" s="50">
        <f>G4</f>
        <v>774.13333333333333</v>
      </c>
      <c r="I4" s="50">
        <f>H4</f>
        <v>774.13333333333333</v>
      </c>
      <c r="K4" s="13" t="str">
        <f>linefmt("Compensation",B12)</f>
        <v>"Compensation",34,</v>
      </c>
      <c r="M4" s="46">
        <f t="shared" si="0"/>
        <v>74.381060075351769</v>
      </c>
      <c r="N4" s="46">
        <f>N3+1</f>
        <v>1</v>
      </c>
      <c r="O4" s="50">
        <f t="shared" ref="O4:O66" si="1">G$5-N4*G$7</f>
        <v>128.8860164734306</v>
      </c>
      <c r="P4" s="50">
        <f t="shared" ref="P4:P66" si="2">H$5-N4*H$7</f>
        <v>54.504956398078832</v>
      </c>
      <c r="Q4" s="50">
        <f t="shared" ref="Q4:Q66" si="3">I$5-N4*I$7</f>
        <v>63.273802585780309</v>
      </c>
    </row>
    <row r="5" spans="1:17">
      <c r="C5" s="46">
        <v>0</v>
      </c>
      <c r="D5" s="9">
        <v>90.5</v>
      </c>
      <c r="E5" s="9">
        <v>85.5</v>
      </c>
      <c r="F5" s="9">
        <v>47.4</v>
      </c>
      <c r="G5" s="50">
        <f>G$4/D$4*D5</f>
        <v>131.27050153019798</v>
      </c>
      <c r="H5" s="50">
        <f t="shared" ref="H5:I6" si="4">H$4/E$4*E5</f>
        <v>54.610891089108911</v>
      </c>
      <c r="I5" s="50">
        <f t="shared" si="4"/>
        <v>63.627397260273959</v>
      </c>
      <c r="K5" s="14" t="str">
        <f>linefmt("CardGain",J54)</f>
        <v>"CardGain",16.15592,</v>
      </c>
      <c r="M5" s="46">
        <f t="shared" si="0"/>
        <v>72.10250970961448</v>
      </c>
      <c r="N5" s="46">
        <f t="shared" ref="N5:N66" si="5">N4+1</f>
        <v>2</v>
      </c>
      <c r="O5" s="50">
        <f t="shared" si="1"/>
        <v>126.50153141666323</v>
      </c>
      <c r="P5" s="50">
        <f t="shared" si="2"/>
        <v>54.399021707048753</v>
      </c>
      <c r="Q5" s="50">
        <f t="shared" si="3"/>
        <v>62.92020791128666</v>
      </c>
    </row>
    <row r="6" spans="1:17">
      <c r="B6" s="50">
        <f>D5/4</f>
        <v>22.625</v>
      </c>
      <c r="C6" s="7">
        <v>41</v>
      </c>
      <c r="D6" s="9">
        <v>23.1</v>
      </c>
      <c r="E6" s="9">
        <v>78.7</v>
      </c>
      <c r="F6" s="9">
        <v>36.6</v>
      </c>
      <c r="G6" s="50">
        <f>G$4/D$4*D6</f>
        <v>33.506614202735619</v>
      </c>
      <c r="H6" s="50">
        <f t="shared" si="4"/>
        <v>50.26756875687569</v>
      </c>
      <c r="I6" s="50">
        <f t="shared" si="4"/>
        <v>49.130015606034327</v>
      </c>
      <c r="K6" s="14" t="str">
        <f>linefmt("Range",1,J34,J37)</f>
        <v>"Range",1,0.8670397,1.092124,</v>
      </c>
      <c r="M6" s="46">
        <f t="shared" si="0"/>
        <v>69.823959343877178</v>
      </c>
      <c r="N6" s="46">
        <f t="shared" si="5"/>
        <v>3</v>
      </c>
      <c r="O6" s="50">
        <f t="shared" si="1"/>
        <v>124.11704635989585</v>
      </c>
      <c r="P6" s="50">
        <f t="shared" si="2"/>
        <v>54.293087016018674</v>
      </c>
      <c r="Q6" s="50">
        <f t="shared" si="3"/>
        <v>62.56661323679301</v>
      </c>
    </row>
    <row r="7" spans="1:17">
      <c r="C7" s="46">
        <f>C5</f>
        <v>0</v>
      </c>
      <c r="D7" s="46">
        <f t="shared" ref="D7:F8" si="6">D$4/D5</f>
        <v>5.8972375690607741</v>
      </c>
      <c r="E7" s="46">
        <f t="shared" si="6"/>
        <v>14.175438596491228</v>
      </c>
      <c r="F7" s="46">
        <f t="shared" si="6"/>
        <v>12.166666666666668</v>
      </c>
      <c r="G7" s="49">
        <f>(G5-G6)/($C6-$C5)</f>
        <v>2.3844850567673745</v>
      </c>
      <c r="H7" s="49">
        <f t="shared" ref="H7:I7" si="7">(H5-H6)/($C6-$C5)</f>
        <v>0.10593469103007856</v>
      </c>
      <c r="I7" s="49">
        <f t="shared" si="7"/>
        <v>0.35359467449364956</v>
      </c>
      <c r="K7" s="14" t="str">
        <f>linefmt("CCM" )</f>
        <v>"CCM",</v>
      </c>
      <c r="M7" s="46">
        <f t="shared" si="0"/>
        <v>67.545408978139875</v>
      </c>
      <c r="N7" s="46">
        <f t="shared" si="5"/>
        <v>4</v>
      </c>
      <c r="O7" s="50">
        <f t="shared" si="1"/>
        <v>121.73256130312848</v>
      </c>
      <c r="P7" s="50">
        <f t="shared" si="2"/>
        <v>54.187152324988595</v>
      </c>
      <c r="Q7" s="50">
        <f t="shared" si="3"/>
        <v>62.213018562299361</v>
      </c>
    </row>
    <row r="8" spans="1:17">
      <c r="C8" s="46">
        <f>C6</f>
        <v>41</v>
      </c>
      <c r="D8" s="46">
        <f t="shared" si="6"/>
        <v>23.103896103896105</v>
      </c>
      <c r="E8" s="46">
        <f t="shared" si="6"/>
        <v>15.400254129606099</v>
      </c>
      <c r="F8" s="46">
        <f t="shared" si="6"/>
        <v>15.756830601092897</v>
      </c>
      <c r="K8" s="15" t="str">
        <f>linefmt("",D54,E54,F54)</f>
        <v>0.1822607,1.046349,-0.4134964,</v>
      </c>
      <c r="M8" s="46">
        <f t="shared" si="0"/>
        <v>65.266858612402586</v>
      </c>
      <c r="N8" s="46">
        <f t="shared" si="5"/>
        <v>5</v>
      </c>
      <c r="O8" s="50">
        <f t="shared" si="1"/>
        <v>119.3480762463611</v>
      </c>
      <c r="P8" s="50">
        <f t="shared" si="2"/>
        <v>54.081217633958516</v>
      </c>
      <c r="Q8" s="50">
        <f t="shared" si="3"/>
        <v>61.859423887805711</v>
      </c>
    </row>
    <row r="9" spans="1:17">
      <c r="C9" s="46" t="s">
        <v>23</v>
      </c>
      <c r="D9" s="46">
        <f>(D8-D7)/($C8-$C7)</f>
        <v>0.41967459841061783</v>
      </c>
      <c r="E9" s="46">
        <f>(E8-E7)/($C8-$C7)</f>
        <v>2.9873549588167583E-2</v>
      </c>
      <c r="F9" s="46">
        <f>(F8-F7)/($C8-$C7)</f>
        <v>8.7564974010395841E-2</v>
      </c>
      <c r="K9" s="15" t="str">
        <f>linefmt("",D55,E55,F55)</f>
        <v>4.099109E-02,1,-0.1112811,</v>
      </c>
      <c r="M9" s="46">
        <f t="shared" si="0"/>
        <v>62.988308246665291</v>
      </c>
      <c r="N9" s="46">
        <f t="shared" si="5"/>
        <v>6</v>
      </c>
      <c r="O9" s="50">
        <f t="shared" si="1"/>
        <v>116.96359118959373</v>
      </c>
      <c r="P9" s="50">
        <f t="shared" si="2"/>
        <v>53.975282942928438</v>
      </c>
      <c r="Q9" s="50">
        <f t="shared" si="3"/>
        <v>61.505829213312062</v>
      </c>
    </row>
    <row r="10" spans="1:17">
      <c r="K10" s="16" t="str">
        <f>linefmt("",D56,E56,F56)</f>
        <v>-0.4525847,0.3149152,1.030092,</v>
      </c>
      <c r="M10" s="46">
        <f t="shared" si="0"/>
        <v>60.709757880927995</v>
      </c>
      <c r="N10" s="46">
        <f t="shared" si="5"/>
        <v>7</v>
      </c>
      <c r="O10" s="50">
        <f t="shared" si="1"/>
        <v>114.57910613282635</v>
      </c>
      <c r="P10" s="50">
        <f t="shared" si="2"/>
        <v>53.869348251898359</v>
      </c>
      <c r="Q10" s="50">
        <f t="shared" si="3"/>
        <v>61.152234538818412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58.4312075151907</v>
      </c>
      <c r="N11" s="46">
        <f t="shared" si="5"/>
        <v>8</v>
      </c>
      <c r="O11" s="50">
        <f t="shared" si="1"/>
        <v>112.19462107605898</v>
      </c>
      <c r="P11" s="50">
        <f t="shared" si="2"/>
        <v>53.76341356086828</v>
      </c>
      <c r="Q11" s="50">
        <f t="shared" si="3"/>
        <v>60.798639864324763</v>
      </c>
    </row>
    <row r="12" spans="1:17">
      <c r="A12" s="46" t="s">
        <v>16</v>
      </c>
      <c r="B12" s="10">
        <f>MATCH(M2,M3:M66,0)-1</f>
        <v>34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Compensation=34</v>
      </c>
      <c r="M12" s="46">
        <f t="shared" si="0"/>
        <v>56.152657149453404</v>
      </c>
      <c r="N12" s="46">
        <f t="shared" si="5"/>
        <v>9</v>
      </c>
      <c r="O12" s="50">
        <f t="shared" si="1"/>
        <v>109.8101360192916</v>
      </c>
      <c r="P12" s="50">
        <f t="shared" si="2"/>
        <v>53.657478869838201</v>
      </c>
      <c r="Q12" s="50">
        <f t="shared" si="3"/>
        <v>60.445045189831113</v>
      </c>
    </row>
    <row r="13" spans="1:17">
      <c r="A13" s="78" t="s">
        <v>12</v>
      </c>
      <c r="B13" s="79" t="s">
        <v>0</v>
      </c>
      <c r="C13" s="46">
        <v>0</v>
      </c>
      <c r="D13" s="7">
        <v>555.70000000000005</v>
      </c>
      <c r="E13" s="7">
        <v>515.6</v>
      </c>
      <c r="F13" s="7">
        <v>156.5</v>
      </c>
      <c r="G13" s="8">
        <v>88.1</v>
      </c>
      <c r="H13" s="8">
        <v>33</v>
      </c>
      <c r="I13" s="8">
        <v>39.9</v>
      </c>
      <c r="M13" s="46">
        <f t="shared" si="0"/>
        <v>53.874106783716101</v>
      </c>
      <c r="N13" s="46">
        <f t="shared" si="5"/>
        <v>10</v>
      </c>
      <c r="O13" s="50">
        <f t="shared" si="1"/>
        <v>107.42565096252423</v>
      </c>
      <c r="P13" s="50">
        <f t="shared" si="2"/>
        <v>53.551544178808129</v>
      </c>
      <c r="Q13" s="50">
        <f t="shared" si="3"/>
        <v>60.091450515337463</v>
      </c>
    </row>
    <row r="14" spans="1:17">
      <c r="A14" s="78"/>
      <c r="B14" s="79"/>
      <c r="C14" s="46">
        <f>C13+1</f>
        <v>1</v>
      </c>
      <c r="D14" s="7">
        <v>561.6</v>
      </c>
      <c r="E14" s="7">
        <v>521.20000000000005</v>
      </c>
      <c r="F14" s="7">
        <v>156.4</v>
      </c>
      <c r="G14" s="8">
        <v>99</v>
      </c>
      <c r="H14" s="8">
        <v>38.9</v>
      </c>
      <c r="I14" s="8">
        <v>46.8</v>
      </c>
      <c r="M14" s="46">
        <f t="shared" si="0"/>
        <v>51.595556417978806</v>
      </c>
      <c r="N14" s="46">
        <f t="shared" si="5"/>
        <v>11</v>
      </c>
      <c r="O14" s="50">
        <f t="shared" si="1"/>
        <v>105.04116590575686</v>
      </c>
      <c r="P14" s="50">
        <f t="shared" si="2"/>
        <v>53.44560948777805</v>
      </c>
      <c r="Q14" s="50">
        <f t="shared" si="3"/>
        <v>59.737855840843814</v>
      </c>
    </row>
    <row r="15" spans="1:17">
      <c r="A15" s="78"/>
      <c r="B15" s="79"/>
      <c r="C15" s="46">
        <f>C14+1</f>
        <v>2</v>
      </c>
      <c r="D15" s="6">
        <f>2*(D13-D14)/(D13+D14)</f>
        <v>-1.0561174259375238E-2</v>
      </c>
      <c r="E15" s="6">
        <f t="shared" ref="E15:F15" si="8">2*(E13-E14)/(E13+E14)</f>
        <v>-1.0802469135802512E-2</v>
      </c>
      <c r="F15" s="6">
        <f t="shared" si="8"/>
        <v>6.3918184723550219E-4</v>
      </c>
      <c r="G15" s="8">
        <v>93.8</v>
      </c>
      <c r="H15" s="8">
        <v>29.3</v>
      </c>
      <c r="I15" s="8">
        <v>36.700000000000003</v>
      </c>
      <c r="M15" s="46">
        <f t="shared" si="0"/>
        <v>49.31700605224151</v>
      </c>
      <c r="N15" s="46">
        <f t="shared" si="5"/>
        <v>12</v>
      </c>
      <c r="O15" s="50">
        <f t="shared" si="1"/>
        <v>102.65668084898948</v>
      </c>
      <c r="P15" s="50">
        <f t="shared" si="2"/>
        <v>53.339674796747971</v>
      </c>
      <c r="Q15" s="50">
        <f t="shared" si="3"/>
        <v>59.384261166350164</v>
      </c>
    </row>
    <row r="16" spans="1:17">
      <c r="A16" s="78"/>
      <c r="B16" s="79" t="s">
        <v>1</v>
      </c>
      <c r="C16" s="46">
        <f>C13</f>
        <v>0</v>
      </c>
      <c r="D16" s="7">
        <v>1207</v>
      </c>
      <c r="E16" s="7">
        <v>1216</v>
      </c>
      <c r="F16" s="7">
        <v>654</v>
      </c>
      <c r="G16" s="8">
        <v>66.099999999999994</v>
      </c>
      <c r="H16" s="8">
        <v>80.099999999999994</v>
      </c>
      <c r="I16" s="8">
        <v>43.6</v>
      </c>
      <c r="M16" s="46">
        <f t="shared" si="0"/>
        <v>47.038455686504214</v>
      </c>
      <c r="N16" s="46">
        <f t="shared" si="5"/>
        <v>13</v>
      </c>
      <c r="O16" s="50">
        <f t="shared" si="1"/>
        <v>100.27219579222211</v>
      </c>
      <c r="P16" s="50">
        <f t="shared" si="2"/>
        <v>53.233740105717892</v>
      </c>
      <c r="Q16" s="50">
        <f t="shared" si="3"/>
        <v>59.030666491856515</v>
      </c>
    </row>
    <row r="17" spans="1:21">
      <c r="A17" s="78"/>
      <c r="B17" s="79"/>
      <c r="C17" s="46">
        <f t="shared" ref="C17:C21" si="9">C14</f>
        <v>1</v>
      </c>
      <c r="D17" s="7">
        <v>1208</v>
      </c>
      <c r="E17" s="7">
        <v>1217</v>
      </c>
      <c r="F17" s="7">
        <v>653</v>
      </c>
      <c r="G17" s="8">
        <v>75.7</v>
      </c>
      <c r="H17" s="8">
        <v>90.9</v>
      </c>
      <c r="I17" s="8">
        <v>51.1</v>
      </c>
      <c r="M17" s="46">
        <f t="shared" si="0"/>
        <v>44.759905320766919</v>
      </c>
      <c r="N17" s="46">
        <f t="shared" si="5"/>
        <v>14</v>
      </c>
      <c r="O17" s="50">
        <f t="shared" si="1"/>
        <v>97.887710735454732</v>
      </c>
      <c r="P17" s="50">
        <f t="shared" si="2"/>
        <v>53.127805414687813</v>
      </c>
      <c r="Q17" s="50">
        <f t="shared" si="3"/>
        <v>58.677071817362865</v>
      </c>
    </row>
    <row r="18" spans="1:21">
      <c r="A18" s="78"/>
      <c r="B18" s="79"/>
      <c r="C18" s="46">
        <f t="shared" si="9"/>
        <v>2</v>
      </c>
      <c r="D18" s="6">
        <f>2*(D16-D17)/(D16+D17)</f>
        <v>-8.2815734989648033E-4</v>
      </c>
      <c r="E18" s="6">
        <f t="shared" ref="E18:F18" si="10">2*(E16-E17)/(E16+E17)</f>
        <v>-8.2203041512535961E-4</v>
      </c>
      <c r="F18" s="6">
        <f t="shared" si="10"/>
        <v>1.530221882172915E-3</v>
      </c>
      <c r="G18" s="8">
        <v>56</v>
      </c>
      <c r="H18" s="8">
        <v>66.099999999999994</v>
      </c>
      <c r="I18" s="8">
        <v>41</v>
      </c>
      <c r="M18" s="46">
        <f t="shared" si="0"/>
        <v>42.481354955029623</v>
      </c>
      <c r="N18" s="46">
        <f t="shared" si="5"/>
        <v>15</v>
      </c>
      <c r="O18" s="50">
        <f t="shared" si="1"/>
        <v>95.503225678687357</v>
      </c>
      <c r="P18" s="50">
        <f t="shared" si="2"/>
        <v>53.021870723657734</v>
      </c>
      <c r="Q18" s="50">
        <f t="shared" si="3"/>
        <v>58.323477142869216</v>
      </c>
    </row>
    <row r="19" spans="1:21">
      <c r="A19" s="78"/>
      <c r="B19" s="79" t="s">
        <v>2</v>
      </c>
      <c r="C19" s="46">
        <f t="shared" si="9"/>
        <v>0</v>
      </c>
      <c r="D19" s="7">
        <v>510.7</v>
      </c>
      <c r="E19" s="7">
        <v>577.9</v>
      </c>
      <c r="F19" s="7">
        <v>533.20000000000005</v>
      </c>
      <c r="G19" s="8">
        <v>28.2</v>
      </c>
      <c r="H19" s="8">
        <v>38.5</v>
      </c>
      <c r="I19" s="8">
        <v>31.8</v>
      </c>
      <c r="M19" s="46">
        <f t="shared" si="0"/>
        <v>40.202804589292327</v>
      </c>
      <c r="N19" s="46">
        <f t="shared" si="5"/>
        <v>16</v>
      </c>
      <c r="O19" s="50">
        <f t="shared" si="1"/>
        <v>93.118740621919983</v>
      </c>
      <c r="P19" s="50">
        <f t="shared" si="2"/>
        <v>52.915936032627656</v>
      </c>
      <c r="Q19" s="50">
        <f t="shared" si="3"/>
        <v>57.969882468375566</v>
      </c>
    </row>
    <row r="20" spans="1:21">
      <c r="A20" s="78"/>
      <c r="B20" s="79"/>
      <c r="C20" s="46">
        <f t="shared" si="9"/>
        <v>1</v>
      </c>
      <c r="D20" s="7">
        <v>511.8</v>
      </c>
      <c r="E20" s="7">
        <v>578.79999999999995</v>
      </c>
      <c r="F20" s="7">
        <v>533.29999999999995</v>
      </c>
      <c r="G20" s="8">
        <v>33.200000000000003</v>
      </c>
      <c r="H20" s="8">
        <v>45.2</v>
      </c>
      <c r="I20" s="8">
        <v>37.4</v>
      </c>
      <c r="M20" s="46">
        <f t="shared" si="0"/>
        <v>37.924254223555032</v>
      </c>
      <c r="N20" s="46">
        <f t="shared" si="5"/>
        <v>17</v>
      </c>
      <c r="O20" s="50">
        <f t="shared" si="1"/>
        <v>90.734255565152608</v>
      </c>
      <c r="P20" s="50">
        <f t="shared" si="2"/>
        <v>52.810001341597577</v>
      </c>
      <c r="Q20" s="50">
        <f t="shared" si="3"/>
        <v>57.616287793881916</v>
      </c>
    </row>
    <row r="21" spans="1:21">
      <c r="A21" s="78"/>
      <c r="B21" s="79"/>
      <c r="C21" s="46">
        <f t="shared" si="9"/>
        <v>2</v>
      </c>
      <c r="D21" s="6">
        <f>2*(D19-D20)/(D19+D20)</f>
        <v>-2.1515892420538342E-3</v>
      </c>
      <c r="E21" s="6">
        <f t="shared" ref="E21:F21" si="11">2*(E19-E20)/(E19+E20)</f>
        <v>-1.5561511195642387E-3</v>
      </c>
      <c r="F21" s="6">
        <f t="shared" si="11"/>
        <v>-1.8752930145318154E-4</v>
      </c>
      <c r="G21" s="8">
        <v>24.9</v>
      </c>
      <c r="H21" s="8">
        <v>35.5</v>
      </c>
      <c r="I21" s="8">
        <v>28.1</v>
      </c>
      <c r="M21" s="46">
        <f t="shared" si="0"/>
        <v>35.645703857817736</v>
      </c>
      <c r="N21" s="46">
        <f t="shared" si="5"/>
        <v>18</v>
      </c>
      <c r="O21" s="50">
        <f t="shared" si="1"/>
        <v>88.349770508385234</v>
      </c>
      <c r="P21" s="50">
        <f t="shared" si="2"/>
        <v>52.704066650567498</v>
      </c>
      <c r="Q21" s="50">
        <f t="shared" si="3"/>
        <v>57.262693119388267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558.65000000000009</v>
      </c>
      <c r="E22" s="46">
        <f t="shared" ref="E22:F22" si="12">(E13+E14)/2</f>
        <v>518.40000000000009</v>
      </c>
      <c r="F22" s="46">
        <f t="shared" si="12"/>
        <v>156.44999999999999</v>
      </c>
      <c r="G22" s="5">
        <f>G13</f>
        <v>88.1</v>
      </c>
      <c r="H22" s="5">
        <f t="shared" ref="H22:I22" si="13">H13</f>
        <v>33</v>
      </c>
      <c r="I22" s="5">
        <f t="shared" si="13"/>
        <v>39.9</v>
      </c>
      <c r="J22" s="99">
        <f>AVERAGE(G22:I24)</f>
        <v>49.922222222222224</v>
      </c>
      <c r="M22" s="46">
        <f t="shared" si="0"/>
        <v>33.36715349208044</v>
      </c>
      <c r="N22" s="46">
        <f t="shared" si="5"/>
        <v>19</v>
      </c>
      <c r="O22" s="50">
        <f t="shared" si="1"/>
        <v>85.965285451617859</v>
      </c>
      <c r="P22" s="50">
        <f t="shared" si="2"/>
        <v>52.598131959537419</v>
      </c>
      <c r="Q22" s="50">
        <f t="shared" si="3"/>
        <v>56.909098444894617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1207.5</v>
      </c>
      <c r="E23" s="46">
        <f>(E16+E17)/2</f>
        <v>1216.5</v>
      </c>
      <c r="F23" s="46">
        <f>(F16+F17)/2</f>
        <v>653.5</v>
      </c>
      <c r="G23" s="5">
        <f>G16</f>
        <v>66.099999999999994</v>
      </c>
      <c r="H23" s="5">
        <f>H16</f>
        <v>80.099999999999994</v>
      </c>
      <c r="I23" s="5">
        <f>I16</f>
        <v>43.6</v>
      </c>
      <c r="J23" s="99"/>
      <c r="M23" s="46">
        <f t="shared" si="0"/>
        <v>31.088603126343145</v>
      </c>
      <c r="N23" s="46">
        <f t="shared" si="5"/>
        <v>20</v>
      </c>
      <c r="O23" s="50">
        <f t="shared" si="1"/>
        <v>83.580800394850485</v>
      </c>
      <c r="P23" s="50">
        <f t="shared" si="2"/>
        <v>52.49219726850734</v>
      </c>
      <c r="Q23" s="50">
        <f t="shared" si="3"/>
        <v>56.555503770400968</v>
      </c>
    </row>
    <row r="24" spans="1:21">
      <c r="A24" s="78"/>
      <c r="B24" s="46" t="str">
        <f>B19</f>
        <v>D65</v>
      </c>
      <c r="C24" s="79"/>
      <c r="D24" s="46">
        <f>(D19+D20)/2</f>
        <v>511.25</v>
      </c>
      <c r="E24" s="46">
        <f>(E19+E20)/2</f>
        <v>578.34999999999991</v>
      </c>
      <c r="F24" s="46">
        <f>(F19+F20)/2</f>
        <v>533.25</v>
      </c>
      <c r="G24" s="5">
        <f>G19</f>
        <v>28.2</v>
      </c>
      <c r="H24" s="5">
        <f>H19</f>
        <v>38.5</v>
      </c>
      <c r="I24" s="5">
        <f>I19</f>
        <v>31.8</v>
      </c>
      <c r="J24" s="99"/>
      <c r="M24" s="46">
        <f t="shared" si="0"/>
        <v>28.810052760605849</v>
      </c>
      <c r="N24" s="46">
        <f t="shared" si="5"/>
        <v>21</v>
      </c>
      <c r="O24" s="50">
        <f t="shared" si="1"/>
        <v>81.19631533808311</v>
      </c>
      <c r="P24" s="50">
        <f t="shared" si="2"/>
        <v>52.386262577477261</v>
      </c>
      <c r="Q24" s="50">
        <f t="shared" si="3"/>
        <v>56.201909095907318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558.65000000000009</v>
      </c>
      <c r="E25" s="46">
        <f t="shared" ref="E25:F25" si="15">(E13+E14)/2</f>
        <v>518.40000000000009</v>
      </c>
      <c r="F25" s="46">
        <f t="shared" si="15"/>
        <v>156.44999999999999</v>
      </c>
      <c r="G25" s="5">
        <f t="shared" ref="G25:I25" si="16">G14</f>
        <v>99</v>
      </c>
      <c r="H25" s="5">
        <f t="shared" si="16"/>
        <v>38.9</v>
      </c>
      <c r="I25" s="5">
        <f t="shared" si="16"/>
        <v>46.8</v>
      </c>
      <c r="J25" s="99">
        <f>AVERAGE(G25:I27)</f>
        <v>57.577777777777769</v>
      </c>
      <c r="M25" s="46">
        <f t="shared" si="0"/>
        <v>26.531502394868554</v>
      </c>
      <c r="N25" s="46">
        <f t="shared" si="5"/>
        <v>22</v>
      </c>
      <c r="O25" s="50">
        <f t="shared" si="1"/>
        <v>78.811830281315736</v>
      </c>
      <c r="P25" s="50">
        <f t="shared" si="2"/>
        <v>52.280327886447182</v>
      </c>
      <c r="Q25" s="50">
        <f t="shared" si="3"/>
        <v>55.848314421413669</v>
      </c>
    </row>
    <row r="26" spans="1:21">
      <c r="A26" s="78"/>
      <c r="B26" s="46" t="str">
        <f>B16</f>
        <v>CWF</v>
      </c>
      <c r="C26" s="79"/>
      <c r="D26" s="46">
        <f>(D16+D17)/2</f>
        <v>1207.5</v>
      </c>
      <c r="E26" s="46">
        <f>(E16+E17)/2</f>
        <v>1216.5</v>
      </c>
      <c r="F26" s="46">
        <f>(F16+F17)/2</f>
        <v>653.5</v>
      </c>
      <c r="G26" s="5">
        <f>G17</f>
        <v>75.7</v>
      </c>
      <c r="H26" s="5">
        <f>H17</f>
        <v>90.9</v>
      </c>
      <c r="I26" s="5">
        <f>I17</f>
        <v>51.1</v>
      </c>
      <c r="J26" s="99"/>
      <c r="M26" s="46">
        <f t="shared" si="0"/>
        <v>24.252952029131258</v>
      </c>
      <c r="N26" s="46">
        <f t="shared" si="5"/>
        <v>23</v>
      </c>
      <c r="O26" s="50">
        <f t="shared" si="1"/>
        <v>76.427345224548361</v>
      </c>
      <c r="P26" s="50">
        <f t="shared" si="2"/>
        <v>52.174393195417103</v>
      </c>
      <c r="Q26" s="50">
        <f t="shared" si="3"/>
        <v>55.494719746920019</v>
      </c>
    </row>
    <row r="27" spans="1:21">
      <c r="A27" s="78"/>
      <c r="B27" s="46" t="str">
        <f>B19</f>
        <v>D65</v>
      </c>
      <c r="C27" s="79"/>
      <c r="D27" s="46">
        <f>(D19+D20)/2</f>
        <v>511.25</v>
      </c>
      <c r="E27" s="46">
        <f>(E19+E20)/2</f>
        <v>578.34999999999991</v>
      </c>
      <c r="F27" s="46">
        <f>(F19+F20)/2</f>
        <v>533.25</v>
      </c>
      <c r="G27" s="5">
        <f>G20</f>
        <v>33.200000000000003</v>
      </c>
      <c r="H27" s="5">
        <f>H20</f>
        <v>45.2</v>
      </c>
      <c r="I27" s="5">
        <f>I20</f>
        <v>37.4</v>
      </c>
      <c r="J27" s="99"/>
      <c r="M27" s="46">
        <f t="shared" si="0"/>
        <v>21.974401663393962</v>
      </c>
      <c r="N27" s="46">
        <f t="shared" si="5"/>
        <v>24</v>
      </c>
      <c r="O27" s="50">
        <f t="shared" si="1"/>
        <v>74.042860167780987</v>
      </c>
      <c r="P27" s="50">
        <f t="shared" si="2"/>
        <v>52.068458504387024</v>
      </c>
      <c r="Q27" s="50">
        <f t="shared" si="3"/>
        <v>55.14112507242637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558.65000000000009</v>
      </c>
      <c r="E28" s="46">
        <f t="shared" ref="E28:F28" si="17">(E13+E14)/2</f>
        <v>518.40000000000009</v>
      </c>
      <c r="F28" s="46">
        <f t="shared" si="17"/>
        <v>156.44999999999999</v>
      </c>
      <c r="G28" s="5">
        <f t="shared" ref="G28:I28" si="18">G15</f>
        <v>93.8</v>
      </c>
      <c r="H28" s="5">
        <f t="shared" si="18"/>
        <v>29.3</v>
      </c>
      <c r="I28" s="5">
        <f t="shared" si="18"/>
        <v>36.700000000000003</v>
      </c>
      <c r="J28" s="99">
        <f>AVERAGE(G28:I30)</f>
        <v>45.711111111111109</v>
      </c>
      <c r="M28" s="46">
        <f t="shared" si="0"/>
        <v>19.695851297656667</v>
      </c>
      <c r="N28" s="46">
        <f t="shared" si="5"/>
        <v>25</v>
      </c>
      <c r="O28" s="50">
        <f t="shared" si="1"/>
        <v>71.658375111013612</v>
      </c>
      <c r="P28" s="50">
        <f t="shared" si="2"/>
        <v>51.962523813356945</v>
      </c>
      <c r="Q28" s="50">
        <f t="shared" si="3"/>
        <v>54.78753039793272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1207.5</v>
      </c>
      <c r="E29" s="46">
        <f t="shared" si="20"/>
        <v>1216.5</v>
      </c>
      <c r="F29" s="46">
        <f t="shared" si="20"/>
        <v>653.5</v>
      </c>
      <c r="G29" s="5">
        <f t="shared" ref="G29:I29" si="21">G18</f>
        <v>56</v>
      </c>
      <c r="H29" s="5">
        <f t="shared" si="21"/>
        <v>66.099999999999994</v>
      </c>
      <c r="I29" s="5">
        <f t="shared" si="21"/>
        <v>41</v>
      </c>
      <c r="J29" s="99"/>
      <c r="M29" s="46">
        <f t="shared" si="0"/>
        <v>17.417300931919371</v>
      </c>
      <c r="N29" s="46">
        <f t="shared" si="5"/>
        <v>26</v>
      </c>
      <c r="O29" s="50">
        <f t="shared" si="1"/>
        <v>69.273890054246237</v>
      </c>
      <c r="P29" s="50">
        <f t="shared" si="2"/>
        <v>51.856589122326866</v>
      </c>
      <c r="Q29" s="50">
        <f t="shared" si="3"/>
        <v>54.43393572343907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511.25</v>
      </c>
      <c r="E30" s="46">
        <f t="shared" si="23"/>
        <v>578.34999999999991</v>
      </c>
      <c r="F30" s="46">
        <f t="shared" si="23"/>
        <v>533.25</v>
      </c>
      <c r="G30" s="5">
        <f t="shared" ref="G30:I30" si="24">G21</f>
        <v>24.9</v>
      </c>
      <c r="H30" s="5">
        <f t="shared" si="24"/>
        <v>35.5</v>
      </c>
      <c r="I30" s="5">
        <f t="shared" si="24"/>
        <v>28.1</v>
      </c>
      <c r="J30" s="99"/>
      <c r="M30" s="46">
        <f t="shared" si="0"/>
        <v>15.138750566182075</v>
      </c>
      <c r="N30" s="46">
        <f t="shared" si="5"/>
        <v>27</v>
      </c>
      <c r="O30" s="50">
        <f t="shared" si="1"/>
        <v>66.889404997478863</v>
      </c>
      <c r="P30" s="50">
        <f t="shared" si="2"/>
        <v>51.750654431296788</v>
      </c>
      <c r="Q30" s="50">
        <f t="shared" si="3"/>
        <v>54.080341048945421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558.65000000000009</v>
      </c>
      <c r="E31" s="46">
        <f t="shared" si="25"/>
        <v>518.40000000000009</v>
      </c>
      <c r="F31" s="46">
        <f t="shared" si="25"/>
        <v>156.44999999999999</v>
      </c>
      <c r="G31" s="5">
        <f t="shared" ref="G31:I33" si="26">G22*$J$31</f>
        <v>88.1</v>
      </c>
      <c r="H31" s="5">
        <f t="shared" si="26"/>
        <v>33</v>
      </c>
      <c r="I31" s="5">
        <f t="shared" si="26"/>
        <v>39.9</v>
      </c>
      <c r="J31" s="96">
        <f>J$22/J22</f>
        <v>1</v>
      </c>
      <c r="M31" s="46">
        <f t="shared" si="0"/>
        <v>12.86020020044478</v>
      </c>
      <c r="N31" s="46">
        <f t="shared" si="5"/>
        <v>28</v>
      </c>
      <c r="O31" s="50">
        <f t="shared" si="1"/>
        <v>64.504919940711488</v>
      </c>
      <c r="P31" s="50">
        <f t="shared" si="2"/>
        <v>51.644719740266709</v>
      </c>
      <c r="Q31" s="50">
        <f t="shared" si="3"/>
        <v>53.726746374451771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1207.5</v>
      </c>
      <c r="E32" s="46">
        <f t="shared" si="27"/>
        <v>1216.5</v>
      </c>
      <c r="F32" s="46">
        <f t="shared" si="27"/>
        <v>653.5</v>
      </c>
      <c r="G32" s="5">
        <f t="shared" si="26"/>
        <v>66.099999999999994</v>
      </c>
      <c r="H32" s="5">
        <f t="shared" si="26"/>
        <v>80.099999999999994</v>
      </c>
      <c r="I32" s="5">
        <f t="shared" si="26"/>
        <v>43.6</v>
      </c>
      <c r="J32" s="96"/>
      <c r="M32" s="46">
        <f t="shared" si="0"/>
        <v>10.581649834707484</v>
      </c>
      <c r="N32" s="46">
        <f t="shared" si="5"/>
        <v>29</v>
      </c>
      <c r="O32" s="50">
        <f t="shared" si="1"/>
        <v>62.120434883944114</v>
      </c>
      <c r="P32" s="50">
        <f t="shared" si="2"/>
        <v>51.53878504923663</v>
      </c>
      <c r="Q32" s="50">
        <f t="shared" si="3"/>
        <v>53.373151699958122</v>
      </c>
    </row>
    <row r="33" spans="1:17">
      <c r="A33" s="78"/>
      <c r="B33" s="46" t="str">
        <f t="shared" si="27"/>
        <v>D65</v>
      </c>
      <c r="C33" s="79"/>
      <c r="D33" s="46">
        <f t="shared" si="27"/>
        <v>511.25</v>
      </c>
      <c r="E33" s="46">
        <f t="shared" si="27"/>
        <v>578.34999999999991</v>
      </c>
      <c r="F33" s="46">
        <f t="shared" si="27"/>
        <v>533.25</v>
      </c>
      <c r="G33" s="5">
        <f t="shared" si="26"/>
        <v>28.2</v>
      </c>
      <c r="H33" s="5">
        <f t="shared" si="26"/>
        <v>38.5</v>
      </c>
      <c r="I33" s="5">
        <f t="shared" si="26"/>
        <v>31.8</v>
      </c>
      <c r="J33" s="96"/>
      <c r="M33" s="46">
        <f t="shared" si="0"/>
        <v>8.3030994689701885</v>
      </c>
      <c r="N33" s="46">
        <f t="shared" si="5"/>
        <v>30</v>
      </c>
      <c r="O33" s="50">
        <f t="shared" si="1"/>
        <v>59.735949827176739</v>
      </c>
      <c r="P33" s="50">
        <f t="shared" si="2"/>
        <v>51.432850358206551</v>
      </c>
      <c r="Q33" s="50">
        <f t="shared" si="3"/>
        <v>53.019557025464472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558.65000000000009</v>
      </c>
      <c r="E34" s="46">
        <f t="shared" si="27"/>
        <v>518.40000000000009</v>
      </c>
      <c r="F34" s="46">
        <f t="shared" si="27"/>
        <v>156.44999999999999</v>
      </c>
      <c r="G34" s="5">
        <f t="shared" ref="G34:I36" si="28">G25*$J$34</f>
        <v>85.836935546121211</v>
      </c>
      <c r="H34" s="5">
        <f t="shared" si="28"/>
        <v>33.727846391354696</v>
      </c>
      <c r="I34" s="5">
        <f t="shared" si="28"/>
        <v>40.57746043998457</v>
      </c>
      <c r="J34" s="96">
        <f>J$22/J25</f>
        <v>0.86703975299112335</v>
      </c>
      <c r="M34" s="46">
        <f t="shared" si="0"/>
        <v>6.0245491032328857</v>
      </c>
      <c r="N34" s="46">
        <f t="shared" si="5"/>
        <v>31</v>
      </c>
      <c r="O34" s="50">
        <f t="shared" si="1"/>
        <v>57.351464770409365</v>
      </c>
      <c r="P34" s="50">
        <f t="shared" si="2"/>
        <v>51.326915667176479</v>
      </c>
      <c r="Q34" s="50">
        <f t="shared" si="3"/>
        <v>52.665962350970823</v>
      </c>
    </row>
    <row r="35" spans="1:17">
      <c r="A35" s="78"/>
      <c r="B35" s="46" t="str">
        <f t="shared" si="27"/>
        <v>CWF</v>
      </c>
      <c r="C35" s="79"/>
      <c r="D35" s="46">
        <f t="shared" si="27"/>
        <v>1207.5</v>
      </c>
      <c r="E35" s="46">
        <f t="shared" si="27"/>
        <v>1216.5</v>
      </c>
      <c r="F35" s="46">
        <f t="shared" si="27"/>
        <v>653.5</v>
      </c>
      <c r="G35" s="5">
        <f t="shared" si="28"/>
        <v>65.634909301428038</v>
      </c>
      <c r="H35" s="5">
        <f t="shared" si="28"/>
        <v>78.813913546893119</v>
      </c>
      <c r="I35" s="5">
        <f t="shared" si="28"/>
        <v>44.305731377846406</v>
      </c>
      <c r="J35" s="96"/>
      <c r="M35" s="46">
        <f t="shared" si="0"/>
        <v>3.7459987374955901</v>
      </c>
      <c r="N35" s="46">
        <f t="shared" si="5"/>
        <v>32</v>
      </c>
      <c r="O35" s="50">
        <f t="shared" si="1"/>
        <v>54.96697971364199</v>
      </c>
      <c r="P35" s="50">
        <f t="shared" si="2"/>
        <v>51.2209809761464</v>
      </c>
      <c r="Q35" s="50">
        <f t="shared" si="3"/>
        <v>52.312367676477173</v>
      </c>
    </row>
    <row r="36" spans="1:17">
      <c r="A36" s="78"/>
      <c r="B36" s="46" t="str">
        <f t="shared" si="27"/>
        <v>D65</v>
      </c>
      <c r="C36" s="79"/>
      <c r="D36" s="46">
        <f t="shared" si="27"/>
        <v>511.25</v>
      </c>
      <c r="E36" s="46">
        <f t="shared" si="27"/>
        <v>578.34999999999991</v>
      </c>
      <c r="F36" s="46">
        <f t="shared" si="27"/>
        <v>533.25</v>
      </c>
      <c r="G36" s="5">
        <f t="shared" si="28"/>
        <v>28.785719799305298</v>
      </c>
      <c r="H36" s="5">
        <f t="shared" si="28"/>
        <v>39.190196835198776</v>
      </c>
      <c r="I36" s="5">
        <f t="shared" si="28"/>
        <v>32.427286761868011</v>
      </c>
      <c r="J36" s="96"/>
      <c r="M36" s="46">
        <f t="shared" si="0"/>
        <v>1.4674483717582945</v>
      </c>
      <c r="N36" s="46">
        <f t="shared" si="5"/>
        <v>33</v>
      </c>
      <c r="O36" s="50">
        <f t="shared" si="1"/>
        <v>52.582494656874616</v>
      </c>
      <c r="P36" s="50">
        <f t="shared" si="2"/>
        <v>51.115046285116321</v>
      </c>
      <c r="Q36" s="50">
        <f t="shared" si="3"/>
        <v>51.958773001983523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558.65000000000009</v>
      </c>
      <c r="E37" s="46">
        <f t="shared" si="27"/>
        <v>518.40000000000009</v>
      </c>
      <c r="F37" s="46">
        <f t="shared" si="27"/>
        <v>156.44999999999999</v>
      </c>
      <c r="G37" s="5">
        <f t="shared" ref="G37:I39" si="29">G28*$J$37</f>
        <v>102.44127369956247</v>
      </c>
      <c r="H37" s="5">
        <f t="shared" si="29"/>
        <v>31.999246475449688</v>
      </c>
      <c r="I37" s="5">
        <f t="shared" si="29"/>
        <v>40.08096742829364</v>
      </c>
      <c r="J37" s="96">
        <f>J$22/J28</f>
        <v>1.09212445308702</v>
      </c>
      <c r="K37" s="51" t="str">
        <f>CHAR(34) &amp; "EEpromVersion" &amp;CHAR(34)  &amp; ",3,"</f>
        <v>"EEpromVersion",3,</v>
      </c>
      <c r="M37" s="46">
        <f t="shared" si="0"/>
        <v>1.4071687273826328</v>
      </c>
      <c r="N37" s="46">
        <f t="shared" si="5"/>
        <v>34</v>
      </c>
      <c r="O37" s="50">
        <f t="shared" si="1"/>
        <v>50.198009600107241</v>
      </c>
      <c r="P37" s="50">
        <f t="shared" si="2"/>
        <v>51.009111594086242</v>
      </c>
      <c r="Q37" s="50">
        <f t="shared" si="3"/>
        <v>51.605178327489874</v>
      </c>
    </row>
    <row r="38" spans="1:17">
      <c r="A38" s="78"/>
      <c r="B38" s="46" t="str">
        <f t="shared" si="27"/>
        <v>CWF</v>
      </c>
      <c r="C38" s="79"/>
      <c r="D38" s="46">
        <f t="shared" si="27"/>
        <v>1207.5</v>
      </c>
      <c r="E38" s="46">
        <f t="shared" si="27"/>
        <v>1216.5</v>
      </c>
      <c r="F38" s="46">
        <f t="shared" si="27"/>
        <v>653.5</v>
      </c>
      <c r="G38" s="5">
        <f t="shared" si="29"/>
        <v>61.158969372873116</v>
      </c>
      <c r="H38" s="5">
        <f t="shared" si="29"/>
        <v>72.189426349052013</v>
      </c>
      <c r="I38" s="5">
        <f t="shared" si="29"/>
        <v>44.77710257656782</v>
      </c>
      <c r="J38" s="96"/>
      <c r="K38" s="52" t="str">
        <f>K4</f>
        <v>"Compensation",34,</v>
      </c>
      <c r="M38" s="46">
        <f t="shared" si="0"/>
        <v>3.4380591096563577</v>
      </c>
      <c r="N38" s="46">
        <f t="shared" si="5"/>
        <v>35</v>
      </c>
      <c r="O38" s="50">
        <f t="shared" si="1"/>
        <v>47.813524543339867</v>
      </c>
      <c r="P38" s="50">
        <f t="shared" si="2"/>
        <v>50.903176903056163</v>
      </c>
      <c r="Q38" s="50">
        <f t="shared" si="3"/>
        <v>51.251583652996224</v>
      </c>
    </row>
    <row r="39" spans="1:17">
      <c r="A39" s="78"/>
      <c r="B39" s="46" t="str">
        <f t="shared" si="27"/>
        <v>D65</v>
      </c>
      <c r="C39" s="79"/>
      <c r="D39" s="46">
        <f t="shared" si="27"/>
        <v>511.25</v>
      </c>
      <c r="E39" s="46">
        <f t="shared" si="27"/>
        <v>578.34999999999991</v>
      </c>
      <c r="F39" s="46">
        <f t="shared" si="27"/>
        <v>533.25</v>
      </c>
      <c r="G39" s="5">
        <f t="shared" si="29"/>
        <v>27.193898881866797</v>
      </c>
      <c r="H39" s="5">
        <f t="shared" si="29"/>
        <v>38.77041808458921</v>
      </c>
      <c r="I39" s="5">
        <f t="shared" si="29"/>
        <v>30.688697131745265</v>
      </c>
      <c r="J39" s="96"/>
      <c r="K39" s="53" t="str">
        <f>linefmt("CardGain",J42,J45,J48)</f>
        <v>"CardGain",15.06268,16.03153,20.77082,</v>
      </c>
      <c r="M39" s="46">
        <f t="shared" si="0"/>
        <v>5.4689494919300827</v>
      </c>
      <c r="N39" s="46">
        <f t="shared" si="5"/>
        <v>36</v>
      </c>
      <c r="O39" s="50">
        <f t="shared" si="1"/>
        <v>45.429039486572492</v>
      </c>
      <c r="P39" s="50">
        <f t="shared" si="2"/>
        <v>50.797242212026084</v>
      </c>
      <c r="Q39" s="50">
        <f t="shared" si="3"/>
        <v>50.897988978502575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"Range",1,0.8670397,1.092124,</v>
      </c>
      <c r="M40" s="46">
        <f t="shared" si="0"/>
        <v>7.6467530911908881</v>
      </c>
      <c r="N40" s="46">
        <f t="shared" si="5"/>
        <v>37</v>
      </c>
      <c r="O40" s="50">
        <f t="shared" si="1"/>
        <v>43.044554429805117</v>
      </c>
      <c r="P40" s="50">
        <f t="shared" si="2"/>
        <v>50.691307520996006</v>
      </c>
      <c r="Q40" s="50">
        <f t="shared" si="3"/>
        <v>50.544394304008925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9.9253034569281837</v>
      </c>
      <c r="N41" s="46">
        <f t="shared" si="5"/>
        <v>38</v>
      </c>
      <c r="O41" s="50">
        <f t="shared" si="1"/>
        <v>40.660069373037743</v>
      </c>
      <c r="P41" s="50">
        <f t="shared" si="2"/>
        <v>50.585372829965927</v>
      </c>
      <c r="Q41" s="50">
        <f t="shared" si="3"/>
        <v>50.190799629515276</v>
      </c>
    </row>
    <row r="42" spans="1:17">
      <c r="A42" s="4"/>
      <c r="B42" s="46" t="s">
        <v>3</v>
      </c>
      <c r="C42" s="79">
        <f>C31</f>
        <v>0</v>
      </c>
      <c r="D42" s="46">
        <f>I42/$H$43</f>
        <v>0.19601289884522557</v>
      </c>
      <c r="E42" s="46">
        <f>H42/$H$43</f>
        <v>1.0343139847278053</v>
      </c>
      <c r="F42" s="46">
        <f>G42/$H$43</f>
        <v>-0.35871553302508302</v>
      </c>
      <c r="G42" s="46">
        <f t="array" ref="G42:I42">LINEST($D31:$D33,$G31:$I33,FALSE)</f>
        <v>-5.4032180644592014</v>
      </c>
      <c r="H42" s="46">
        <v>15.579542818998235</v>
      </c>
      <c r="I42" s="46">
        <v>2.9524799971053381</v>
      </c>
      <c r="J42" s="97">
        <f>H43</f>
        <v>15.062682172955649</v>
      </c>
      <c r="K42" s="53" t="str">
        <f t="shared" ref="K42:K50" si="30">linefmt("",D42,E42,F42)</f>
        <v>0.1960129,1.034314,-0.3587155,</v>
      </c>
      <c r="M42" s="46">
        <f t="shared" si="0"/>
        <v>12.203853822665479</v>
      </c>
      <c r="N42" s="46">
        <f t="shared" si="5"/>
        <v>39</v>
      </c>
      <c r="O42" s="50">
        <f t="shared" si="1"/>
        <v>38.275584316270368</v>
      </c>
      <c r="P42" s="50">
        <f t="shared" si="2"/>
        <v>50.479438138935848</v>
      </c>
      <c r="Q42" s="50">
        <f t="shared" si="3"/>
        <v>49.837204955021626</v>
      </c>
    </row>
    <row r="43" spans="1:17">
      <c r="A43" s="4"/>
      <c r="B43" s="46" t="s">
        <v>4</v>
      </c>
      <c r="C43" s="79"/>
      <c r="D43" s="46">
        <f>I43/$H$43</f>
        <v>2.933401407412161E-2</v>
      </c>
      <c r="E43" s="46">
        <f>H43/$H$43</f>
        <v>1</v>
      </c>
      <c r="F43" s="46">
        <f>G43/$H$43</f>
        <v>-2.927682644189002E-2</v>
      </c>
      <c r="G43" s="46">
        <f t="array" ref="G43:I43">LINEST($E31:$E33,$G31:$I33,FALSE)</f>
        <v>-0.44098753172697336</v>
      </c>
      <c r="H43" s="46">
        <v>15.062682172955649</v>
      </c>
      <c r="I43" s="46">
        <v>0.4418489308555017</v>
      </c>
      <c r="J43" s="97"/>
      <c r="K43" s="53" t="str">
        <f t="shared" si="30"/>
        <v>2.933401E-02,1,-2.927683E-02,</v>
      </c>
      <c r="M43" s="46">
        <f t="shared" si="0"/>
        <v>14.482404188402775</v>
      </c>
      <c r="N43" s="46">
        <f t="shared" si="5"/>
        <v>40</v>
      </c>
      <c r="O43" s="50">
        <f t="shared" si="1"/>
        <v>35.891099259502994</v>
      </c>
      <c r="P43" s="50">
        <f t="shared" si="2"/>
        <v>50.373503447905769</v>
      </c>
      <c r="Q43" s="50">
        <f t="shared" si="3"/>
        <v>49.483610280527976</v>
      </c>
    </row>
    <row r="44" spans="1:17">
      <c r="A44" s="4"/>
      <c r="B44" s="46" t="s">
        <v>5</v>
      </c>
      <c r="C44" s="79"/>
      <c r="D44" s="46">
        <f>I44/$H$43</f>
        <v>-0.54222072126794918</v>
      </c>
      <c r="E44" s="46">
        <f>H44/$H$43</f>
        <v>0.35597261511646466</v>
      </c>
      <c r="F44" s="46">
        <f>G44/$H$43</f>
        <v>1.1631364816086498</v>
      </c>
      <c r="G44" s="46">
        <f t="array" ref="G44:I44">LINEST($F$31:$F$33,$G31:$I33,FALSE)</f>
        <v>17.519955146240964</v>
      </c>
      <c r="H44" s="46">
        <v>5.361902363775175</v>
      </c>
      <c r="I44" s="46">
        <v>-8.1672983920498918</v>
      </c>
      <c r="J44" s="97"/>
      <c r="K44" s="53" t="str">
        <f t="shared" si="30"/>
        <v>-0.5422207,0.3559726,1.163136,</v>
      </c>
      <c r="M44" s="46">
        <f t="shared" si="0"/>
        <v>16.760954554140071</v>
      </c>
      <c r="N44" s="46">
        <f t="shared" si="5"/>
        <v>41</v>
      </c>
      <c r="O44" s="50">
        <f t="shared" si="1"/>
        <v>33.506614202735619</v>
      </c>
      <c r="P44" s="50">
        <f t="shared" si="2"/>
        <v>50.26756875687569</v>
      </c>
      <c r="Q44" s="50">
        <f t="shared" si="3"/>
        <v>49.130015606034327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0.21565558151324893</v>
      </c>
      <c r="E45" s="46">
        <f>H45/$H$46</f>
        <v>1.0319612527086206</v>
      </c>
      <c r="F45" s="46">
        <f>G45/$H$46</f>
        <v>-0.45518127523145624</v>
      </c>
      <c r="G45" s="46">
        <f t="array" ref="G45:I45">LINEST($D34:$D36,$G34:$I36,FALSE)</f>
        <v>-7.2972543727964903</v>
      </c>
      <c r="H45" s="46">
        <v>16.543922550538426</v>
      </c>
      <c r="I45" s="46">
        <v>3.4572899212853483</v>
      </c>
      <c r="J45" s="97">
        <f>H46</f>
        <v>16.03153462120315</v>
      </c>
      <c r="K45" s="53" t="str">
        <f t="shared" si="30"/>
        <v>0.2156556,1.031961,-0.4551813,</v>
      </c>
      <c r="M45" s="46">
        <f t="shared" si="0"/>
        <v>19.039504919877366</v>
      </c>
      <c r="N45" s="46">
        <f t="shared" si="5"/>
        <v>42</v>
      </c>
      <c r="O45" s="50">
        <f t="shared" si="1"/>
        <v>31.122129145968245</v>
      </c>
      <c r="P45" s="50">
        <f t="shared" si="2"/>
        <v>50.161634065845611</v>
      </c>
      <c r="Q45" s="50">
        <f t="shared" si="3"/>
        <v>48.776420931540677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5.0297096758812471E-2</v>
      </c>
      <c r="E46" s="46">
        <f>H46/$H$46</f>
        <v>1</v>
      </c>
      <c r="F46" s="46">
        <f>G46/$H$46</f>
        <v>-0.14069207337661452</v>
      </c>
      <c r="G46" s="46">
        <f t="array" ref="G46:I46">LINEST($E34:$E36,$G34:$I36,FALSE)</f>
        <v>-2.2555098452660496</v>
      </c>
      <c r="H46" s="46">
        <v>16.03153462120315</v>
      </c>
      <c r="I46" s="46">
        <v>0.80633964803490688</v>
      </c>
      <c r="J46" s="97"/>
      <c r="K46" s="53" t="str">
        <f t="shared" si="30"/>
        <v>0.0502971,1,-0.1406921,</v>
      </c>
      <c r="M46" s="46">
        <f t="shared" si="0"/>
        <v>21.318055285614662</v>
      </c>
      <c r="N46" s="46">
        <f t="shared" si="5"/>
        <v>43</v>
      </c>
      <c r="O46" s="50">
        <f t="shared" si="1"/>
        <v>28.73764408920087</v>
      </c>
      <c r="P46" s="50">
        <f t="shared" si="2"/>
        <v>50.055699374815532</v>
      </c>
      <c r="Q46" s="50">
        <f t="shared" si="3"/>
        <v>48.422826257047028</v>
      </c>
    </row>
    <row r="47" spans="1:17">
      <c r="A47" s="4"/>
      <c r="B47" s="46" t="str">
        <f t="shared" si="31"/>
        <v>Z</v>
      </c>
      <c r="C47" s="79"/>
      <c r="D47" s="46">
        <f>I47/$H$46</f>
        <v>-0.5277323165880673</v>
      </c>
      <c r="E47" s="46">
        <f>H47/$H$46</f>
        <v>0.36402870756407857</v>
      </c>
      <c r="F47" s="46">
        <f>G47/$H$46</f>
        <v>1.0542776979294102</v>
      </c>
      <c r="G47" s="46">
        <f t="array" ref="G47:I47">LINEST($F$31:$F$33,$G34:$I36,FALSE)</f>
        <v>16.901689414717694</v>
      </c>
      <c r="H47" s="46">
        <v>5.8359388284253626</v>
      </c>
      <c r="I47" s="46">
        <v>-8.4603589041093414</v>
      </c>
      <c r="J47" s="97"/>
      <c r="K47" s="53" t="str">
        <f t="shared" si="30"/>
        <v>-0.5277323,0.3640287,1.054278,</v>
      </c>
      <c r="M47" s="46">
        <f t="shared" si="0"/>
        <v>23.596605651351958</v>
      </c>
      <c r="N47" s="46">
        <f t="shared" si="5"/>
        <v>44</v>
      </c>
      <c r="O47" s="50">
        <f t="shared" si="1"/>
        <v>26.353159032433496</v>
      </c>
      <c r="P47" s="50">
        <f t="shared" si="2"/>
        <v>49.949764683785453</v>
      </c>
      <c r="Q47" s="50">
        <f t="shared" si="3"/>
        <v>48.069231582553378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0.22971402226099213</v>
      </c>
      <c r="E48" s="46">
        <f>H48/$H$49</f>
        <v>1.1066546428536734</v>
      </c>
      <c r="F48" s="46">
        <f>G48/$H$49</f>
        <v>-0.79959167281728627</v>
      </c>
      <c r="G48" s="46">
        <f t="array" ref="G48:I48">LINEST($D37:$D39,$G37:$I39,FALSE)</f>
        <v>-16.608175336561796</v>
      </c>
      <c r="H48" s="46">
        <v>22.986125256626909</v>
      </c>
      <c r="I48" s="46">
        <v>4.7713487879821983</v>
      </c>
      <c r="J48" s="97">
        <f>H49</f>
        <v>20.770820784119035</v>
      </c>
      <c r="K48" s="53" t="str">
        <f t="shared" si="30"/>
        <v>0.229714,1.106655,-0.7995917,</v>
      </c>
      <c r="M48" s="46">
        <f t="shared" si="0"/>
        <v>25.875156017089253</v>
      </c>
      <c r="N48" s="46">
        <f t="shared" si="5"/>
        <v>45</v>
      </c>
      <c r="O48" s="50">
        <f t="shared" si="1"/>
        <v>23.968673975666121</v>
      </c>
      <c r="P48" s="50">
        <f t="shared" si="2"/>
        <v>49.843829992755374</v>
      </c>
      <c r="Q48" s="50">
        <f t="shared" si="3"/>
        <v>47.715636908059729</v>
      </c>
    </row>
    <row r="49" spans="1:24">
      <c r="A49" s="4"/>
      <c r="B49" s="46" t="str">
        <f t="shared" si="31"/>
        <v>Y</v>
      </c>
      <c r="C49" s="79"/>
      <c r="D49" s="46">
        <f>I49/$H$49</f>
        <v>0.10801443639295556</v>
      </c>
      <c r="E49" s="46">
        <f>H49/$H$49</f>
        <v>1</v>
      </c>
      <c r="F49" s="46">
        <f>G49/$H$49</f>
        <v>-0.45174292881429018</v>
      </c>
      <c r="G49" s="46">
        <f t="array" ref="G49:I49">LINEST($E37:$E39,$G37:$I39,FALSE)</f>
        <v>-9.3830714148946637</v>
      </c>
      <c r="H49" s="46">
        <v>20.770820784119035</v>
      </c>
      <c r="I49" s="46">
        <v>2.243548500415705</v>
      </c>
      <c r="J49" s="97"/>
      <c r="K49" s="53" t="str">
        <f t="shared" si="30"/>
        <v>0.1080144,1,-0.4517429,</v>
      </c>
      <c r="M49" s="46">
        <f t="shared" si="0"/>
        <v>28.153706382826549</v>
      </c>
      <c r="N49" s="46">
        <f t="shared" si="5"/>
        <v>46</v>
      </c>
      <c r="O49" s="50">
        <f t="shared" si="1"/>
        <v>21.584188918898747</v>
      </c>
      <c r="P49" s="50">
        <f t="shared" si="2"/>
        <v>49.737895301725295</v>
      </c>
      <c r="Q49" s="50">
        <f t="shared" si="3"/>
        <v>47.362042233566079</v>
      </c>
    </row>
    <row r="50" spans="1:24">
      <c r="A50" s="4"/>
      <c r="B50" s="46" t="str">
        <f t="shared" si="31"/>
        <v>Z</v>
      </c>
      <c r="C50" s="79"/>
      <c r="D50" s="46">
        <f>I50/$H$49</f>
        <v>-0.35819680131724158</v>
      </c>
      <c r="E50" s="46">
        <f>H50/$H$49</f>
        <v>0.10870142670836144</v>
      </c>
      <c r="F50" s="46">
        <f>G50/$H$49</f>
        <v>1.0166414777789134</v>
      </c>
      <c r="G50" s="46">
        <f t="array" ref="G50:I50">LINEST($F$31:$F$33,$G37:$I39,FALSE)</f>
        <v>21.116477936647744</v>
      </c>
      <c r="H50" s="46">
        <v>2.2578178531374258</v>
      </c>
      <c r="I50" s="46">
        <v>-7.4400415656051173</v>
      </c>
      <c r="J50" s="97"/>
      <c r="K50" s="54" t="str">
        <f t="shared" si="30"/>
        <v>-0.3581968,0.1087014,1.016641,</v>
      </c>
      <c r="M50" s="46">
        <f t="shared" si="0"/>
        <v>30.432256748563844</v>
      </c>
      <c r="N50" s="46">
        <f t="shared" si="5"/>
        <v>47</v>
      </c>
      <c r="O50" s="50">
        <f t="shared" si="1"/>
        <v>19.199703862131372</v>
      </c>
      <c r="P50" s="50">
        <f t="shared" si="2"/>
        <v>49.631960610695216</v>
      </c>
      <c r="Q50" s="50">
        <f t="shared" si="3"/>
        <v>47.00844755907243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0.21379416753982219</v>
      </c>
      <c r="E51" s="46">
        <f t="shared" ref="E51:F51" si="32">(E42+E45+E48)/3</f>
        <v>1.057643293430033</v>
      </c>
      <c r="F51" s="46">
        <f t="shared" si="32"/>
        <v>-0.5378294936912752</v>
      </c>
      <c r="J51" s="97">
        <f>(J42+J45+J48)/3</f>
        <v>17.288345859425945</v>
      </c>
      <c r="M51" s="46">
        <f t="shared" si="0"/>
        <v>32.71080711430114</v>
      </c>
      <c r="N51" s="46">
        <f t="shared" si="5"/>
        <v>48</v>
      </c>
      <c r="O51" s="50">
        <f t="shared" si="1"/>
        <v>16.815218805363997</v>
      </c>
      <c r="P51" s="50">
        <f t="shared" si="2"/>
        <v>49.526025919665138</v>
      </c>
      <c r="Q51" s="50">
        <f t="shared" si="3"/>
        <v>46.65485288457878</v>
      </c>
    </row>
    <row r="52" spans="1:24">
      <c r="B52" s="46" t="str">
        <f t="shared" si="31"/>
        <v>Y</v>
      </c>
      <c r="C52" s="79"/>
      <c r="D52" s="46">
        <f t="shared" ref="D52:F53" si="33">(D43+D46+D49)/3</f>
        <v>6.2548515741963226E-2</v>
      </c>
      <c r="E52" s="46">
        <f t="shared" si="33"/>
        <v>1</v>
      </c>
      <c r="F52" s="46">
        <f t="shared" si="33"/>
        <v>-0.20723727621093158</v>
      </c>
      <c r="J52" s="97"/>
      <c r="M52" s="46">
        <f t="shared" si="0"/>
        <v>34.989357480038436</v>
      </c>
      <c r="N52" s="46">
        <f t="shared" si="5"/>
        <v>49</v>
      </c>
      <c r="O52" s="50">
        <f t="shared" si="1"/>
        <v>14.430733748596623</v>
      </c>
      <c r="P52" s="50">
        <f t="shared" si="2"/>
        <v>49.420091228635059</v>
      </c>
      <c r="Q52" s="50">
        <f t="shared" si="3"/>
        <v>46.30125821008513</v>
      </c>
    </row>
    <row r="53" spans="1:24" ht="15.75" thickBot="1">
      <c r="B53" s="46" t="str">
        <f t="shared" si="31"/>
        <v>Z</v>
      </c>
      <c r="C53" s="79"/>
      <c r="D53" s="46">
        <f t="shared" si="33"/>
        <v>-0.47604994639108605</v>
      </c>
      <c r="E53" s="46">
        <f t="shared" si="33"/>
        <v>0.27623424979630157</v>
      </c>
      <c r="F53" s="46">
        <f t="shared" si="33"/>
        <v>1.0780185524389909</v>
      </c>
      <c r="J53" s="100"/>
      <c r="M53" s="46">
        <f t="shared" si="0"/>
        <v>37.267907845775738</v>
      </c>
      <c r="N53" s="46">
        <f t="shared" si="5"/>
        <v>50</v>
      </c>
      <c r="O53" s="50">
        <f t="shared" si="1"/>
        <v>12.046248691829248</v>
      </c>
      <c r="P53" s="50">
        <f t="shared" si="2"/>
        <v>49.314156537604987</v>
      </c>
      <c r="Q53" s="50">
        <f t="shared" si="3"/>
        <v>45.947663535591481</v>
      </c>
    </row>
    <row r="54" spans="1:24">
      <c r="B54" s="79" t="s">
        <v>14</v>
      </c>
      <c r="C54" s="79"/>
      <c r="D54" s="19">
        <f>I54/$H$55</f>
        <v>0.1822607070278516</v>
      </c>
      <c r="E54" s="20">
        <f>H54/$H$55</f>
        <v>1.0463488828530232</v>
      </c>
      <c r="F54" s="21">
        <f>G54/$H$55</f>
        <v>-0.41349638392876431</v>
      </c>
      <c r="G54" s="46">
        <f t="array" ref="G54:I54">LINEST(D$31:D$39,$G$31:$I$39,FALSE)</f>
        <v>-6.6804157230425023</v>
      </c>
      <c r="H54" s="46">
        <v>16.904731940784067</v>
      </c>
      <c r="I54" s="46">
        <v>2.9445899413994945</v>
      </c>
      <c r="J54" s="98">
        <f>H55</f>
        <v>16.155922960122865</v>
      </c>
      <c r="M54" s="46">
        <f t="shared" si="0"/>
        <v>39.546458211513027</v>
      </c>
      <c r="N54" s="46">
        <f t="shared" si="5"/>
        <v>51</v>
      </c>
      <c r="O54" s="50">
        <f t="shared" si="1"/>
        <v>9.6617636350618739</v>
      </c>
      <c r="P54" s="50">
        <f t="shared" si="2"/>
        <v>49.208221846574901</v>
      </c>
      <c r="Q54" s="50">
        <f t="shared" si="3"/>
        <v>45.594068861097831</v>
      </c>
    </row>
    <row r="55" spans="1:24" ht="15" customHeight="1">
      <c r="B55" s="79"/>
      <c r="C55" s="79"/>
      <c r="D55" s="22">
        <f>I55/$H$55</f>
        <v>4.0991088297957612E-2</v>
      </c>
      <c r="E55" s="18">
        <f>H55/$H$55</f>
        <v>1</v>
      </c>
      <c r="F55" s="23">
        <f>G55/$H$55</f>
        <v>-0.11128108719948196</v>
      </c>
      <c r="G55" s="46">
        <f t="array" ref="G55:I55">LINEST(E$31:E$39,$G$31:$I$39,FALSE)</f>
        <v>-1.7978486717135453</v>
      </c>
      <c r="H55" s="46">
        <v>16.155922960122865</v>
      </c>
      <c r="I55" s="46">
        <v>0.66224886459339705</v>
      </c>
      <c r="J55" s="98"/>
      <c r="M55" s="46">
        <f t="shared" si="0"/>
        <v>41.82500857725033</v>
      </c>
      <c r="N55" s="46">
        <f t="shared" si="5"/>
        <v>52</v>
      </c>
      <c r="O55" s="50">
        <f t="shared" si="1"/>
        <v>7.2772785782944993</v>
      </c>
      <c r="P55" s="50">
        <f t="shared" si="2"/>
        <v>49.102287155544829</v>
      </c>
      <c r="Q55" s="50">
        <f t="shared" si="3"/>
        <v>45.240474186604182</v>
      </c>
    </row>
    <row r="56" spans="1:24" ht="15" customHeight="1" thickBot="1">
      <c r="B56" s="79"/>
      <c r="C56" s="79"/>
      <c r="D56" s="24">
        <f>I56/$H$55</f>
        <v>-0.45258473987276648</v>
      </c>
      <c r="E56" s="25">
        <f>H56/$H$55</f>
        <v>0.31491520703924419</v>
      </c>
      <c r="F56" s="26">
        <f>G56/$H$55</f>
        <v>1.0300920091437586</v>
      </c>
      <c r="G56" s="46">
        <f t="array" ref="G56:I56">LINEST(F$31:F$39,$G$31:$I$39,FALSE)</f>
        <v>16.642087141564744</v>
      </c>
      <c r="H56" s="46">
        <v>5.0877458238971709</v>
      </c>
      <c r="I56" s="46">
        <v>-7.3119241903116627</v>
      </c>
      <c r="J56" s="98"/>
      <c r="M56" s="46">
        <f t="shared" si="0"/>
        <v>44.103558942987625</v>
      </c>
      <c r="N56" s="46">
        <f t="shared" si="5"/>
        <v>53</v>
      </c>
      <c r="O56" s="50">
        <f t="shared" si="1"/>
        <v>4.8927935215271248</v>
      </c>
      <c r="P56" s="50">
        <f t="shared" si="2"/>
        <v>48.99635246451475</v>
      </c>
      <c r="Q56" s="50">
        <f t="shared" si="3"/>
        <v>44.886879512110532</v>
      </c>
    </row>
    <row r="57" spans="1:24">
      <c r="M57" s="46">
        <f t="shared" si="0"/>
        <v>46.382109308724921</v>
      </c>
      <c r="N57" s="46">
        <f t="shared" si="5"/>
        <v>54</v>
      </c>
      <c r="O57" s="50">
        <f t="shared" si="1"/>
        <v>2.5083084647597502</v>
      </c>
      <c r="P57" s="50">
        <f t="shared" si="2"/>
        <v>48.890417773484671</v>
      </c>
      <c r="Q57" s="50">
        <f t="shared" si="3"/>
        <v>44.533284837616883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48.660659674462217</v>
      </c>
      <c r="N58" s="46">
        <f t="shared" si="5"/>
        <v>55</v>
      </c>
      <c r="O58" s="50">
        <f t="shared" si="1"/>
        <v>0.12382340799237568</v>
      </c>
      <c r="P58" s="50">
        <f t="shared" si="2"/>
        <v>48.784483082454592</v>
      </c>
      <c r="Q58" s="50">
        <f t="shared" si="3"/>
        <v>44.179690163123233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50.939210040199512</v>
      </c>
      <c r="N59" s="46">
        <f t="shared" si="5"/>
        <v>56</v>
      </c>
      <c r="O59" s="50">
        <f t="shared" si="1"/>
        <v>-2.2606616487749989</v>
      </c>
      <c r="P59" s="50">
        <f t="shared" si="2"/>
        <v>48.678548391424513</v>
      </c>
      <c r="Q59" s="50">
        <f t="shared" si="3"/>
        <v>43.826095488629583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518.40000000000009</v>
      </c>
      <c r="E60" s="32">
        <f t="shared" ref="E60:E68" si="37">getCCTfromXY(D22/SUM(D22:F22),E22/SUM(D22:F22))</f>
        <v>2881</v>
      </c>
      <c r="F60" s="31">
        <f t="shared" ref="F60:F68" si="38">V60</f>
        <v>519.75542065336231</v>
      </c>
      <c r="G60" s="32">
        <f t="shared" ref="G60:G68" si="39">getCCTfromXY(U60/X60,V60/X60)</f>
        <v>3068</v>
      </c>
      <c r="H60" s="33">
        <f>F60/D60-1</f>
        <v>2.6146231739241355E-3</v>
      </c>
      <c r="I60" s="34">
        <f t="shared" ref="I60:I68" si="40">G60/E60-1</f>
        <v>6.4908018049288474E-2</v>
      </c>
      <c r="M60" s="46">
        <f t="shared" si="0"/>
        <v>53.217760405936808</v>
      </c>
      <c r="N60" s="46">
        <f t="shared" si="5"/>
        <v>57</v>
      </c>
      <c r="O60" s="50">
        <f t="shared" si="1"/>
        <v>-4.6451467055423734</v>
      </c>
      <c r="P60" s="50">
        <f t="shared" si="2"/>
        <v>48.572613700394434</v>
      </c>
      <c r="Q60" s="50">
        <f t="shared" si="3"/>
        <v>43.472500814135934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550.72594053377372</v>
      </c>
      <c r="V60" s="50">
        <f>$J$54*$J$31*($D$55*G22+$E$55*H22+$F$55*I22)</f>
        <v>519.75542065336231</v>
      </c>
      <c r="W60" s="50">
        <f>$J$54*$J$31*($D$56*G22+$E$56*H22+$F$56*I22)</f>
        <v>187.73436797058235</v>
      </c>
      <c r="X60" s="29">
        <f>SUM(U60:W60)</f>
        <v>1258.2157291577182</v>
      </c>
    </row>
    <row r="61" spans="1:24">
      <c r="A61" s="87"/>
      <c r="B61" s="48" t="str">
        <f t="shared" si="35"/>
        <v>CWF</v>
      </c>
      <c r="C61" s="93"/>
      <c r="D61" s="31">
        <f t="shared" si="36"/>
        <v>1216.5</v>
      </c>
      <c r="E61" s="32">
        <f t="shared" si="37"/>
        <v>3855</v>
      </c>
      <c r="F61" s="31">
        <f t="shared" si="38"/>
        <v>1259.4778769687543</v>
      </c>
      <c r="G61" s="32">
        <f t="shared" si="39"/>
        <v>3761</v>
      </c>
      <c r="H61" s="33">
        <f t="shared" ref="H61:H68" si="41">F61/D61-1</f>
        <v>3.5329122045831829E-2</v>
      </c>
      <c r="I61" s="34">
        <f t="shared" si="40"/>
        <v>-2.4383916990920906E-2</v>
      </c>
      <c r="M61" s="46">
        <f t="shared" si="0"/>
        <v>55.496310771674104</v>
      </c>
      <c r="N61" s="46">
        <f t="shared" si="5"/>
        <v>58</v>
      </c>
      <c r="O61" s="50">
        <f t="shared" si="1"/>
        <v>-7.029631762309748</v>
      </c>
      <c r="P61" s="50">
        <f t="shared" si="2"/>
        <v>48.466679009364356</v>
      </c>
      <c r="Q61" s="50">
        <f t="shared" si="3"/>
        <v>43.118906139642284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1257.4402980586572</v>
      </c>
      <c r="V61" s="50">
        <f>$J$54*$J$31*($D$55*G23+$E$55*H23+$F$55*I23)</f>
        <v>1259.4778769687543</v>
      </c>
      <c r="W61" s="50">
        <f>$J$54*$J$31*($D$56*G23+$E$56*H23+$F$56*I23)</f>
        <v>649.80525088678542</v>
      </c>
      <c r="X61" s="29">
        <f t="shared" ref="X61:X68" si="43">SUM(U61:W61)</f>
        <v>3166.7234259141969</v>
      </c>
    </row>
    <row r="62" spans="1:24">
      <c r="A62" s="87"/>
      <c r="B62" s="48" t="str">
        <f t="shared" si="35"/>
        <v>D65</v>
      </c>
      <c r="C62" s="93"/>
      <c r="D62" s="31">
        <f t="shared" si="36"/>
        <v>578.34999999999991</v>
      </c>
      <c r="E62" s="32">
        <f t="shared" si="37"/>
        <v>6341</v>
      </c>
      <c r="F62" s="31">
        <f t="shared" si="38"/>
        <v>583.50686418577334</v>
      </c>
      <c r="G62" s="32">
        <f t="shared" si="39"/>
        <v>6058</v>
      </c>
      <c r="H62" s="33">
        <f t="shared" si="41"/>
        <v>8.9165110845914608E-3</v>
      </c>
      <c r="I62" s="34">
        <f t="shared" si="40"/>
        <v>-4.4630184513483662E-2</v>
      </c>
      <c r="M62" s="46">
        <f t="shared" si="0"/>
        <v>57.774861137411399</v>
      </c>
      <c r="N62" s="46">
        <f t="shared" si="5"/>
        <v>59</v>
      </c>
      <c r="O62" s="50">
        <f t="shared" si="1"/>
        <v>-9.4141168190771225</v>
      </c>
      <c r="P62" s="50">
        <f t="shared" si="2"/>
        <v>48.360744318334277</v>
      </c>
      <c r="Q62" s="50">
        <f t="shared" si="3"/>
        <v>42.765311465148635</v>
      </c>
      <c r="R62" s="78"/>
      <c r="S62" s="46" t="str">
        <f t="shared" si="42"/>
        <v>D65</v>
      </c>
      <c r="T62" s="79"/>
      <c r="U62" s="50">
        <f>$J$54*$J$31*($D$54*G24+$E$54*H24+$F$54*I24)</f>
        <v>521.43239607490068</v>
      </c>
      <c r="V62" s="50">
        <f>$J$54*$J$31*($D$55*G24+$E$55*H24+$F$55*I24)</f>
        <v>583.50686418577334</v>
      </c>
      <c r="W62" s="50">
        <f>$J$54*$J$31*($D$56*G24+$E$56*H24+$F$56*I24)</f>
        <v>518.90032315501116</v>
      </c>
      <c r="X62" s="29">
        <f t="shared" si="43"/>
        <v>1623.8395834156852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518.40000000000009</v>
      </c>
      <c r="E63" s="32">
        <f t="shared" si="37"/>
        <v>2881</v>
      </c>
      <c r="F63" s="31">
        <f t="shared" si="38"/>
        <v>528.79776766164457</v>
      </c>
      <c r="G63" s="32">
        <f t="shared" si="39"/>
        <v>3254</v>
      </c>
      <c r="H63" s="33">
        <f t="shared" si="41"/>
        <v>2.0057422186814167E-2</v>
      </c>
      <c r="I63" s="34">
        <f t="shared" si="40"/>
        <v>0.12946893439777862</v>
      </c>
      <c r="M63" s="46">
        <f t="shared" si="0"/>
        <v>60.053411503148695</v>
      </c>
      <c r="N63" s="46">
        <f t="shared" si="5"/>
        <v>60</v>
      </c>
      <c r="O63" s="50">
        <f t="shared" si="1"/>
        <v>-11.798601875844497</v>
      </c>
      <c r="P63" s="50">
        <f t="shared" si="2"/>
        <v>48.254809627304198</v>
      </c>
      <c r="Q63" s="50">
        <f t="shared" si="3"/>
        <v>42.411716790654985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551.84047447104956</v>
      </c>
      <c r="V63" s="50">
        <f>$J$54*$J$34*($D$55*G25+$E$55*H25+$F$55*I25)</f>
        <v>528.79776766164457</v>
      </c>
      <c r="W63" s="50">
        <f>$J$54*$J$34*($D$56*G25+$E$56*H25+$F$56*I25)</f>
        <v>219.25917681037271</v>
      </c>
      <c r="X63" s="29">
        <f t="shared" si="43"/>
        <v>1299.8974189430669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1216.5</v>
      </c>
      <c r="E64" s="32">
        <f t="shared" si="37"/>
        <v>3855</v>
      </c>
      <c r="F64" s="31">
        <f t="shared" si="38"/>
        <v>1237.123159304992</v>
      </c>
      <c r="G64" s="32">
        <f t="shared" si="39"/>
        <v>3833</v>
      </c>
      <c r="H64" s="33">
        <f t="shared" si="41"/>
        <v>1.6952864204679008E-2</v>
      </c>
      <c r="I64" s="34">
        <f t="shared" si="40"/>
        <v>-5.7068741893644415E-3</v>
      </c>
      <c r="M64" s="46">
        <f t="shared" si="0"/>
        <v>62.33196186888599</v>
      </c>
      <c r="N64" s="46">
        <f t="shared" si="5"/>
        <v>61</v>
      </c>
      <c r="O64" s="50">
        <f t="shared" si="1"/>
        <v>-14.183086932611872</v>
      </c>
      <c r="P64" s="50">
        <f t="shared" si="2"/>
        <v>48.148874936274119</v>
      </c>
      <c r="Q64" s="50">
        <f t="shared" si="3"/>
        <v>42.058122116161336</v>
      </c>
      <c r="R64" s="78"/>
      <c r="S64" s="46" t="str">
        <f t="shared" si="42"/>
        <v>CWF</v>
      </c>
      <c r="T64" s="79"/>
      <c r="U64" s="50">
        <f>$J$54*$J$34*($D$54*G26+$E$54*H26+$F$54*I26)</f>
        <v>1229.6152709305486</v>
      </c>
      <c r="V64" s="50">
        <f>$J$54*$J$34*($D$55*G26+$E$55*H26+$F$55*I26)</f>
        <v>1237.123159304992</v>
      </c>
      <c r="W64" s="50">
        <f>$J$54*$J$34*($D$56*G26+$E$56*H26+$F$56*I26)</f>
        <v>658.40752092405376</v>
      </c>
      <c r="X64" s="29">
        <f t="shared" si="43"/>
        <v>3125.145951159594</v>
      </c>
    </row>
    <row r="65" spans="1:24">
      <c r="A65" s="87"/>
      <c r="B65" s="48" t="str">
        <f t="shared" si="35"/>
        <v>D65</v>
      </c>
      <c r="C65" s="93"/>
      <c r="D65" s="31">
        <f t="shared" si="36"/>
        <v>578.34999999999991</v>
      </c>
      <c r="E65" s="32">
        <f t="shared" si="37"/>
        <v>6341</v>
      </c>
      <c r="F65" s="31">
        <f t="shared" si="38"/>
        <v>593.91775668301739</v>
      </c>
      <c r="G65" s="32">
        <f t="shared" si="39"/>
        <v>6064</v>
      </c>
      <c r="H65" s="33">
        <f t="shared" si="41"/>
        <v>2.6917535545979865E-2</v>
      </c>
      <c r="I65" s="34">
        <f t="shared" si="40"/>
        <v>-4.3683961520264991E-2</v>
      </c>
      <c r="M65" s="46">
        <f t="shared" si="0"/>
        <v>64.610512234623286</v>
      </c>
      <c r="N65" s="46">
        <f t="shared" si="5"/>
        <v>62</v>
      </c>
      <c r="O65" s="50">
        <f t="shared" si="1"/>
        <v>-16.567571989379246</v>
      </c>
      <c r="P65" s="50">
        <f t="shared" si="2"/>
        <v>48.04294024524404</v>
      </c>
      <c r="Q65" s="50">
        <f t="shared" si="3"/>
        <v>41.704527441667686</v>
      </c>
      <c r="R65" s="78"/>
      <c r="S65" s="46" t="str">
        <f t="shared" si="42"/>
        <v>D65</v>
      </c>
      <c r="T65" s="79"/>
      <c r="U65" s="50">
        <f>$J$54*$J$34*($D$54*G27+$E$54*H27+$F$54*I27)</f>
        <v>530.63415684298707</v>
      </c>
      <c r="V65" s="50">
        <f>$J$54*$J$34*($D$55*G27+$E$55*H27+$F$55*I27)</f>
        <v>593.91775668301739</v>
      </c>
      <c r="W65" s="50">
        <f>$J$54*$J$34*($D$56*G27+$E$56*H27+$F$56*I27)</f>
        <v>528.56849140543318</v>
      </c>
      <c r="X65" s="29">
        <f t="shared" si="43"/>
        <v>1653.1204049314376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518.40000000000009</v>
      </c>
      <c r="E66" s="32">
        <f t="shared" si="37"/>
        <v>2881</v>
      </c>
      <c r="F66" s="31">
        <f t="shared" si="38"/>
        <v>512.75946398243332</v>
      </c>
      <c r="G66" s="32">
        <f t="shared" si="39"/>
        <v>2507</v>
      </c>
      <c r="H66" s="33">
        <f t="shared" si="41"/>
        <v>-1.0880663614133423E-2</v>
      </c>
      <c r="I66" s="34">
        <f t="shared" si="40"/>
        <v>-0.12981603609857684</v>
      </c>
      <c r="M66" s="46">
        <f t="shared" si="0"/>
        <v>66.889062600360575</v>
      </c>
      <c r="N66" s="46">
        <f t="shared" si="5"/>
        <v>63</v>
      </c>
      <c r="O66" s="50">
        <f t="shared" si="1"/>
        <v>-18.952057046146621</v>
      </c>
      <c r="P66" s="50">
        <f t="shared" si="2"/>
        <v>47.937005554213961</v>
      </c>
      <c r="Q66" s="50">
        <f t="shared" si="3"/>
        <v>41.350932767174037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574.82870309171335</v>
      </c>
      <c r="V66" s="50">
        <f>$J$54*$J$37*($D$55*G28+$E$55*H28+$F$55*I28)</f>
        <v>512.75946398243332</v>
      </c>
      <c r="W66" s="50">
        <f>$J$54*$J$37*($D$56*G28+$E$56*H28+$F$56*I28)</f>
        <v>80.792158033037424</v>
      </c>
      <c r="X66" s="29">
        <f t="shared" si="43"/>
        <v>1168.380325107184</v>
      </c>
    </row>
    <row r="67" spans="1:24">
      <c r="A67" s="87"/>
      <c r="B67" s="48" t="str">
        <f t="shared" si="35"/>
        <v>CWF</v>
      </c>
      <c r="C67" s="93"/>
      <c r="D67" s="31">
        <f t="shared" si="36"/>
        <v>1216.5</v>
      </c>
      <c r="E67" s="32">
        <f t="shared" si="37"/>
        <v>3855</v>
      </c>
      <c r="F67" s="31">
        <f t="shared" si="38"/>
        <v>1126.2868142671718</v>
      </c>
      <c r="G67" s="32">
        <f t="shared" si="39"/>
        <v>4111</v>
      </c>
      <c r="H67" s="33">
        <f t="shared" si="41"/>
        <v>-7.4157982517737864E-2</v>
      </c>
      <c r="I67" s="34">
        <f t="shared" si="40"/>
        <v>6.6407263294422814E-2</v>
      </c>
      <c r="R67" s="78"/>
      <c r="S67" s="46" t="str">
        <f t="shared" si="42"/>
        <v>CWF</v>
      </c>
      <c r="T67" s="79"/>
      <c r="U67" s="50">
        <f>$J$54*$J$37*($D$54*G29+$E$54*H29+$F$54*I29)</f>
        <v>1101.3013273466297</v>
      </c>
      <c r="V67" s="50">
        <f>$J$54*$J$37*($D$55*G29+$E$55*H29+$F$55*I29)</f>
        <v>1126.2868142671718</v>
      </c>
      <c r="W67" s="50">
        <f>$J$54*$J$37*($D$56*G29+$E$56*H29+$F$56*I29)</f>
        <v>665.27614785090543</v>
      </c>
      <c r="X67" s="29">
        <f t="shared" si="43"/>
        <v>2892.8642894647073</v>
      </c>
    </row>
    <row r="68" spans="1:24">
      <c r="A68" s="87"/>
      <c r="B68" s="48" t="str">
        <f t="shared" si="35"/>
        <v>D65</v>
      </c>
      <c r="C68" s="93"/>
      <c r="D68" s="31">
        <f t="shared" si="36"/>
        <v>578.34999999999991</v>
      </c>
      <c r="E68" s="32">
        <f t="shared" si="37"/>
        <v>6341</v>
      </c>
      <c r="F68" s="31">
        <f t="shared" si="38"/>
        <v>589.20738298983395</v>
      </c>
      <c r="G68" s="32">
        <f t="shared" si="39"/>
        <v>5858</v>
      </c>
      <c r="H68" s="33">
        <f t="shared" si="41"/>
        <v>1.8773031883520419E-2</v>
      </c>
      <c r="I68" s="34">
        <f t="shared" si="40"/>
        <v>-7.6170950954108196E-2</v>
      </c>
      <c r="R68" s="78"/>
      <c r="S68" s="46" t="str">
        <f t="shared" si="42"/>
        <v>D65</v>
      </c>
      <c r="T68" s="79"/>
      <c r="U68" s="50">
        <f>$J$54*$J$37*($D$54*G30+$E$54*H30+$F$54*I30)</f>
        <v>530.46515122848689</v>
      </c>
      <c r="V68" s="50">
        <f>$J$54*$J$37*($D$55*G30+$E$55*H30+$F$55*I30)</f>
        <v>589.20738298983395</v>
      </c>
      <c r="W68" s="50">
        <f>$J$54*$J$37*($D$56*G30+$E$56*H30+$F$56*I30)</f>
        <v>509.13827756499757</v>
      </c>
      <c r="X68" s="29">
        <f t="shared" si="43"/>
        <v>1628.8108117833185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7.4157982517737864E-2</v>
      </c>
      <c r="G69" s="47"/>
      <c r="H69" s="36" t="str">
        <f>I59</f>
        <v>CCT</v>
      </c>
      <c r="I69" s="38">
        <f>MAX(MAX(I60:I68,-MIN(I60:I68)))</f>
        <v>0.12981603609857684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518.40000000000009</v>
      </c>
      <c r="E72" s="31">
        <f t="shared" ref="E72:E80" si="47">E60</f>
        <v>2881</v>
      </c>
      <c r="F72" s="31">
        <f t="shared" ref="F72:F80" si="48">V72</f>
        <v>522.82995296137256</v>
      </c>
      <c r="G72" s="32">
        <f t="shared" ref="G72:G80" si="49">getCCTfromXY(U72/X72,V72/X72)</f>
        <v>2987</v>
      </c>
      <c r="H72" s="33">
        <f>F72/D72-1</f>
        <v>8.5454339532646806E-3</v>
      </c>
      <c r="I72" s="34">
        <f t="shared" ref="I72:I80" si="50">G72/E72-1</f>
        <v>3.6792780284623294E-2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558.034922689317</v>
      </c>
      <c r="V72" s="50">
        <f>$J$51*$J$31*($D$52*G22+$E$52*H22+$F$52*I22)</f>
        <v>522.82995296137256</v>
      </c>
      <c r="W72" s="50">
        <f>$J$51*$J$31*($D$53*G22+$E$53*H22+$F$53*I22)</f>
        <v>176.14525441285184</v>
      </c>
      <c r="X72" s="29">
        <f>SUM(U72:W72)</f>
        <v>1257.0101300635415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1216.5</v>
      </c>
      <c r="E73" s="31">
        <f t="shared" si="47"/>
        <v>3855</v>
      </c>
      <c r="F73" s="31">
        <f t="shared" si="48"/>
        <v>1300.064792818667</v>
      </c>
      <c r="G73" s="32">
        <f t="shared" si="49"/>
        <v>3695</v>
      </c>
      <c r="H73" s="33">
        <f t="shared" ref="H73:H80" si="52">F73/D73-1</f>
        <v>6.8692801330593412E-2</v>
      </c>
      <c r="I73" s="34">
        <f t="shared" si="50"/>
        <v>-4.1504539559014231E-2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1303.535336715782</v>
      </c>
      <c r="V73" s="50">
        <f t="shared" ref="V73:V74" si="55">$J$51*$J$31*($D$52*G23+$E$52*H23+$F$52*I23)</f>
        <v>1300.064792818667</v>
      </c>
      <c r="W73" s="50">
        <f t="shared" ref="W73:W74" si="56">$J$51*$J$31*($D$53*G23+$E$53*H23+$F$53*I23)</f>
        <v>651.09761809359043</v>
      </c>
      <c r="X73" s="29">
        <f t="shared" ref="X73:X80" si="57">SUM(U73:W73)</f>
        <v>3254.6977476280395</v>
      </c>
    </row>
    <row r="74" spans="1:24">
      <c r="A74" s="87"/>
      <c r="B74" s="48" t="str">
        <f t="shared" si="46"/>
        <v>X</v>
      </c>
      <c r="C74" s="93"/>
      <c r="D74" s="31">
        <f t="shared" si="51"/>
        <v>578.34999999999991</v>
      </c>
      <c r="E74" s="31">
        <f t="shared" si="47"/>
        <v>6341</v>
      </c>
      <c r="F74" s="31">
        <f t="shared" si="48"/>
        <v>582.16296545649061</v>
      </c>
      <c r="G74" s="32">
        <f t="shared" si="49"/>
        <v>6457</v>
      </c>
      <c r="H74" s="33">
        <f t="shared" si="52"/>
        <v>6.5928338488643323E-3</v>
      </c>
      <c r="I74" s="34">
        <f t="shared" si="50"/>
        <v>1.8293644535562148E-2</v>
      </c>
      <c r="R74" s="78"/>
      <c r="S74" s="46" t="str">
        <f t="shared" si="53"/>
        <v>D65</v>
      </c>
      <c r="T74" s="79"/>
      <c r="U74" s="50">
        <f t="shared" si="54"/>
        <v>512.51793019371769</v>
      </c>
      <c r="V74" s="50">
        <f t="shared" si="55"/>
        <v>582.16296545649061</v>
      </c>
      <c r="W74" s="50">
        <f t="shared" si="56"/>
        <v>544.43421646565957</v>
      </c>
      <c r="X74" s="29">
        <f t="shared" si="57"/>
        <v>1639.1151121158678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518.40000000000009</v>
      </c>
      <c r="E75" s="31">
        <f t="shared" si="47"/>
        <v>2881</v>
      </c>
      <c r="F75" s="31">
        <f t="shared" si="48"/>
        <v>530.53882659469286</v>
      </c>
      <c r="G75" s="32">
        <f t="shared" si="49"/>
        <v>3189</v>
      </c>
      <c r="H75" s="33">
        <f t="shared" si="52"/>
        <v>2.3415946363219087E-2</v>
      </c>
      <c r="I75" s="34">
        <f t="shared" si="50"/>
        <v>0.10690732384588686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556.6797526714779</v>
      </c>
      <c r="V75" s="50">
        <f>$J$51*$J$34*($D$52*G25+$E$52*H25+$F$52*I25)</f>
        <v>530.53882659469286</v>
      </c>
      <c r="W75" s="50">
        <f>$J$51*$J$34*($D$53*G25+$E$53*H25+$F$53*I25)</f>
        <v>210.8724020533204</v>
      </c>
      <c r="X75" s="29">
        <f t="shared" si="57"/>
        <v>1298.0909813194912</v>
      </c>
    </row>
    <row r="76" spans="1:24">
      <c r="A76" s="87"/>
      <c r="B76" s="48" t="str">
        <f t="shared" si="46"/>
        <v>Z</v>
      </c>
      <c r="C76" s="93"/>
      <c r="D76" s="31">
        <f t="shared" si="51"/>
        <v>1216.5</v>
      </c>
      <c r="E76" s="31">
        <f t="shared" si="47"/>
        <v>3855</v>
      </c>
      <c r="F76" s="31">
        <f t="shared" si="48"/>
        <v>1274.7990676450609</v>
      </c>
      <c r="G76" s="32">
        <f t="shared" si="49"/>
        <v>3775</v>
      </c>
      <c r="H76" s="33">
        <f t="shared" si="52"/>
        <v>4.7923606777690697E-2</v>
      </c>
      <c r="I76" s="34">
        <f t="shared" si="50"/>
        <v>-2.0752269779507171E-2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1271.738307769034</v>
      </c>
      <c r="V76" s="50">
        <f t="shared" ref="V76:V77" si="59">$J$51*$J$34*($D$52*G26+$E$52*H26+$F$52*I26)</f>
        <v>1274.7990676450609</v>
      </c>
      <c r="W76" s="50">
        <f t="shared" ref="W76:W77" si="60">$J$51*$J$34*($D$53*G26+$E$53*H26+$F$53*I26)</f>
        <v>661.93631821908218</v>
      </c>
      <c r="X76" s="29">
        <f t="shared" si="57"/>
        <v>3208.4736936331769</v>
      </c>
    </row>
    <row r="77" spans="1:24">
      <c r="A77" s="87"/>
      <c r="B77" s="48" t="str">
        <f t="shared" si="46"/>
        <v>X</v>
      </c>
      <c r="C77" s="93"/>
      <c r="D77" s="31">
        <f t="shared" si="51"/>
        <v>578.34999999999991</v>
      </c>
      <c r="E77" s="31">
        <f t="shared" si="47"/>
        <v>6341</v>
      </c>
      <c r="F77" s="31">
        <f t="shared" si="48"/>
        <v>592.48126468202747</v>
      </c>
      <c r="G77" s="32">
        <f t="shared" si="49"/>
        <v>6464</v>
      </c>
      <c r="H77" s="33">
        <f t="shared" si="52"/>
        <v>2.4433759284218093E-2</v>
      </c>
      <c r="I77" s="34">
        <f t="shared" si="50"/>
        <v>1.9397571360983967E-2</v>
      </c>
      <c r="R77" s="78"/>
      <c r="S77" s="46" t="str">
        <f t="shared" si="53"/>
        <v>D65</v>
      </c>
      <c r="T77" s="79"/>
      <c r="U77" s="50">
        <f t="shared" si="58"/>
        <v>521.47039252462389</v>
      </c>
      <c r="V77" s="50">
        <f t="shared" si="59"/>
        <v>592.48126468202747</v>
      </c>
      <c r="W77" s="50">
        <f t="shared" si="60"/>
        <v>554.60064368534472</v>
      </c>
      <c r="X77" s="29">
        <f t="shared" si="57"/>
        <v>1668.5523008919961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518.40000000000009</v>
      </c>
      <c r="E78" s="31">
        <f t="shared" si="47"/>
        <v>2881</v>
      </c>
      <c r="F78" s="31">
        <f t="shared" si="48"/>
        <v>520.38829674875069</v>
      </c>
      <c r="G78" s="32">
        <f t="shared" si="49"/>
        <v>2400</v>
      </c>
      <c r="H78" s="33">
        <f t="shared" si="52"/>
        <v>3.8354489752132626E-3</v>
      </c>
      <c r="I78" s="34">
        <f t="shared" si="50"/>
        <v>-0.16695591808399857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591.06103646600093</v>
      </c>
      <c r="V78" s="50">
        <f>$J$51*$J$37*($D$52*G28+$E$52*H28+$F$52*I28)</f>
        <v>520.38829674875069</v>
      </c>
      <c r="W78" s="50">
        <f>$J$51*$J$37*($D$53*G28+$E$53*H28+$F$53*I28)</f>
        <v>56.708393234812981</v>
      </c>
      <c r="X78" s="29">
        <f t="shared" si="57"/>
        <v>1168.1577264495647</v>
      </c>
    </row>
    <row r="79" spans="1:24">
      <c r="A79" s="87"/>
      <c r="B79" s="48" t="str">
        <f t="shared" si="46"/>
        <v>Z</v>
      </c>
      <c r="C79" s="93"/>
      <c r="D79" s="31">
        <f t="shared" si="51"/>
        <v>1216.5</v>
      </c>
      <c r="E79" s="31">
        <f t="shared" si="47"/>
        <v>3855</v>
      </c>
      <c r="F79" s="31">
        <f t="shared" si="48"/>
        <v>1153.7437138776154</v>
      </c>
      <c r="G79" s="32">
        <f t="shared" si="49"/>
        <v>4087</v>
      </c>
      <c r="H79" s="33">
        <f t="shared" si="52"/>
        <v>-5.1587575932909635E-2</v>
      </c>
      <c r="I79" s="34">
        <f t="shared" si="50"/>
        <v>6.0181582360570696E-2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1129.6835720186666</v>
      </c>
      <c r="V79" s="50">
        <f t="shared" ref="V79:V80" si="62">$J$51*$J$37*($D$52*G29+$E$52*H29+$F$52*I29)</f>
        <v>1153.7437138776154</v>
      </c>
      <c r="W79" s="50">
        <f t="shared" ref="W79:W80" si="63">$J$51*$J$37*($D$53*G29+$E$53*H29+$F$53*I29)</f>
        <v>675.92272156576837</v>
      </c>
      <c r="X79" s="29">
        <f t="shared" si="57"/>
        <v>2959.3500074620506</v>
      </c>
    </row>
    <row r="80" spans="1:24">
      <c r="A80" s="87"/>
      <c r="B80" s="48" t="str">
        <f t="shared" si="46"/>
        <v>X</v>
      </c>
      <c r="C80" s="93"/>
      <c r="D80" s="31">
        <f t="shared" si="51"/>
        <v>578.34999999999991</v>
      </c>
      <c r="E80" s="31">
        <f t="shared" si="47"/>
        <v>6341</v>
      </c>
      <c r="F80" s="31">
        <f t="shared" si="48"/>
        <v>589.73165342573293</v>
      </c>
      <c r="G80" s="32">
        <f t="shared" si="49"/>
        <v>6192</v>
      </c>
      <c r="H80" s="33">
        <f t="shared" si="52"/>
        <v>1.9679525245496654E-2</v>
      </c>
      <c r="I80" s="34">
        <f t="shared" si="50"/>
        <v>-2.349787099826528E-2</v>
      </c>
      <c r="R80" s="78"/>
      <c r="S80" s="46" t="str">
        <f t="shared" si="53"/>
        <v>D65</v>
      </c>
      <c r="T80" s="79"/>
      <c r="U80" s="50">
        <f t="shared" si="61"/>
        <v>524.07689717029143</v>
      </c>
      <c r="V80" s="50">
        <f t="shared" si="62"/>
        <v>589.73165342573293</v>
      </c>
      <c r="W80" s="50">
        <f t="shared" si="63"/>
        <v>533.29443641981084</v>
      </c>
      <c r="X80" s="29">
        <f t="shared" si="57"/>
        <v>1647.1029870158352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6.8692801330593412E-2</v>
      </c>
      <c r="G81" s="47"/>
      <c r="H81" s="36" t="str">
        <f>I71</f>
        <v>CCT</v>
      </c>
      <c r="I81" s="38">
        <f>MAX(MAX(I72:I80,-MIN(I72:I80)))</f>
        <v>0.16695591808399857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518.40000000000009</v>
      </c>
      <c r="E84" s="31">
        <f t="shared" ref="E84:E92" si="67">E72</f>
        <v>2881</v>
      </c>
      <c r="F84" s="31">
        <f t="shared" ref="F84:F92" si="68">V84</f>
        <v>518.39999999999975</v>
      </c>
      <c r="G84" s="32">
        <f t="shared" ref="G84:G92" si="69">getCCTfromXY(U84/X84,V84/X84)</f>
        <v>2881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558.64999999999975</v>
      </c>
      <c r="V84" s="50">
        <f>$J$42*$J$31*($D$43*G22+$E$43*H22+$F$43*I22)</f>
        <v>518.39999999999975</v>
      </c>
      <c r="W84" s="50">
        <f>$J$42*$J$31*($D$44*G22+$E$44*H22+$F$44*I22)</f>
        <v>156.44999999999985</v>
      </c>
      <c r="X84" s="29">
        <f>SUM(U84:W84)</f>
        <v>1233.4999999999993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1216.5</v>
      </c>
      <c r="E85" s="31">
        <f t="shared" si="67"/>
        <v>3855</v>
      </c>
      <c r="F85" s="31">
        <f t="shared" si="68"/>
        <v>1216.4999999999998</v>
      </c>
      <c r="G85" s="32">
        <f t="shared" si="69"/>
        <v>3855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1207.5000000000002</v>
      </c>
      <c r="V85" s="50">
        <f t="shared" ref="V85:V86" si="75">$J$42*$J$31*($D$43*G23+$E$43*H23+$F$43*I23)</f>
        <v>1216.4999999999998</v>
      </c>
      <c r="W85" s="50">
        <f t="shared" ref="W85:W86" si="76">$J$42*$J$31*($D$44*G23+$E$44*H23+$F$44*I23)</f>
        <v>653.49999999999989</v>
      </c>
      <c r="X85" s="29">
        <f t="shared" ref="X85:X92" si="77">SUM(U85:W85)</f>
        <v>3077.5</v>
      </c>
    </row>
    <row r="86" spans="1:24">
      <c r="A86" s="87"/>
      <c r="B86" s="48">
        <f t="shared" si="66"/>
        <v>0</v>
      </c>
      <c r="C86" s="93"/>
      <c r="D86" s="31">
        <f t="shared" si="71"/>
        <v>578.34999999999991</v>
      </c>
      <c r="E86" s="31">
        <f t="shared" si="67"/>
        <v>6341</v>
      </c>
      <c r="F86" s="31">
        <f t="shared" si="68"/>
        <v>578.3499999999998</v>
      </c>
      <c r="G86" s="32">
        <f t="shared" si="69"/>
        <v>6341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511.25</v>
      </c>
      <c r="V86" s="50">
        <f t="shared" si="75"/>
        <v>578.3499999999998</v>
      </c>
      <c r="W86" s="50">
        <f t="shared" si="76"/>
        <v>533.25</v>
      </c>
      <c r="X86" s="29">
        <f t="shared" si="77"/>
        <v>1622.85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518.40000000000009</v>
      </c>
      <c r="E87" s="31">
        <f t="shared" si="67"/>
        <v>2881</v>
      </c>
      <c r="F87" s="31">
        <f t="shared" si="68"/>
        <v>518.4</v>
      </c>
      <c r="G87" s="32">
        <f t="shared" si="69"/>
        <v>2881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558.64999999999975</v>
      </c>
      <c r="V87" s="50">
        <f>$J$45*$J$34*($D$46*G25+$E$46*H25+$F$46*I25)</f>
        <v>518.4</v>
      </c>
      <c r="W87" s="50">
        <f>$J$45*$J$34*($D$47*G25+$E$47*H25+$F$47*I25)</f>
        <v>156.45000000000005</v>
      </c>
      <c r="X87" s="29">
        <f t="shared" si="77"/>
        <v>1233.4999999999998</v>
      </c>
    </row>
    <row r="88" spans="1:24">
      <c r="A88" s="87"/>
      <c r="B88" s="48">
        <f t="shared" si="66"/>
        <v>0</v>
      </c>
      <c r="C88" s="93"/>
      <c r="D88" s="31">
        <f t="shared" si="71"/>
        <v>1216.5</v>
      </c>
      <c r="E88" s="31">
        <f t="shared" si="67"/>
        <v>3855</v>
      </c>
      <c r="F88" s="31">
        <f t="shared" si="68"/>
        <v>1216.5</v>
      </c>
      <c r="G88" s="32">
        <f t="shared" si="69"/>
        <v>3855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1207.4999999999995</v>
      </c>
      <c r="V88" s="50">
        <f t="shared" ref="V88:V89" si="79">$J$45*$J$34*($D$46*G26+$E$46*H26+$F$46*I26)</f>
        <v>1216.5</v>
      </c>
      <c r="W88" s="50">
        <f t="shared" ref="W88:W89" si="80">$J$45*$J$34*($D$47*G26+$E$47*H26+$F$47*I26)</f>
        <v>653.49999999999966</v>
      </c>
      <c r="X88" s="29">
        <f t="shared" si="77"/>
        <v>3077.4999999999991</v>
      </c>
    </row>
    <row r="89" spans="1:24">
      <c r="A89" s="87"/>
      <c r="B89" s="48" t="str">
        <f t="shared" si="66"/>
        <v>A</v>
      </c>
      <c r="C89" s="93"/>
      <c r="D89" s="31">
        <f t="shared" si="71"/>
        <v>578.34999999999991</v>
      </c>
      <c r="E89" s="31">
        <f t="shared" si="67"/>
        <v>6341</v>
      </c>
      <c r="F89" s="31">
        <f t="shared" si="68"/>
        <v>578.34999999999991</v>
      </c>
      <c r="G89" s="32">
        <f t="shared" si="69"/>
        <v>6341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511.24999999999977</v>
      </c>
      <c r="V89" s="50">
        <f t="shared" si="79"/>
        <v>578.34999999999991</v>
      </c>
      <c r="W89" s="50">
        <f t="shared" si="80"/>
        <v>533.25</v>
      </c>
      <c r="X89" s="29">
        <f t="shared" si="77"/>
        <v>1622.8499999999997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518.40000000000009</v>
      </c>
      <c r="E90" s="31">
        <f t="shared" si="67"/>
        <v>2881</v>
      </c>
      <c r="F90" s="31">
        <f t="shared" si="68"/>
        <v>518.4000000000002</v>
      </c>
      <c r="G90" s="32">
        <f t="shared" si="69"/>
        <v>2881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558.65000000000066</v>
      </c>
      <c r="V90" s="50">
        <f>$J$48*$J$37*($D$49*G28+$E$49*H28+$F$49*I28)</f>
        <v>518.4000000000002</v>
      </c>
      <c r="W90" s="50">
        <f>$J$48*$J$37*($D$50*G28+$E$50*H28+$F$50*I28)</f>
        <v>156.44999999999953</v>
      </c>
      <c r="X90" s="29">
        <f t="shared" si="77"/>
        <v>1233.5000000000005</v>
      </c>
    </row>
    <row r="91" spans="1:24">
      <c r="A91" s="87"/>
      <c r="B91" s="48" t="str">
        <f t="shared" si="66"/>
        <v>D65</v>
      </c>
      <c r="C91" s="93"/>
      <c r="D91" s="31">
        <f t="shared" si="71"/>
        <v>1216.5</v>
      </c>
      <c r="E91" s="31">
        <f t="shared" si="67"/>
        <v>3855</v>
      </c>
      <c r="F91" s="31">
        <f t="shared" si="68"/>
        <v>1216.4999999999998</v>
      </c>
      <c r="G91" s="32">
        <f t="shared" si="69"/>
        <v>3855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1207.4999999999998</v>
      </c>
      <c r="V91" s="50">
        <f t="shared" ref="V91:V92" si="82">$J$48*$J$37*($D$49*G29+$E$49*H29+$F$49*I29)</f>
        <v>1216.4999999999998</v>
      </c>
      <c r="W91" s="50">
        <f t="shared" ref="W91:W92" si="83">$J$48*$J$37*($D$50*G29+$E$50*H29+$F$50*I29)</f>
        <v>653.5</v>
      </c>
      <c r="X91" s="29">
        <f t="shared" si="77"/>
        <v>3077.4999999999995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578.34999999999991</v>
      </c>
      <c r="E92" s="31">
        <f t="shared" si="67"/>
        <v>6341</v>
      </c>
      <c r="F92" s="31">
        <f t="shared" si="68"/>
        <v>578.34999999999968</v>
      </c>
      <c r="G92" s="32">
        <f t="shared" si="69"/>
        <v>6341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511.24999999999983</v>
      </c>
      <c r="V92" s="50">
        <f t="shared" si="82"/>
        <v>578.34999999999968</v>
      </c>
      <c r="W92" s="50">
        <f t="shared" si="83"/>
        <v>533.24999999999989</v>
      </c>
      <c r="X92" s="29">
        <f t="shared" si="77"/>
        <v>1622.8499999999995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9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0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1.4843942864073085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74.831840504800226</v>
      </c>
      <c r="N3" s="46">
        <v>0</v>
      </c>
      <c r="O3" s="50">
        <f>G$5-N3*G$7</f>
        <v>126.36324705585996</v>
      </c>
      <c r="P3" s="50">
        <f>H$5-N3*H$7</f>
        <v>51.531406551059732</v>
      </c>
      <c r="Q3" s="50">
        <f>I$5-N3*I$7</f>
        <v>61.604531529969357</v>
      </c>
    </row>
    <row r="4" spans="1:17">
      <c r="C4" s="46" t="s">
        <v>20</v>
      </c>
      <c r="D4" s="7">
        <v>529.29999999999995</v>
      </c>
      <c r="E4" s="7">
        <v>1211</v>
      </c>
      <c r="F4" s="7">
        <v>576.70000000000005</v>
      </c>
      <c r="G4" s="50">
        <f>AVERAGE(D4:F4)</f>
        <v>772.33333333333337</v>
      </c>
      <c r="H4" s="50">
        <f>G4</f>
        <v>772.33333333333337</v>
      </c>
      <c r="I4" s="50">
        <f>H4</f>
        <v>772.33333333333337</v>
      </c>
      <c r="K4" s="13" t="str">
        <f>linefmt("Compensation",B12)</f>
        <v>"Compensation",37,</v>
      </c>
      <c r="M4" s="46">
        <f t="shared" si="0"/>
        <v>72.842635386921572</v>
      </c>
      <c r="N4" s="46">
        <f>N3+1</f>
        <v>1</v>
      </c>
      <c r="O4" s="50">
        <f t="shared" ref="O4:O66" si="1">G$5-N4*G$7</f>
        <v>124.28475484742253</v>
      </c>
      <c r="P4" s="50">
        <f t="shared" ref="P4:P66" si="2">H$5-N4*H$7</f>
        <v>51.442119460500962</v>
      </c>
      <c r="Q4" s="50">
        <f t="shared" ref="Q4:Q66" si="3">I$5-N4*I$7</f>
        <v>61.283116582856472</v>
      </c>
    </row>
    <row r="5" spans="1:17">
      <c r="C5" s="46">
        <v>0</v>
      </c>
      <c r="D5" s="9">
        <v>86.6</v>
      </c>
      <c r="E5" s="9">
        <v>80.8</v>
      </c>
      <c r="F5" s="9">
        <v>46</v>
      </c>
      <c r="G5" s="50">
        <f>G$4/D$4*D5</f>
        <v>126.36324705585996</v>
      </c>
      <c r="H5" s="50">
        <f t="shared" ref="H5:I6" si="4">H$4/E$4*E5</f>
        <v>51.531406551059732</v>
      </c>
      <c r="I5" s="50">
        <f t="shared" si="4"/>
        <v>61.604531529969357</v>
      </c>
      <c r="K5" s="14" t="str">
        <f>linefmt("CardGain",J54)</f>
        <v>"CardGain",14.83966,</v>
      </c>
      <c r="M5" s="46">
        <f t="shared" si="0"/>
        <v>70.853430269042917</v>
      </c>
      <c r="N5" s="46">
        <f t="shared" ref="N5:N66" si="5">N4+1</f>
        <v>2</v>
      </c>
      <c r="O5" s="50">
        <f t="shared" si="1"/>
        <v>122.20626263898512</v>
      </c>
      <c r="P5" s="50">
        <f t="shared" si="2"/>
        <v>51.352832369942199</v>
      </c>
      <c r="Q5" s="50">
        <f t="shared" si="3"/>
        <v>60.961701635743587</v>
      </c>
    </row>
    <row r="6" spans="1:17">
      <c r="B6" s="50">
        <f>D5/4</f>
        <v>21.65</v>
      </c>
      <c r="C6" s="7">
        <v>45</v>
      </c>
      <c r="D6" s="9">
        <v>22.5</v>
      </c>
      <c r="E6" s="9">
        <v>74.5</v>
      </c>
      <c r="F6" s="9">
        <v>35.200000000000003</v>
      </c>
      <c r="G6" s="50">
        <f>G$4/D$4*D6</f>
        <v>32.831097676176086</v>
      </c>
      <c r="H6" s="50">
        <f t="shared" si="4"/>
        <v>47.513487475915227</v>
      </c>
      <c r="I6" s="50">
        <f t="shared" si="4"/>
        <v>47.140858909889602</v>
      </c>
      <c r="K6" s="14" t="str">
        <f>linefmt("Range",1,J34,J37)</f>
        <v>"Range",1,0.9882483,1.019908,</v>
      </c>
      <c r="M6" s="46">
        <f t="shared" si="0"/>
        <v>68.864225151164277</v>
      </c>
      <c r="N6" s="46">
        <f t="shared" si="5"/>
        <v>3</v>
      </c>
      <c r="O6" s="50">
        <f t="shared" si="1"/>
        <v>120.1277704305477</v>
      </c>
      <c r="P6" s="50">
        <f t="shared" si="2"/>
        <v>51.263545279383429</v>
      </c>
      <c r="Q6" s="50">
        <f t="shared" si="3"/>
        <v>60.640286688630709</v>
      </c>
    </row>
    <row r="7" spans="1:17">
      <c r="C7" s="46">
        <f>C5</f>
        <v>0</v>
      </c>
      <c r="D7" s="46">
        <f t="shared" ref="D7:F8" si="6">D$4/D5</f>
        <v>6.1120092378752888</v>
      </c>
      <c r="E7" s="46">
        <f t="shared" si="6"/>
        <v>14.987623762376238</v>
      </c>
      <c r="F7" s="46">
        <f t="shared" si="6"/>
        <v>12.536956521739132</v>
      </c>
      <c r="G7" s="49">
        <f>(G5-G6)/($C6-$C5)</f>
        <v>2.0784922084374196</v>
      </c>
      <c r="H7" s="49">
        <f t="shared" ref="H7:I7" si="7">(H5-H6)/($C6-$C5)</f>
        <v>8.9287090558766768E-2</v>
      </c>
      <c r="I7" s="49">
        <f t="shared" si="7"/>
        <v>0.32141494711288343</v>
      </c>
      <c r="K7" s="14" t="str">
        <f>linefmt("CCM" )</f>
        <v>"CCM",</v>
      </c>
      <c r="M7" s="46">
        <f t="shared" si="0"/>
        <v>66.875020033285608</v>
      </c>
      <c r="N7" s="46">
        <f t="shared" si="5"/>
        <v>4</v>
      </c>
      <c r="O7" s="50">
        <f t="shared" si="1"/>
        <v>118.04927822211027</v>
      </c>
      <c r="P7" s="50">
        <f t="shared" si="2"/>
        <v>51.174258188824666</v>
      </c>
      <c r="Q7" s="50">
        <f t="shared" si="3"/>
        <v>60.318871741517825</v>
      </c>
    </row>
    <row r="8" spans="1:17">
      <c r="C8" s="46">
        <f>C6</f>
        <v>45</v>
      </c>
      <c r="D8" s="46">
        <f t="shared" si="6"/>
        <v>23.524444444444441</v>
      </c>
      <c r="E8" s="46">
        <f t="shared" si="6"/>
        <v>16.255033557046978</v>
      </c>
      <c r="F8" s="46">
        <f t="shared" si="6"/>
        <v>16.383522727272727</v>
      </c>
      <c r="K8" s="15" t="str">
        <f>linefmt("",D54,E54,F54)</f>
        <v>0.2169777,1.056624,-0.3998013,</v>
      </c>
      <c r="M8" s="46">
        <f t="shared" si="0"/>
        <v>64.885814915406968</v>
      </c>
      <c r="N8" s="46">
        <f t="shared" si="5"/>
        <v>5</v>
      </c>
      <c r="O8" s="50">
        <f t="shared" si="1"/>
        <v>115.97078601367286</v>
      </c>
      <c r="P8" s="50">
        <f t="shared" si="2"/>
        <v>51.084971098265896</v>
      </c>
      <c r="Q8" s="50">
        <f t="shared" si="3"/>
        <v>59.99745679440494</v>
      </c>
    </row>
    <row r="9" spans="1:17">
      <c r="C9" s="46" t="s">
        <v>23</v>
      </c>
      <c r="D9" s="46">
        <f>(D8-D7)/($C8-$C7)</f>
        <v>0.38694300459042563</v>
      </c>
      <c r="E9" s="46">
        <f>(E8-E7)/($C8-$C7)</f>
        <v>2.8164662103794234E-2</v>
      </c>
      <c r="F9" s="46">
        <f>(F8-F7)/($C8-$C7)</f>
        <v>8.5479249011857661E-2</v>
      </c>
      <c r="K9" s="15" t="str">
        <f>linefmt("",D55,E55,F55)</f>
        <v>5.129256E-02,1,-4.046893E-02,</v>
      </c>
      <c r="M9" s="46">
        <f t="shared" si="0"/>
        <v>62.896609797528306</v>
      </c>
      <c r="N9" s="46">
        <f t="shared" si="5"/>
        <v>6</v>
      </c>
      <c r="O9" s="50">
        <f t="shared" si="1"/>
        <v>113.89229380523544</v>
      </c>
      <c r="P9" s="50">
        <f t="shared" si="2"/>
        <v>50.995684007707133</v>
      </c>
      <c r="Q9" s="50">
        <f t="shared" si="3"/>
        <v>59.676041847292055</v>
      </c>
    </row>
    <row r="10" spans="1:17">
      <c r="K10" s="16" t="str">
        <f>linefmt("",D56,E56,F56)</f>
        <v>-0.5283717,0.2775502,1.264742,</v>
      </c>
      <c r="M10" s="46">
        <f t="shared" si="0"/>
        <v>60.907404679649652</v>
      </c>
      <c r="N10" s="46">
        <f t="shared" si="5"/>
        <v>7</v>
      </c>
      <c r="O10" s="50">
        <f t="shared" si="1"/>
        <v>111.81380159679802</v>
      </c>
      <c r="P10" s="50">
        <f t="shared" si="2"/>
        <v>50.906396917148363</v>
      </c>
      <c r="Q10" s="50">
        <f t="shared" si="3"/>
        <v>59.35462690017917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58.918199561771004</v>
      </c>
      <c r="N11" s="46">
        <f t="shared" si="5"/>
        <v>8</v>
      </c>
      <c r="O11" s="50">
        <f t="shared" si="1"/>
        <v>109.7353093883606</v>
      </c>
      <c r="P11" s="50">
        <f t="shared" si="2"/>
        <v>50.817109826589601</v>
      </c>
      <c r="Q11" s="50">
        <f t="shared" si="3"/>
        <v>59.033211953066292</v>
      </c>
    </row>
    <row r="12" spans="1:17">
      <c r="A12" s="46" t="s">
        <v>16</v>
      </c>
      <c r="B12" s="10">
        <f>MATCH(M2,M3:M66,0)-1</f>
        <v>37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Compensation=37</v>
      </c>
      <c r="M12" s="46">
        <f t="shared" si="0"/>
        <v>56.92899444389235</v>
      </c>
      <c r="N12" s="46">
        <f t="shared" si="5"/>
        <v>9</v>
      </c>
      <c r="O12" s="50">
        <f t="shared" si="1"/>
        <v>107.65681717992318</v>
      </c>
      <c r="P12" s="50">
        <f t="shared" si="2"/>
        <v>50.727822736030831</v>
      </c>
      <c r="Q12" s="50">
        <f t="shared" si="3"/>
        <v>58.711797005953407</v>
      </c>
    </row>
    <row r="13" spans="1:17">
      <c r="A13" s="78" t="s">
        <v>12</v>
      </c>
      <c r="B13" s="79" t="s">
        <v>0</v>
      </c>
      <c r="C13" s="46">
        <v>0</v>
      </c>
      <c r="D13" s="7">
        <v>549.4</v>
      </c>
      <c r="E13" s="7">
        <v>510.2</v>
      </c>
      <c r="F13" s="7">
        <v>157.1</v>
      </c>
      <c r="G13" s="8">
        <v>97.8</v>
      </c>
      <c r="H13" s="8">
        <v>31.2</v>
      </c>
      <c r="I13" s="8">
        <v>39.200000000000003</v>
      </c>
      <c r="M13" s="46">
        <f t="shared" si="0"/>
        <v>54.939789326013695</v>
      </c>
      <c r="N13" s="46">
        <f t="shared" si="5"/>
        <v>10</v>
      </c>
      <c r="O13" s="50">
        <f t="shared" si="1"/>
        <v>105.57832497148576</v>
      </c>
      <c r="P13" s="50">
        <f t="shared" si="2"/>
        <v>50.638535645472061</v>
      </c>
      <c r="Q13" s="50">
        <f t="shared" si="3"/>
        <v>58.390382058840522</v>
      </c>
    </row>
    <row r="14" spans="1:17">
      <c r="A14" s="78"/>
      <c r="B14" s="79"/>
      <c r="C14" s="46">
        <f>C13+1</f>
        <v>1</v>
      </c>
      <c r="D14" s="7">
        <v>555.79999999999995</v>
      </c>
      <c r="E14" s="7">
        <v>515.70000000000005</v>
      </c>
      <c r="F14" s="7">
        <v>156.6</v>
      </c>
      <c r="G14" s="8">
        <v>86</v>
      </c>
      <c r="H14" s="8">
        <v>33.5</v>
      </c>
      <c r="I14" s="8">
        <v>40.200000000000003</v>
      </c>
      <c r="M14" s="46">
        <f t="shared" si="0"/>
        <v>52.950584208135048</v>
      </c>
      <c r="N14" s="46">
        <f t="shared" si="5"/>
        <v>11</v>
      </c>
      <c r="O14" s="50">
        <f t="shared" si="1"/>
        <v>103.49983276304835</v>
      </c>
      <c r="P14" s="50">
        <f t="shared" si="2"/>
        <v>50.549248554913298</v>
      </c>
      <c r="Q14" s="50">
        <f t="shared" si="3"/>
        <v>58.068967111727638</v>
      </c>
    </row>
    <row r="15" spans="1:17">
      <c r="A15" s="78"/>
      <c r="B15" s="79"/>
      <c r="C15" s="46">
        <f>C14+1</f>
        <v>2</v>
      </c>
      <c r="D15" s="6">
        <f>2*(D13-D14)/(D13+D14)</f>
        <v>-1.158161418747734E-2</v>
      </c>
      <c r="E15" s="6">
        <f t="shared" ref="E15:F15" si="8">2*(E13-E14)/(E13+E14)</f>
        <v>-1.0722292621113278E-2</v>
      </c>
      <c r="F15" s="6">
        <f t="shared" si="8"/>
        <v>3.1877590054191903E-3</v>
      </c>
      <c r="G15" s="8">
        <v>83.5</v>
      </c>
      <c r="H15" s="8">
        <v>31.5</v>
      </c>
      <c r="I15" s="8">
        <v>38</v>
      </c>
      <c r="M15" s="46">
        <f t="shared" si="0"/>
        <v>50.961379090256393</v>
      </c>
      <c r="N15" s="46">
        <f t="shared" si="5"/>
        <v>12</v>
      </c>
      <c r="O15" s="50">
        <f t="shared" si="1"/>
        <v>101.42134055461092</v>
      </c>
      <c r="P15" s="50">
        <f t="shared" si="2"/>
        <v>50.459961464354528</v>
      </c>
      <c r="Q15" s="50">
        <f t="shared" si="3"/>
        <v>57.747552164614753</v>
      </c>
    </row>
    <row r="16" spans="1:17">
      <c r="A16" s="78"/>
      <c r="B16" s="79" t="s">
        <v>1</v>
      </c>
      <c r="C16" s="46">
        <f>C13</f>
        <v>0</v>
      </c>
      <c r="D16" s="7">
        <v>1204</v>
      </c>
      <c r="E16" s="7">
        <v>1213</v>
      </c>
      <c r="F16" s="7">
        <v>652</v>
      </c>
      <c r="G16" s="8">
        <v>64.5</v>
      </c>
      <c r="H16" s="8">
        <v>75.400000000000006</v>
      </c>
      <c r="I16" s="8">
        <v>42</v>
      </c>
      <c r="M16" s="46">
        <f t="shared" si="0"/>
        <v>48.972173972377732</v>
      </c>
      <c r="N16" s="46">
        <f t="shared" si="5"/>
        <v>13</v>
      </c>
      <c r="O16" s="50">
        <f t="shared" si="1"/>
        <v>99.342848346173497</v>
      </c>
      <c r="P16" s="50">
        <f t="shared" si="2"/>
        <v>50.370674373795765</v>
      </c>
      <c r="Q16" s="50">
        <f t="shared" si="3"/>
        <v>57.426137217501875</v>
      </c>
    </row>
    <row r="17" spans="1:21">
      <c r="A17" s="78"/>
      <c r="B17" s="79"/>
      <c r="C17" s="46">
        <f t="shared" ref="C17:C21" si="9">C14</f>
        <v>1</v>
      </c>
      <c r="D17" s="7">
        <v>1205</v>
      </c>
      <c r="E17" s="7">
        <v>1214</v>
      </c>
      <c r="F17" s="7">
        <v>651</v>
      </c>
      <c r="G17" s="8">
        <v>67.599999999999994</v>
      </c>
      <c r="H17" s="8">
        <v>77.900000000000006</v>
      </c>
      <c r="I17" s="8">
        <v>44.3</v>
      </c>
      <c r="M17" s="46">
        <f t="shared" si="0"/>
        <v>46.982968854499092</v>
      </c>
      <c r="N17" s="46">
        <f t="shared" si="5"/>
        <v>14</v>
      </c>
      <c r="O17" s="50">
        <f t="shared" si="1"/>
        <v>97.264356137736087</v>
      </c>
      <c r="P17" s="50">
        <f t="shared" si="2"/>
        <v>50.281387283236995</v>
      </c>
      <c r="Q17" s="50">
        <f t="shared" si="3"/>
        <v>57.10472227038899</v>
      </c>
    </row>
    <row r="18" spans="1:21">
      <c r="A18" s="78"/>
      <c r="B18" s="79"/>
      <c r="C18" s="46">
        <f t="shared" si="9"/>
        <v>2</v>
      </c>
      <c r="D18" s="6">
        <f>2*(D16-D17)/(D16+D17)</f>
        <v>-8.3022000830220008E-4</v>
      </c>
      <c r="E18" s="6">
        <f t="shared" ref="E18:F18" si="10">2*(E16-E17)/(E16+E17)</f>
        <v>-8.2406262875978574E-4</v>
      </c>
      <c r="F18" s="6">
        <f t="shared" si="10"/>
        <v>1.5349194167306216E-3</v>
      </c>
      <c r="G18" s="8">
        <v>58.6</v>
      </c>
      <c r="H18" s="8">
        <v>85.5</v>
      </c>
      <c r="I18" s="8">
        <v>44.2</v>
      </c>
      <c r="M18" s="46">
        <f t="shared" si="0"/>
        <v>44.99376373662043</v>
      </c>
      <c r="N18" s="46">
        <f t="shared" si="5"/>
        <v>15</v>
      </c>
      <c r="O18" s="50">
        <f t="shared" si="1"/>
        <v>95.185863929298662</v>
      </c>
      <c r="P18" s="50">
        <f t="shared" si="2"/>
        <v>50.192100192678232</v>
      </c>
      <c r="Q18" s="50">
        <f t="shared" si="3"/>
        <v>56.783307323276105</v>
      </c>
    </row>
    <row r="19" spans="1:21">
      <c r="A19" s="78"/>
      <c r="B19" s="79" t="s">
        <v>2</v>
      </c>
      <c r="C19" s="46">
        <f t="shared" si="9"/>
        <v>0</v>
      </c>
      <c r="D19" s="7">
        <v>510.7</v>
      </c>
      <c r="E19" s="7">
        <v>577.79999999999995</v>
      </c>
      <c r="F19" s="7">
        <v>532.6</v>
      </c>
      <c r="G19" s="8">
        <v>27.9</v>
      </c>
      <c r="H19" s="8">
        <v>37.200000000000003</v>
      </c>
      <c r="I19" s="8">
        <v>30.5</v>
      </c>
      <c r="M19" s="46">
        <f t="shared" si="0"/>
        <v>43.004558618741775</v>
      </c>
      <c r="N19" s="46">
        <f t="shared" si="5"/>
        <v>16</v>
      </c>
      <c r="O19" s="50">
        <f t="shared" si="1"/>
        <v>93.107371720861238</v>
      </c>
      <c r="P19" s="50">
        <f t="shared" si="2"/>
        <v>50.102813102119462</v>
      </c>
      <c r="Q19" s="50">
        <f t="shared" si="3"/>
        <v>56.46189237616322</v>
      </c>
    </row>
    <row r="20" spans="1:21">
      <c r="A20" s="78"/>
      <c r="B20" s="79"/>
      <c r="C20" s="46">
        <f t="shared" si="9"/>
        <v>1</v>
      </c>
      <c r="D20" s="7">
        <v>511.9</v>
      </c>
      <c r="E20" s="7">
        <v>578.79999999999995</v>
      </c>
      <c r="F20" s="7">
        <v>532.9</v>
      </c>
      <c r="G20" s="8">
        <v>29.6</v>
      </c>
      <c r="H20" s="8">
        <v>39.4</v>
      </c>
      <c r="I20" s="8">
        <v>32.5</v>
      </c>
      <c r="M20" s="46">
        <f t="shared" si="0"/>
        <v>41.015353500863128</v>
      </c>
      <c r="N20" s="46">
        <f t="shared" si="5"/>
        <v>17</v>
      </c>
      <c r="O20" s="50">
        <f t="shared" si="1"/>
        <v>91.028879512423828</v>
      </c>
      <c r="P20" s="50">
        <f t="shared" si="2"/>
        <v>50.0135260115607</v>
      </c>
      <c r="Q20" s="50">
        <f t="shared" si="3"/>
        <v>56.140477429050335</v>
      </c>
    </row>
    <row r="21" spans="1:21">
      <c r="A21" s="78"/>
      <c r="B21" s="79"/>
      <c r="C21" s="46">
        <f t="shared" si="9"/>
        <v>2</v>
      </c>
      <c r="D21" s="6">
        <f>2*(D19-D20)/(D19+D20)</f>
        <v>-2.3469587326422625E-3</v>
      </c>
      <c r="E21" s="6">
        <f t="shared" ref="E21:F21" si="11">2*(E19-E20)/(E19+E20)</f>
        <v>-1.7292062943109114E-3</v>
      </c>
      <c r="F21" s="6">
        <f t="shared" si="11"/>
        <v>-5.6311590802431632E-4</v>
      </c>
      <c r="G21" s="8">
        <v>27.2</v>
      </c>
      <c r="H21" s="8">
        <v>38.4</v>
      </c>
      <c r="I21" s="8">
        <v>30.1</v>
      </c>
      <c r="M21" s="46">
        <f t="shared" si="0"/>
        <v>39.026148382984474</v>
      </c>
      <c r="N21" s="46">
        <f t="shared" si="5"/>
        <v>18</v>
      </c>
      <c r="O21" s="50">
        <f t="shared" si="1"/>
        <v>88.950387303986403</v>
      </c>
      <c r="P21" s="50">
        <f t="shared" si="2"/>
        <v>49.92423892100193</v>
      </c>
      <c r="Q21" s="50">
        <f t="shared" si="3"/>
        <v>55.819062481937458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552.59999999999991</v>
      </c>
      <c r="E22" s="46">
        <f t="shared" ref="E22:F22" si="12">(E13+E14)/2</f>
        <v>512.95000000000005</v>
      </c>
      <c r="F22" s="46">
        <f t="shared" si="12"/>
        <v>156.85</v>
      </c>
      <c r="G22" s="5">
        <f>G13</f>
        <v>97.8</v>
      </c>
      <c r="H22" s="5">
        <f t="shared" ref="H22:I22" si="13">H13</f>
        <v>31.2</v>
      </c>
      <c r="I22" s="5">
        <f t="shared" si="13"/>
        <v>39.200000000000003</v>
      </c>
      <c r="J22" s="99">
        <f>AVERAGE(G22:I24)</f>
        <v>49.522222222222219</v>
      </c>
      <c r="M22" s="46">
        <f t="shared" si="0"/>
        <v>37.036943265105819</v>
      </c>
      <c r="N22" s="46">
        <f t="shared" si="5"/>
        <v>19</v>
      </c>
      <c r="O22" s="50">
        <f t="shared" si="1"/>
        <v>86.871895095548979</v>
      </c>
      <c r="P22" s="50">
        <f t="shared" si="2"/>
        <v>49.83495183044316</v>
      </c>
      <c r="Q22" s="50">
        <f t="shared" si="3"/>
        <v>55.497647534824573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1204.5</v>
      </c>
      <c r="E23" s="46">
        <f>(E16+E17)/2</f>
        <v>1213.5</v>
      </c>
      <c r="F23" s="46">
        <f>(F16+F17)/2</f>
        <v>651.5</v>
      </c>
      <c r="G23" s="5">
        <f>G16</f>
        <v>64.5</v>
      </c>
      <c r="H23" s="5">
        <f>H16</f>
        <v>75.400000000000006</v>
      </c>
      <c r="I23" s="5">
        <f>I16</f>
        <v>42</v>
      </c>
      <c r="J23" s="99"/>
      <c r="M23" s="46">
        <f t="shared" si="0"/>
        <v>35.047738147227172</v>
      </c>
      <c r="N23" s="46">
        <f t="shared" si="5"/>
        <v>20</v>
      </c>
      <c r="O23" s="50">
        <f t="shared" si="1"/>
        <v>84.793402887111569</v>
      </c>
      <c r="P23" s="50">
        <f t="shared" si="2"/>
        <v>49.745664739884397</v>
      </c>
      <c r="Q23" s="50">
        <f t="shared" si="3"/>
        <v>55.176232587711688</v>
      </c>
    </row>
    <row r="24" spans="1:21">
      <c r="A24" s="78"/>
      <c r="B24" s="46" t="str">
        <f>B19</f>
        <v>D65</v>
      </c>
      <c r="C24" s="79"/>
      <c r="D24" s="46">
        <f>(D19+D20)/2</f>
        <v>511.29999999999995</v>
      </c>
      <c r="E24" s="46">
        <f>(E19+E20)/2</f>
        <v>578.29999999999995</v>
      </c>
      <c r="F24" s="46">
        <f>(F19+F20)/2</f>
        <v>532.75</v>
      </c>
      <c r="G24" s="5">
        <f>G19</f>
        <v>27.9</v>
      </c>
      <c r="H24" s="5">
        <f>H19</f>
        <v>37.200000000000003</v>
      </c>
      <c r="I24" s="5">
        <f>I19</f>
        <v>30.5</v>
      </c>
      <c r="J24" s="99"/>
      <c r="M24" s="46">
        <f t="shared" si="0"/>
        <v>33.058533029348517</v>
      </c>
      <c r="N24" s="46">
        <f t="shared" si="5"/>
        <v>21</v>
      </c>
      <c r="O24" s="50">
        <f t="shared" si="1"/>
        <v>82.714910678674144</v>
      </c>
      <c r="P24" s="50">
        <f t="shared" si="2"/>
        <v>49.656377649325627</v>
      </c>
      <c r="Q24" s="50">
        <f t="shared" si="3"/>
        <v>54.854817640598803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552.59999999999991</v>
      </c>
      <c r="E25" s="46">
        <f t="shared" ref="E25:F25" si="15">(E13+E14)/2</f>
        <v>512.95000000000005</v>
      </c>
      <c r="F25" s="46">
        <f t="shared" si="15"/>
        <v>156.85</v>
      </c>
      <c r="G25" s="5">
        <f t="shared" ref="G25:I25" si="16">G14</f>
        <v>86</v>
      </c>
      <c r="H25" s="5">
        <f t="shared" si="16"/>
        <v>33.5</v>
      </c>
      <c r="I25" s="5">
        <f t="shared" si="16"/>
        <v>40.200000000000003</v>
      </c>
      <c r="J25" s="99">
        <f>AVERAGE(G25:I27)</f>
        <v>50.111111111111114</v>
      </c>
      <c r="M25" s="46">
        <f t="shared" si="0"/>
        <v>31.069327911469856</v>
      </c>
      <c r="N25" s="46">
        <f t="shared" si="5"/>
        <v>22</v>
      </c>
      <c r="O25" s="50">
        <f t="shared" si="1"/>
        <v>80.63641847023672</v>
      </c>
      <c r="P25" s="50">
        <f t="shared" si="2"/>
        <v>49.567090558766864</v>
      </c>
      <c r="Q25" s="50">
        <f t="shared" si="3"/>
        <v>54.533402693485925</v>
      </c>
    </row>
    <row r="26" spans="1:21">
      <c r="A26" s="78"/>
      <c r="B26" s="46" t="str">
        <f>B16</f>
        <v>CWF</v>
      </c>
      <c r="C26" s="79"/>
      <c r="D26" s="46">
        <f>(D16+D17)/2</f>
        <v>1204.5</v>
      </c>
      <c r="E26" s="46">
        <f>(E16+E17)/2</f>
        <v>1213.5</v>
      </c>
      <c r="F26" s="46">
        <f>(F16+F17)/2</f>
        <v>651.5</v>
      </c>
      <c r="G26" s="5">
        <f>G17</f>
        <v>67.599999999999994</v>
      </c>
      <c r="H26" s="5">
        <f>H17</f>
        <v>77.900000000000006</v>
      </c>
      <c r="I26" s="5">
        <f>I17</f>
        <v>44.3</v>
      </c>
      <c r="J26" s="99"/>
      <c r="M26" s="46">
        <f t="shared" si="0"/>
        <v>29.080122793591215</v>
      </c>
      <c r="N26" s="46">
        <f t="shared" si="5"/>
        <v>23</v>
      </c>
      <c r="O26" s="50">
        <f t="shared" si="1"/>
        <v>78.557926261799309</v>
      </c>
      <c r="P26" s="50">
        <f t="shared" si="2"/>
        <v>49.477803468208094</v>
      </c>
      <c r="Q26" s="50">
        <f t="shared" si="3"/>
        <v>54.21198774637304</v>
      </c>
    </row>
    <row r="27" spans="1:21">
      <c r="A27" s="78"/>
      <c r="B27" s="46" t="str">
        <f>B19</f>
        <v>D65</v>
      </c>
      <c r="C27" s="79"/>
      <c r="D27" s="46">
        <f>(D19+D20)/2</f>
        <v>511.29999999999995</v>
      </c>
      <c r="E27" s="46">
        <f>(E19+E20)/2</f>
        <v>578.29999999999995</v>
      </c>
      <c r="F27" s="46">
        <f>(F19+F20)/2</f>
        <v>532.75</v>
      </c>
      <c r="G27" s="5">
        <f>G20</f>
        <v>29.6</v>
      </c>
      <c r="H27" s="5">
        <f>H20</f>
        <v>39.4</v>
      </c>
      <c r="I27" s="5">
        <f>I20</f>
        <v>32.5</v>
      </c>
      <c r="J27" s="99"/>
      <c r="M27" s="46">
        <f t="shared" si="0"/>
        <v>27.090917675712554</v>
      </c>
      <c r="N27" s="46">
        <f t="shared" si="5"/>
        <v>24</v>
      </c>
      <c r="O27" s="50">
        <f t="shared" si="1"/>
        <v>76.479434053361885</v>
      </c>
      <c r="P27" s="50">
        <f t="shared" si="2"/>
        <v>49.388516377649331</v>
      </c>
      <c r="Q27" s="50">
        <f t="shared" si="3"/>
        <v>53.890572799260156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552.59999999999991</v>
      </c>
      <c r="E28" s="46">
        <f t="shared" ref="E28:F28" si="17">(E13+E14)/2</f>
        <v>512.95000000000005</v>
      </c>
      <c r="F28" s="46">
        <f t="shared" si="17"/>
        <v>156.85</v>
      </c>
      <c r="G28" s="5">
        <f t="shared" ref="G28:I28" si="18">G15</f>
        <v>83.5</v>
      </c>
      <c r="H28" s="5">
        <f t="shared" si="18"/>
        <v>31.5</v>
      </c>
      <c r="I28" s="5">
        <f t="shared" si="18"/>
        <v>38</v>
      </c>
      <c r="J28" s="99">
        <f>AVERAGE(G28:I30)</f>
        <v>48.555555555555557</v>
      </c>
      <c r="M28" s="46">
        <f t="shared" si="0"/>
        <v>25.101712557833899</v>
      </c>
      <c r="N28" s="46">
        <f t="shared" si="5"/>
        <v>25</v>
      </c>
      <c r="O28" s="50">
        <f t="shared" si="1"/>
        <v>74.400941844924461</v>
      </c>
      <c r="P28" s="50">
        <f t="shared" si="2"/>
        <v>49.299229287090562</v>
      </c>
      <c r="Q28" s="50">
        <f t="shared" si="3"/>
        <v>53.569157852147271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1204.5</v>
      </c>
      <c r="E29" s="46">
        <f t="shared" si="20"/>
        <v>1213.5</v>
      </c>
      <c r="F29" s="46">
        <f t="shared" si="20"/>
        <v>651.5</v>
      </c>
      <c r="G29" s="5">
        <f t="shared" ref="G29:I29" si="21">G18</f>
        <v>58.6</v>
      </c>
      <c r="H29" s="5">
        <f t="shared" si="21"/>
        <v>85.5</v>
      </c>
      <c r="I29" s="5">
        <f t="shared" si="21"/>
        <v>44.2</v>
      </c>
      <c r="J29" s="99"/>
      <c r="M29" s="46">
        <f t="shared" si="0"/>
        <v>23.112507439955252</v>
      </c>
      <c r="N29" s="46">
        <f t="shared" si="5"/>
        <v>26</v>
      </c>
      <c r="O29" s="50">
        <f t="shared" si="1"/>
        <v>72.32244963648705</v>
      </c>
      <c r="P29" s="50">
        <f t="shared" si="2"/>
        <v>49.209942196531799</v>
      </c>
      <c r="Q29" s="50">
        <f t="shared" si="3"/>
        <v>53.247742905034386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511.29999999999995</v>
      </c>
      <c r="E30" s="46">
        <f t="shared" si="23"/>
        <v>578.29999999999995</v>
      </c>
      <c r="F30" s="46">
        <f t="shared" si="23"/>
        <v>532.75</v>
      </c>
      <c r="G30" s="5">
        <f t="shared" ref="G30:I30" si="24">G21</f>
        <v>27.2</v>
      </c>
      <c r="H30" s="5">
        <f t="shared" si="24"/>
        <v>38.4</v>
      </c>
      <c r="I30" s="5">
        <f t="shared" si="24"/>
        <v>30.1</v>
      </c>
      <c r="J30" s="99"/>
      <c r="M30" s="46">
        <f t="shared" si="0"/>
        <v>21.123302322076611</v>
      </c>
      <c r="N30" s="46">
        <f t="shared" si="5"/>
        <v>27</v>
      </c>
      <c r="O30" s="50">
        <f t="shared" si="1"/>
        <v>70.24395742804964</v>
      </c>
      <c r="P30" s="50">
        <f t="shared" si="2"/>
        <v>49.120655105973029</v>
      </c>
      <c r="Q30" s="50">
        <f t="shared" si="3"/>
        <v>52.926327957921501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552.59999999999991</v>
      </c>
      <c r="E31" s="46">
        <f t="shared" si="25"/>
        <v>512.95000000000005</v>
      </c>
      <c r="F31" s="46">
        <f t="shared" si="25"/>
        <v>156.85</v>
      </c>
      <c r="G31" s="5">
        <f t="shared" ref="G31:I33" si="26">G22*$J$31</f>
        <v>97.8</v>
      </c>
      <c r="H31" s="5">
        <f t="shared" si="26"/>
        <v>31.2</v>
      </c>
      <c r="I31" s="5">
        <f t="shared" si="26"/>
        <v>39.200000000000003</v>
      </c>
      <c r="J31" s="96">
        <f>J$22/J22</f>
        <v>1</v>
      </c>
      <c r="M31" s="46">
        <f t="shared" si="0"/>
        <v>19.134097204197943</v>
      </c>
      <c r="N31" s="46">
        <f t="shared" si="5"/>
        <v>28</v>
      </c>
      <c r="O31" s="50">
        <f t="shared" si="1"/>
        <v>68.165465219612202</v>
      </c>
      <c r="P31" s="50">
        <f t="shared" si="2"/>
        <v>49.031368015414259</v>
      </c>
      <c r="Q31" s="50">
        <f t="shared" si="3"/>
        <v>52.604913010808623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1204.5</v>
      </c>
      <c r="E32" s="46">
        <f t="shared" si="27"/>
        <v>1213.5</v>
      </c>
      <c r="F32" s="46">
        <f t="shared" si="27"/>
        <v>651.5</v>
      </c>
      <c r="G32" s="5">
        <f t="shared" si="26"/>
        <v>64.5</v>
      </c>
      <c r="H32" s="5">
        <f t="shared" si="26"/>
        <v>75.400000000000006</v>
      </c>
      <c r="I32" s="5">
        <f t="shared" si="26"/>
        <v>42</v>
      </c>
      <c r="J32" s="96"/>
      <c r="M32" s="46">
        <f t="shared" si="0"/>
        <v>17.144892086319295</v>
      </c>
      <c r="N32" s="46">
        <f t="shared" si="5"/>
        <v>29</v>
      </c>
      <c r="O32" s="50">
        <f t="shared" si="1"/>
        <v>66.086973011174791</v>
      </c>
      <c r="P32" s="50">
        <f t="shared" si="2"/>
        <v>48.942080924855496</v>
      </c>
      <c r="Q32" s="50">
        <f t="shared" si="3"/>
        <v>52.283498063695738</v>
      </c>
    </row>
    <row r="33" spans="1:17">
      <c r="A33" s="78"/>
      <c r="B33" s="46" t="str">
        <f t="shared" si="27"/>
        <v>D65</v>
      </c>
      <c r="C33" s="79"/>
      <c r="D33" s="46">
        <f t="shared" si="27"/>
        <v>511.29999999999995</v>
      </c>
      <c r="E33" s="46">
        <f t="shared" si="27"/>
        <v>578.29999999999995</v>
      </c>
      <c r="F33" s="46">
        <f t="shared" si="27"/>
        <v>532.75</v>
      </c>
      <c r="G33" s="5">
        <f t="shared" si="26"/>
        <v>27.9</v>
      </c>
      <c r="H33" s="5">
        <f t="shared" si="26"/>
        <v>37.200000000000003</v>
      </c>
      <c r="I33" s="5">
        <f t="shared" si="26"/>
        <v>30.5</v>
      </c>
      <c r="J33" s="96"/>
      <c r="M33" s="46">
        <f t="shared" si="0"/>
        <v>15.155686968440655</v>
      </c>
      <c r="N33" s="46">
        <f t="shared" si="5"/>
        <v>30</v>
      </c>
      <c r="O33" s="50">
        <f t="shared" si="1"/>
        <v>64.008480802737381</v>
      </c>
      <c r="P33" s="50">
        <f t="shared" si="2"/>
        <v>48.852793834296726</v>
      </c>
      <c r="Q33" s="50">
        <f t="shared" si="3"/>
        <v>51.962083116582853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552.59999999999991</v>
      </c>
      <c r="E34" s="46">
        <f t="shared" si="27"/>
        <v>512.95000000000005</v>
      </c>
      <c r="F34" s="46">
        <f t="shared" si="27"/>
        <v>156.85</v>
      </c>
      <c r="G34" s="5">
        <f t="shared" ref="G34:I36" si="28">G25*$J$34</f>
        <v>84.989356984478931</v>
      </c>
      <c r="H34" s="5">
        <f t="shared" si="28"/>
        <v>33.106319290465628</v>
      </c>
      <c r="I34" s="5">
        <f t="shared" si="28"/>
        <v>39.727583148558757</v>
      </c>
      <c r="J34" s="96">
        <f>J$22/J25</f>
        <v>0.98824833702882475</v>
      </c>
      <c r="M34" s="46">
        <f t="shared" si="0"/>
        <v>13.166481850561993</v>
      </c>
      <c r="N34" s="46">
        <f t="shared" si="5"/>
        <v>31</v>
      </c>
      <c r="O34" s="50">
        <f t="shared" si="1"/>
        <v>61.929988594299957</v>
      </c>
      <c r="P34" s="50">
        <f t="shared" si="2"/>
        <v>48.763506743737963</v>
      </c>
      <c r="Q34" s="50">
        <f t="shared" si="3"/>
        <v>51.640668169469969</v>
      </c>
    </row>
    <row r="35" spans="1:17">
      <c r="A35" s="78"/>
      <c r="B35" s="46" t="str">
        <f t="shared" si="27"/>
        <v>CWF</v>
      </c>
      <c r="C35" s="79"/>
      <c r="D35" s="46">
        <f t="shared" si="27"/>
        <v>1204.5</v>
      </c>
      <c r="E35" s="46">
        <f t="shared" si="27"/>
        <v>1213.5</v>
      </c>
      <c r="F35" s="46">
        <f t="shared" si="27"/>
        <v>651.5</v>
      </c>
      <c r="G35" s="5">
        <f t="shared" si="28"/>
        <v>66.805587583148551</v>
      </c>
      <c r="H35" s="5">
        <f t="shared" si="28"/>
        <v>76.984545454545454</v>
      </c>
      <c r="I35" s="5">
        <f t="shared" si="28"/>
        <v>43.779401330376935</v>
      </c>
      <c r="J35" s="96"/>
      <c r="M35" s="46">
        <f t="shared" si="0"/>
        <v>11.177276732683339</v>
      </c>
      <c r="N35" s="46">
        <f t="shared" si="5"/>
        <v>32</v>
      </c>
      <c r="O35" s="50">
        <f t="shared" si="1"/>
        <v>59.851496385862532</v>
      </c>
      <c r="P35" s="50">
        <f t="shared" si="2"/>
        <v>48.674219653179193</v>
      </c>
      <c r="Q35" s="50">
        <f t="shared" si="3"/>
        <v>51.319253222357091</v>
      </c>
    </row>
    <row r="36" spans="1:17">
      <c r="A36" s="78"/>
      <c r="B36" s="46" t="str">
        <f t="shared" si="27"/>
        <v>D65</v>
      </c>
      <c r="C36" s="79"/>
      <c r="D36" s="46">
        <f t="shared" si="27"/>
        <v>511.29999999999995</v>
      </c>
      <c r="E36" s="46">
        <f t="shared" si="27"/>
        <v>578.29999999999995</v>
      </c>
      <c r="F36" s="46">
        <f t="shared" si="27"/>
        <v>532.75</v>
      </c>
      <c r="G36" s="5">
        <f t="shared" si="28"/>
        <v>29.252150776053213</v>
      </c>
      <c r="H36" s="5">
        <f t="shared" si="28"/>
        <v>38.936984478935692</v>
      </c>
      <c r="I36" s="5">
        <f t="shared" si="28"/>
        <v>32.118070953436806</v>
      </c>
      <c r="J36" s="96"/>
      <c r="M36" s="46">
        <f t="shared" si="0"/>
        <v>9.1880716148046773</v>
      </c>
      <c r="N36" s="46">
        <f t="shared" si="5"/>
        <v>33</v>
      </c>
      <c r="O36" s="50">
        <f t="shared" si="1"/>
        <v>57.773004177425108</v>
      </c>
      <c r="P36" s="50">
        <f t="shared" si="2"/>
        <v>48.58493256262043</v>
      </c>
      <c r="Q36" s="50">
        <f t="shared" si="3"/>
        <v>50.997838275244206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552.59999999999991</v>
      </c>
      <c r="E37" s="46">
        <f t="shared" si="27"/>
        <v>512.95000000000005</v>
      </c>
      <c r="F37" s="46">
        <f t="shared" si="27"/>
        <v>156.85</v>
      </c>
      <c r="G37" s="5">
        <f t="shared" ref="G37:I39" si="29">G28*$J$37</f>
        <v>85.162356979405018</v>
      </c>
      <c r="H37" s="5">
        <f t="shared" si="29"/>
        <v>32.127116704805488</v>
      </c>
      <c r="I37" s="5">
        <f t="shared" si="29"/>
        <v>38.756521739130427</v>
      </c>
      <c r="J37" s="96">
        <f>J$22/J28</f>
        <v>1.0199084668192218</v>
      </c>
      <c r="K37" s="51" t="str">
        <f>CHAR(34) &amp; "EEpromVersion" &amp;CHAR(34)  &amp; ",3,"</f>
        <v>"EEpromVersion",3,</v>
      </c>
      <c r="M37" s="46">
        <f t="shared" si="0"/>
        <v>7.198866496926037</v>
      </c>
      <c r="N37" s="46">
        <f t="shared" si="5"/>
        <v>34</v>
      </c>
      <c r="O37" s="50">
        <f t="shared" si="1"/>
        <v>55.694511968987698</v>
      </c>
      <c r="P37" s="50">
        <f t="shared" si="2"/>
        <v>48.495645472061661</v>
      </c>
      <c r="Q37" s="50">
        <f t="shared" si="3"/>
        <v>50.676423328131321</v>
      </c>
    </row>
    <row r="38" spans="1:17">
      <c r="A38" s="78"/>
      <c r="B38" s="46" t="str">
        <f t="shared" si="27"/>
        <v>CWF</v>
      </c>
      <c r="C38" s="79"/>
      <c r="D38" s="46">
        <f t="shared" si="27"/>
        <v>1204.5</v>
      </c>
      <c r="E38" s="46">
        <f t="shared" si="27"/>
        <v>1213.5</v>
      </c>
      <c r="F38" s="46">
        <f t="shared" si="27"/>
        <v>651.5</v>
      </c>
      <c r="G38" s="5">
        <f t="shared" si="29"/>
        <v>59.766636155606399</v>
      </c>
      <c r="H38" s="5">
        <f t="shared" si="29"/>
        <v>87.202173913043467</v>
      </c>
      <c r="I38" s="5">
        <f t="shared" si="29"/>
        <v>45.079954233409602</v>
      </c>
      <c r="J38" s="96"/>
      <c r="K38" s="52" t="str">
        <f>K4</f>
        <v>"Compensation",37,</v>
      </c>
      <c r="M38" s="46">
        <f t="shared" si="0"/>
        <v>5.2096613790473754</v>
      </c>
      <c r="N38" s="46">
        <f t="shared" si="5"/>
        <v>35</v>
      </c>
      <c r="O38" s="50">
        <f t="shared" si="1"/>
        <v>53.616019760550273</v>
      </c>
      <c r="P38" s="50">
        <f t="shared" si="2"/>
        <v>48.406358381502898</v>
      </c>
      <c r="Q38" s="50">
        <f t="shared" si="3"/>
        <v>50.355008381018436</v>
      </c>
    </row>
    <row r="39" spans="1:17">
      <c r="A39" s="78"/>
      <c r="B39" s="46" t="str">
        <f t="shared" si="27"/>
        <v>D65</v>
      </c>
      <c r="C39" s="79"/>
      <c r="D39" s="46">
        <f t="shared" si="27"/>
        <v>511.29999999999995</v>
      </c>
      <c r="E39" s="46">
        <f t="shared" si="27"/>
        <v>578.29999999999995</v>
      </c>
      <c r="F39" s="46">
        <f t="shared" si="27"/>
        <v>532.75</v>
      </c>
      <c r="G39" s="5">
        <f t="shared" si="29"/>
        <v>27.741510297482829</v>
      </c>
      <c r="H39" s="5">
        <f t="shared" si="29"/>
        <v>39.164485125858114</v>
      </c>
      <c r="I39" s="5">
        <f t="shared" si="29"/>
        <v>30.699244851258577</v>
      </c>
      <c r="J39" s="96"/>
      <c r="K39" s="53" t="str">
        <f>linefmt("CardGain",J42,J45,J48)</f>
        <v>"CardGain",16.4953,16.66435,12.31838,</v>
      </c>
      <c r="M39" s="46">
        <f t="shared" si="0"/>
        <v>3.2204562611687209</v>
      </c>
      <c r="N39" s="46">
        <f t="shared" si="5"/>
        <v>36</v>
      </c>
      <c r="O39" s="50">
        <f t="shared" si="1"/>
        <v>51.537527552112849</v>
      </c>
      <c r="P39" s="50">
        <f t="shared" si="2"/>
        <v>48.317071290944128</v>
      </c>
      <c r="Q39" s="50">
        <f t="shared" si="3"/>
        <v>50.033593433905551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"Range",1,0.9882483,1.019908,</v>
      </c>
      <c r="M40" s="46">
        <f t="shared" si="0"/>
        <v>1.4843942864073085</v>
      </c>
      <c r="N40" s="46">
        <f t="shared" si="5"/>
        <v>37</v>
      </c>
      <c r="O40" s="50">
        <f t="shared" si="1"/>
        <v>49.459035343675438</v>
      </c>
      <c r="P40" s="50">
        <f t="shared" si="2"/>
        <v>48.227784200385358</v>
      </c>
      <c r="Q40" s="50">
        <f t="shared" si="3"/>
        <v>49.712178486792666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2.0102204044417746</v>
      </c>
      <c r="N41" s="46">
        <f t="shared" si="5"/>
        <v>38</v>
      </c>
      <c r="O41" s="50">
        <f t="shared" si="1"/>
        <v>47.380543135238014</v>
      </c>
      <c r="P41" s="50">
        <f t="shared" si="2"/>
        <v>48.138497109826595</v>
      </c>
      <c r="Q41" s="50">
        <f t="shared" si="3"/>
        <v>49.390763539679789</v>
      </c>
    </row>
    <row r="42" spans="1:17">
      <c r="A42" s="4"/>
      <c r="B42" s="46" t="s">
        <v>3</v>
      </c>
      <c r="C42" s="79">
        <f>C31</f>
        <v>0</v>
      </c>
      <c r="D42" s="46">
        <f>I42/$H$43</f>
        <v>0.1816635695130856</v>
      </c>
      <c r="E42" s="46">
        <f>H42/$H$43</f>
        <v>1.0589564050155071</v>
      </c>
      <c r="F42" s="46">
        <f>G42/$H$43</f>
        <v>-0.44147138772229949</v>
      </c>
      <c r="G42" s="46">
        <f t="array" ref="G42:I42">LINEST($D31:$D33,$G31:$I33,FALSE)</f>
        <v>-7.2822014836631341</v>
      </c>
      <c r="H42" s="46">
        <v>17.467799993845404</v>
      </c>
      <c r="I42" s="46">
        <v>2.9965944616729923</v>
      </c>
      <c r="J42" s="97">
        <f>H43</f>
        <v>16.495296606274938</v>
      </c>
      <c r="K42" s="53" t="str">
        <f t="shared" ref="K42:K50" si="30">linefmt("",D42,E42,F42)</f>
        <v>0.1816636,1.058956,-0.4414714,</v>
      </c>
      <c r="M42" s="46">
        <f t="shared" si="0"/>
        <v>3.7672976657663142</v>
      </c>
      <c r="N42" s="46">
        <f t="shared" si="5"/>
        <v>39</v>
      </c>
      <c r="O42" s="50">
        <f t="shared" si="1"/>
        <v>45.30205092680059</v>
      </c>
      <c r="P42" s="50">
        <f t="shared" si="2"/>
        <v>48.049210019267825</v>
      </c>
      <c r="Q42" s="50">
        <f t="shared" si="3"/>
        <v>49.069348592566904</v>
      </c>
    </row>
    <row r="43" spans="1:17">
      <c r="A43" s="4"/>
      <c r="B43" s="46" t="s">
        <v>4</v>
      </c>
      <c r="C43" s="79"/>
      <c r="D43" s="46">
        <f>I43/$H$43</f>
        <v>4.2768078372020228E-2</v>
      </c>
      <c r="E43" s="46">
        <f>H43/$H$43</f>
        <v>1</v>
      </c>
      <c r="F43" s="46">
        <f>G43/$H$43</f>
        <v>-0.10933609746880867</v>
      </c>
      <c r="G43" s="46">
        <f t="array" ref="G43:I43">LINEST($E31:$E33,$G31:$I33,FALSE)</f>
        <v>-1.8035313575205854</v>
      </c>
      <c r="H43" s="46">
        <v>16.495296606274938</v>
      </c>
      <c r="I43" s="46">
        <v>0.7054721380268858</v>
      </c>
      <c r="J43" s="97"/>
      <c r="K43" s="53" t="str">
        <f t="shared" si="30"/>
        <v>4.276808E-02,1,-0.1093361,</v>
      </c>
      <c r="M43" s="46">
        <f t="shared" si="0"/>
        <v>5.5243749270908395</v>
      </c>
      <c r="N43" s="46">
        <f t="shared" si="5"/>
        <v>40</v>
      </c>
      <c r="O43" s="50">
        <f t="shared" si="1"/>
        <v>43.223558718363179</v>
      </c>
      <c r="P43" s="50">
        <f t="shared" si="2"/>
        <v>47.959922928709062</v>
      </c>
      <c r="Q43" s="50">
        <f t="shared" si="3"/>
        <v>48.747933645454019</v>
      </c>
    </row>
    <row r="44" spans="1:17">
      <c r="A44" s="4"/>
      <c r="B44" s="46" t="s">
        <v>5</v>
      </c>
      <c r="C44" s="79"/>
      <c r="D44" s="46">
        <f>I44/$H$43</f>
        <v>-0.44353488355715914</v>
      </c>
      <c r="E44" s="46">
        <f>H44/$H$43</f>
        <v>0.27256680916592368</v>
      </c>
      <c r="F44" s="46">
        <f>G44/$H$43</f>
        <v>1.1322040379282512</v>
      </c>
      <c r="G44" s="46">
        <f t="array" ref="G44:I44">LINEST($F$31:$F$33,$G31:$I33,FALSE)</f>
        <v>18.676041424448663</v>
      </c>
      <c r="H44" s="46">
        <v>4.4960703622178491</v>
      </c>
      <c r="I44" s="46">
        <v>-7.3162394595049571</v>
      </c>
      <c r="J44" s="97"/>
      <c r="K44" s="53" t="str">
        <f t="shared" si="30"/>
        <v>-0.4435349,0.2725668,1.132204,</v>
      </c>
      <c r="M44" s="46">
        <f t="shared" si="0"/>
        <v>7.2814521884153791</v>
      </c>
      <c r="N44" s="46">
        <f t="shared" si="5"/>
        <v>41</v>
      </c>
      <c r="O44" s="50">
        <f t="shared" si="1"/>
        <v>41.145066509925755</v>
      </c>
      <c r="P44" s="50">
        <f t="shared" si="2"/>
        <v>47.870635838150292</v>
      </c>
      <c r="Q44" s="50">
        <f t="shared" si="3"/>
        <v>48.426518698341134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0.21876855391390718</v>
      </c>
      <c r="E45" s="46">
        <f>H45/$H$46</f>
        <v>1.0274066977267928</v>
      </c>
      <c r="F45" s="46">
        <f>G45/$H$46</f>
        <v>-0.48948454726350299</v>
      </c>
      <c r="G45" s="46">
        <f t="array" ref="G45:I45">LINEST($D34:$D36,$G34:$I36,FALSE)</f>
        <v>-8.1569404559800152</v>
      </c>
      <c r="H45" s="46">
        <v>17.12106195033989</v>
      </c>
      <c r="I45" s="46">
        <v>3.6456351439342964</v>
      </c>
      <c r="J45" s="97">
        <f>H46</f>
        <v>16.664347223179877</v>
      </c>
      <c r="K45" s="53" t="str">
        <f t="shared" si="30"/>
        <v>0.2187686,1.027407,-0.4894845,</v>
      </c>
      <c r="M45" s="46">
        <f t="shared" si="0"/>
        <v>9.0385294497399258</v>
      </c>
      <c r="N45" s="46">
        <f t="shared" si="5"/>
        <v>42</v>
      </c>
      <c r="O45" s="50">
        <f t="shared" si="1"/>
        <v>39.06657430148833</v>
      </c>
      <c r="P45" s="50">
        <f t="shared" si="2"/>
        <v>47.78134874759153</v>
      </c>
      <c r="Q45" s="50">
        <f t="shared" si="3"/>
        <v>48.105103751228256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5.9669854188369821E-2</v>
      </c>
      <c r="E46" s="46">
        <f>H46/$H$46</f>
        <v>1</v>
      </c>
      <c r="F46" s="46">
        <f>G46/$H$46</f>
        <v>-0.18617639222480142</v>
      </c>
      <c r="G46" s="46">
        <f t="array" ref="G46:I46">LINEST($E34:$E36,$G34:$I36,FALSE)</f>
        <v>-3.1025080447930176</v>
      </c>
      <c r="H46" s="46">
        <v>16.664347223179877</v>
      </c>
      <c r="I46" s="46">
        <v>0.99435916895150878</v>
      </c>
      <c r="J46" s="97"/>
      <c r="K46" s="53" t="str">
        <f t="shared" si="30"/>
        <v>5.966986E-02,1,-0.1861764,</v>
      </c>
      <c r="M46" s="46">
        <f t="shared" si="0"/>
        <v>10.795606711064451</v>
      </c>
      <c r="N46" s="46">
        <f t="shared" si="5"/>
        <v>43</v>
      </c>
      <c r="O46" s="50">
        <f t="shared" si="1"/>
        <v>36.98808209305092</v>
      </c>
      <c r="P46" s="50">
        <f t="shared" si="2"/>
        <v>47.69206165703276</v>
      </c>
      <c r="Q46" s="50">
        <f t="shared" si="3"/>
        <v>47.783688804115371</v>
      </c>
    </row>
    <row r="47" spans="1:17">
      <c r="A47" s="4"/>
      <c r="B47" s="46" t="str">
        <f t="shared" si="31"/>
        <v>Z</v>
      </c>
      <c r="C47" s="79"/>
      <c r="D47" s="46">
        <f>I47/$H$46</f>
        <v>-0.50107228389429326</v>
      </c>
      <c r="E47" s="46">
        <f>H47/$H$46</f>
        <v>0.37698301376087362</v>
      </c>
      <c r="F47" s="46">
        <f>G47/$H$46</f>
        <v>0.99471445121008106</v>
      </c>
      <c r="G47" s="46">
        <f t="array" ref="G47:I47">LINEST($F$31:$F$33,$G34:$I36,FALSE)</f>
        <v>16.576267002879611</v>
      </c>
      <c r="H47" s="46">
        <v>6.2821758385519955</v>
      </c>
      <c r="I47" s="46">
        <v>-8.350042522726266</v>
      </c>
      <c r="J47" s="97"/>
      <c r="K47" s="53" t="str">
        <f t="shared" si="30"/>
        <v>-0.5010723,0.376983,0.9947144,</v>
      </c>
      <c r="M47" s="46">
        <f t="shared" si="0"/>
        <v>12.693184681860501</v>
      </c>
      <c r="N47" s="46">
        <f t="shared" si="5"/>
        <v>44</v>
      </c>
      <c r="O47" s="50">
        <f t="shared" si="1"/>
        <v>34.909589884613496</v>
      </c>
      <c r="P47" s="50">
        <f t="shared" si="2"/>
        <v>47.602774566473997</v>
      </c>
      <c r="Q47" s="50">
        <f t="shared" si="3"/>
        <v>47.462273857002486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0.22761150067959462</v>
      </c>
      <c r="E48" s="46">
        <f>H48/$H$49</f>
        <v>1.0945437216815421</v>
      </c>
      <c r="F48" s="46">
        <f>G48/$H$49</f>
        <v>-0.24998821821314249</v>
      </c>
      <c r="G48" s="46">
        <f t="array" ref="G48:I48">LINEST($D37:$D39,$G37:$I39,FALSE)</f>
        <v>-3.0794500686645425</v>
      </c>
      <c r="H48" s="46">
        <v>13.483006371183329</v>
      </c>
      <c r="I48" s="46">
        <v>2.8038051409247102</v>
      </c>
      <c r="J48" s="97">
        <f>H49</f>
        <v>12.318380804806457</v>
      </c>
      <c r="K48" s="53" t="str">
        <f t="shared" si="30"/>
        <v>0.2276115,1.094544,-0.2499882,</v>
      </c>
      <c r="M48" s="46">
        <f t="shared" si="0"/>
        <v>14.682389799739155</v>
      </c>
      <c r="N48" s="46">
        <f t="shared" si="5"/>
        <v>45</v>
      </c>
      <c r="O48" s="50">
        <f t="shared" si="1"/>
        <v>32.831097676176071</v>
      </c>
      <c r="P48" s="50">
        <f t="shared" si="2"/>
        <v>47.513487475915227</v>
      </c>
      <c r="Q48" s="50">
        <f t="shared" si="3"/>
        <v>47.140858909889602</v>
      </c>
    </row>
    <row r="49" spans="1:24">
      <c r="A49" s="4"/>
      <c r="B49" s="46" t="str">
        <f t="shared" si="31"/>
        <v>Y</v>
      </c>
      <c r="C49" s="79"/>
      <c r="D49" s="46">
        <f>I49/$H$49</f>
        <v>-6.1839835303324131E-3</v>
      </c>
      <c r="E49" s="46">
        <f>H49/$H$49</f>
        <v>1</v>
      </c>
      <c r="F49" s="46">
        <f>G49/$H$49</f>
        <v>0.25906738297994358</v>
      </c>
      <c r="G49" s="46">
        <f t="array" ref="G49:I49">LINEST($E37:$E39,$G37:$I39,FALSE)</f>
        <v>3.1912906776515801</v>
      </c>
      <c r="H49" s="46">
        <v>12.318380804806457</v>
      </c>
      <c r="I49" s="46">
        <v>-7.6176664017286067E-2</v>
      </c>
      <c r="J49" s="97"/>
      <c r="K49" s="53" t="str">
        <f t="shared" si="30"/>
        <v>-6.183984E-03,1,0.2590674,</v>
      </c>
      <c r="M49" s="46">
        <f t="shared" si="0"/>
        <v>16.671594917617796</v>
      </c>
      <c r="N49" s="46">
        <f t="shared" si="5"/>
        <v>46</v>
      </c>
      <c r="O49" s="50">
        <f t="shared" si="1"/>
        <v>30.752605467738661</v>
      </c>
      <c r="P49" s="50">
        <f t="shared" si="2"/>
        <v>47.424200385356457</v>
      </c>
      <c r="Q49" s="50">
        <f t="shared" si="3"/>
        <v>46.819443962776717</v>
      </c>
    </row>
    <row r="50" spans="1:24">
      <c r="A50" s="4"/>
      <c r="B50" s="46" t="str">
        <f t="shared" si="31"/>
        <v>Z</v>
      </c>
      <c r="C50" s="79"/>
      <c r="D50" s="46">
        <f>I50/$H$49</f>
        <v>-0.78479423299868734</v>
      </c>
      <c r="E50" s="46">
        <f>H50/$H$49</f>
        <v>0.1453424448359886</v>
      </c>
      <c r="F50" s="46">
        <f>G50/$H$49</f>
        <v>1.9325392017173171</v>
      </c>
      <c r="G50" s="46">
        <f t="array" ref="G50:I50">LINEST($F$31:$F$33,$G37:$I39,FALSE)</f>
        <v>23.805753806970593</v>
      </c>
      <c r="H50" s="46">
        <v>1.7903835825912833</v>
      </c>
      <c r="I50" s="46">
        <v>-9.6673942154938359</v>
      </c>
      <c r="J50" s="97"/>
      <c r="K50" s="54" t="str">
        <f t="shared" si="30"/>
        <v>-0.7847942,0.1453424,1.932539,</v>
      </c>
      <c r="M50" s="46">
        <f t="shared" si="0"/>
        <v>18.660800035496457</v>
      </c>
      <c r="N50" s="46">
        <f t="shared" si="5"/>
        <v>47</v>
      </c>
      <c r="O50" s="50">
        <f t="shared" si="1"/>
        <v>28.674113259301237</v>
      </c>
      <c r="P50" s="50">
        <f t="shared" si="2"/>
        <v>47.334913294797694</v>
      </c>
      <c r="Q50" s="50">
        <f t="shared" si="3"/>
        <v>46.498029015663832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0.20934787470219582</v>
      </c>
      <c r="E51" s="46">
        <f t="shared" ref="E51:F51" si="32">(E42+E45+E48)/3</f>
        <v>1.0603022748079474</v>
      </c>
      <c r="F51" s="46">
        <f t="shared" si="32"/>
        <v>-0.39364805106631501</v>
      </c>
      <c r="J51" s="97">
        <f>(J42+J45+J48)/3</f>
        <v>15.159341544753758</v>
      </c>
      <c r="M51" s="46">
        <f t="shared" si="0"/>
        <v>20.650005153375112</v>
      </c>
      <c r="N51" s="46">
        <f t="shared" si="5"/>
        <v>48</v>
      </c>
      <c r="O51" s="50">
        <f t="shared" si="1"/>
        <v>26.595621050863812</v>
      </c>
      <c r="P51" s="50">
        <f t="shared" si="2"/>
        <v>47.245626204238924</v>
      </c>
      <c r="Q51" s="50">
        <f t="shared" si="3"/>
        <v>46.176614068550954</v>
      </c>
    </row>
    <row r="52" spans="1:24">
      <c r="B52" s="46" t="str">
        <f t="shared" si="31"/>
        <v>Y</v>
      </c>
      <c r="C52" s="79"/>
      <c r="D52" s="46">
        <f t="shared" ref="D52:F53" si="33">(D43+D46+D49)/3</f>
        <v>3.2084649676685881E-2</v>
      </c>
      <c r="E52" s="46">
        <f t="shared" si="33"/>
        <v>1</v>
      </c>
      <c r="F52" s="46">
        <f t="shared" si="33"/>
        <v>-1.2148368904555507E-2</v>
      </c>
      <c r="J52" s="97"/>
      <c r="M52" s="46">
        <f t="shared" si="0"/>
        <v>22.639210271253759</v>
      </c>
      <c r="N52" s="46">
        <f t="shared" si="5"/>
        <v>49</v>
      </c>
      <c r="O52" s="50">
        <f t="shared" si="1"/>
        <v>24.517128842426402</v>
      </c>
      <c r="P52" s="50">
        <f t="shared" si="2"/>
        <v>47.156339113680161</v>
      </c>
      <c r="Q52" s="50">
        <f t="shared" si="3"/>
        <v>45.855199121438069</v>
      </c>
    </row>
    <row r="53" spans="1:24" ht="15.75" thickBot="1">
      <c r="B53" s="46" t="str">
        <f t="shared" si="31"/>
        <v>Z</v>
      </c>
      <c r="C53" s="79"/>
      <c r="D53" s="46">
        <f t="shared" si="33"/>
        <v>-0.57646713348337997</v>
      </c>
      <c r="E53" s="46">
        <f t="shared" si="33"/>
        <v>0.26496408925426196</v>
      </c>
      <c r="F53" s="46">
        <f t="shared" si="33"/>
        <v>1.3531525636185497</v>
      </c>
      <c r="J53" s="100"/>
      <c r="M53" s="46">
        <f t="shared" si="0"/>
        <v>24.628415389132414</v>
      </c>
      <c r="N53" s="46">
        <f t="shared" si="5"/>
        <v>50</v>
      </c>
      <c r="O53" s="50">
        <f t="shared" si="1"/>
        <v>22.438636633988978</v>
      </c>
      <c r="P53" s="50">
        <f t="shared" si="2"/>
        <v>47.067052023121391</v>
      </c>
      <c r="Q53" s="50">
        <f t="shared" si="3"/>
        <v>45.533784174325184</v>
      </c>
    </row>
    <row r="54" spans="1:24">
      <c r="B54" s="79" t="s">
        <v>14</v>
      </c>
      <c r="C54" s="79"/>
      <c r="D54" s="19">
        <f>I54/$H$55</f>
        <v>0.21697772401992585</v>
      </c>
      <c r="E54" s="20">
        <f>H54/$H$55</f>
        <v>1.0566243916684173</v>
      </c>
      <c r="F54" s="21">
        <f>G54/$H$55</f>
        <v>-0.39980134901991227</v>
      </c>
      <c r="G54" s="46">
        <f t="array" ref="G54:I54">LINEST(D$31:D$39,$G$31:$I$39,FALSE)</f>
        <v>-5.9329171565784717</v>
      </c>
      <c r="H54" s="46">
        <v>15.67994954683512</v>
      </c>
      <c r="I54" s="46">
        <v>3.2198762325062882</v>
      </c>
      <c r="J54" s="98">
        <f>H55</f>
        <v>14.839662675282719</v>
      </c>
      <c r="M54" s="46">
        <f t="shared" si="0"/>
        <v>26.617620507011061</v>
      </c>
      <c r="N54" s="46">
        <f t="shared" si="5"/>
        <v>51</v>
      </c>
      <c r="O54" s="50">
        <f t="shared" si="1"/>
        <v>20.360144425551567</v>
      </c>
      <c r="P54" s="50">
        <f t="shared" si="2"/>
        <v>46.977764932562629</v>
      </c>
      <c r="Q54" s="50">
        <f t="shared" si="3"/>
        <v>45.212369227212307</v>
      </c>
    </row>
    <row r="55" spans="1:24" ht="15" customHeight="1">
      <c r="B55" s="79"/>
      <c r="C55" s="79"/>
      <c r="D55" s="22">
        <f>I55/$H$55</f>
        <v>5.1292555510027711E-2</v>
      </c>
      <c r="E55" s="18">
        <f>H55/$H$55</f>
        <v>1</v>
      </c>
      <c r="F55" s="23">
        <f>G55/$H$55</f>
        <v>-4.0468936678688339E-2</v>
      </c>
      <c r="G55" s="46">
        <f t="array" ref="G55:I55">LINEST(E$31:E$39,$G$31:$I$39,FALSE)</f>
        <v>-0.60054536913911116</v>
      </c>
      <c r="H55" s="46">
        <v>14.839662675282719</v>
      </c>
      <c r="I55" s="46">
        <v>0.76116422152202523</v>
      </c>
      <c r="J55" s="98"/>
      <c r="M55" s="46">
        <f t="shared" si="0"/>
        <v>28.606825624889716</v>
      </c>
      <c r="N55" s="46">
        <f t="shared" si="5"/>
        <v>52</v>
      </c>
      <c r="O55" s="50">
        <f t="shared" si="1"/>
        <v>18.281652217114143</v>
      </c>
      <c r="P55" s="50">
        <f t="shared" si="2"/>
        <v>46.888477842003859</v>
      </c>
      <c r="Q55" s="50">
        <f t="shared" si="3"/>
        <v>44.890954280099422</v>
      </c>
    </row>
    <row r="56" spans="1:24" ht="15" customHeight="1" thickBot="1">
      <c r="B56" s="79"/>
      <c r="C56" s="79"/>
      <c r="D56" s="24">
        <f>I56/$H$55</f>
        <v>-0.52837168717061866</v>
      </c>
      <c r="E56" s="25">
        <f>H56/$H$55</f>
        <v>0.27755019974358447</v>
      </c>
      <c r="F56" s="26">
        <f>G56/$H$55</f>
        <v>1.2647423662767774</v>
      </c>
      <c r="G56" s="46">
        <f t="array" ref="G56:I56">LINEST(F$31:F$39,$G$31:$I$39,FALSE)</f>
        <v>18.76835008668624</v>
      </c>
      <c r="H56" s="46">
        <v>4.1187513396521336</v>
      </c>
      <c r="I56" s="46">
        <v>-7.8408576047819878</v>
      </c>
      <c r="J56" s="98"/>
      <c r="M56" s="46">
        <f t="shared" si="0"/>
        <v>30.596030742768377</v>
      </c>
      <c r="N56" s="46">
        <f t="shared" si="5"/>
        <v>53</v>
      </c>
      <c r="O56" s="50">
        <f t="shared" si="1"/>
        <v>16.203160008676718</v>
      </c>
      <c r="P56" s="50">
        <f t="shared" si="2"/>
        <v>46.799190751445096</v>
      </c>
      <c r="Q56" s="50">
        <f t="shared" si="3"/>
        <v>44.569539332986537</v>
      </c>
    </row>
    <row r="57" spans="1:24">
      <c r="M57" s="46">
        <f t="shared" si="0"/>
        <v>32.585235860647018</v>
      </c>
      <c r="N57" s="46">
        <f t="shared" si="5"/>
        <v>54</v>
      </c>
      <c r="O57" s="50">
        <f t="shared" si="1"/>
        <v>14.124667800239308</v>
      </c>
      <c r="P57" s="50">
        <f t="shared" si="2"/>
        <v>46.709903660886326</v>
      </c>
      <c r="Q57" s="50">
        <f t="shared" si="3"/>
        <v>44.248124385873652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34.574440978525672</v>
      </c>
      <c r="N58" s="46">
        <f t="shared" si="5"/>
        <v>55</v>
      </c>
      <c r="O58" s="50">
        <f t="shared" si="1"/>
        <v>12.046175591801884</v>
      </c>
      <c r="P58" s="50">
        <f t="shared" si="2"/>
        <v>46.620616570327556</v>
      </c>
      <c r="Q58" s="50">
        <f t="shared" si="3"/>
        <v>43.926709438760767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36.563646096404334</v>
      </c>
      <c r="N59" s="46">
        <f t="shared" si="5"/>
        <v>56</v>
      </c>
      <c r="O59" s="50">
        <f t="shared" si="1"/>
        <v>9.9676833833644594</v>
      </c>
      <c r="P59" s="50">
        <f t="shared" si="2"/>
        <v>46.531329479768793</v>
      </c>
      <c r="Q59" s="50">
        <f t="shared" si="3"/>
        <v>43.605294491647882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512.95000000000005</v>
      </c>
      <c r="E60" s="32">
        <f t="shared" ref="E60:E68" si="37">getCCTfromXY(D22/SUM(D22:F22),E22/SUM(D22:F22))</f>
        <v>2889</v>
      </c>
      <c r="F60" s="31">
        <f t="shared" ref="F60:F68" si="38">V60</f>
        <v>513.89795786342177</v>
      </c>
      <c r="G60" s="32">
        <f t="shared" ref="G60:G68" si="39">getCCTfromXY(U60/X60,V60/X60)</f>
        <v>2579</v>
      </c>
      <c r="H60" s="33">
        <f>F60/D60-1</f>
        <v>1.8480512007441607E-3</v>
      </c>
      <c r="I60" s="34">
        <f t="shared" ref="I60:I68" si="40">G60/E60-1</f>
        <v>-0.10730356524749052</v>
      </c>
      <c r="M60" s="46">
        <f t="shared" si="0"/>
        <v>38.552851214282974</v>
      </c>
      <c r="N60" s="46">
        <f t="shared" si="5"/>
        <v>57</v>
      </c>
      <c r="O60" s="50">
        <f t="shared" si="1"/>
        <v>7.8891911749270491</v>
      </c>
      <c r="P60" s="50">
        <f t="shared" si="2"/>
        <v>46.442042389210023</v>
      </c>
      <c r="Q60" s="50">
        <f t="shared" si="3"/>
        <v>43.283879544534997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571.5479688624946</v>
      </c>
      <c r="V60" s="50">
        <f>$J$54*$J$31*($D$55*G22+$E$55*H22+$F$55*I22)</f>
        <v>513.89795786342177</v>
      </c>
      <c r="W60" s="50">
        <f>$J$54*$J$31*($D$56*G22+$E$56*H22+$F$56*I22)</f>
        <v>97.38849144756901</v>
      </c>
      <c r="X60" s="29">
        <f>SUM(U60:W60)</f>
        <v>1182.8344181734853</v>
      </c>
    </row>
    <row r="61" spans="1:24">
      <c r="A61" s="87"/>
      <c r="B61" s="48" t="str">
        <f t="shared" si="35"/>
        <v>CWF</v>
      </c>
      <c r="C61" s="93"/>
      <c r="D61" s="31">
        <f t="shared" si="36"/>
        <v>1213.5</v>
      </c>
      <c r="E61" s="32">
        <f t="shared" si="37"/>
        <v>3855</v>
      </c>
      <c r="F61" s="31">
        <f t="shared" si="38"/>
        <v>1142.7827525006448</v>
      </c>
      <c r="G61" s="32">
        <f t="shared" si="39"/>
        <v>3770</v>
      </c>
      <c r="H61" s="33">
        <f t="shared" ref="H61:H68" si="41">F61/D61-1</f>
        <v>-5.8275440872974982E-2</v>
      </c>
      <c r="I61" s="34">
        <f t="shared" si="40"/>
        <v>-2.2049286640726362E-2</v>
      </c>
      <c r="M61" s="46">
        <f t="shared" si="0"/>
        <v>40.542056332161636</v>
      </c>
      <c r="N61" s="46">
        <f t="shared" si="5"/>
        <v>58</v>
      </c>
      <c r="O61" s="50">
        <f t="shared" si="1"/>
        <v>5.8106989664896247</v>
      </c>
      <c r="P61" s="50">
        <f t="shared" si="2"/>
        <v>46.35275529865126</v>
      </c>
      <c r="Q61" s="50">
        <f t="shared" si="3"/>
        <v>42.96246459742212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1140.7676922517278</v>
      </c>
      <c r="V61" s="50">
        <f>$J$54*$J$31*($D$55*G23+$E$55*H23+$F$55*I23)</f>
        <v>1142.7827525006448</v>
      </c>
      <c r="W61" s="50">
        <f>$J$54*$J$31*($D$56*G23+$E$56*H23+$F$56*I23)</f>
        <v>593.08923914215472</v>
      </c>
      <c r="X61" s="29">
        <f t="shared" ref="X61:X68" si="43">SUM(U61:W61)</f>
        <v>2876.6396838945275</v>
      </c>
    </row>
    <row r="62" spans="1:24">
      <c r="A62" s="87"/>
      <c r="B62" s="48" t="str">
        <f t="shared" si="35"/>
        <v>D65</v>
      </c>
      <c r="C62" s="93"/>
      <c r="D62" s="31">
        <f t="shared" si="36"/>
        <v>578.29999999999995</v>
      </c>
      <c r="E62" s="32">
        <f t="shared" si="37"/>
        <v>6335</v>
      </c>
      <c r="F62" s="31">
        <f t="shared" si="38"/>
        <v>554.95529954223878</v>
      </c>
      <c r="G62" s="32">
        <f t="shared" si="39"/>
        <v>6261</v>
      </c>
      <c r="H62" s="33">
        <f t="shared" si="41"/>
        <v>-4.0367802970363464E-2</v>
      </c>
      <c r="I62" s="34">
        <f t="shared" si="40"/>
        <v>-1.1681136543014947E-2</v>
      </c>
      <c r="M62" s="46">
        <f t="shared" si="0"/>
        <v>42.53126145004029</v>
      </c>
      <c r="N62" s="46">
        <f t="shared" si="5"/>
        <v>59</v>
      </c>
      <c r="O62" s="50">
        <f t="shared" si="1"/>
        <v>3.7322067580522003</v>
      </c>
      <c r="P62" s="50">
        <f t="shared" si="2"/>
        <v>46.26346820809249</v>
      </c>
      <c r="Q62" s="50">
        <f t="shared" si="3"/>
        <v>42.641049650309235</v>
      </c>
      <c r="R62" s="78"/>
      <c r="S62" s="46" t="str">
        <f t="shared" si="42"/>
        <v>D65</v>
      </c>
      <c r="T62" s="79"/>
      <c r="U62" s="50">
        <f>$J$54*$J$31*($D$54*G24+$E$54*H24+$F$54*I24)</f>
        <v>492.17469675354857</v>
      </c>
      <c r="V62" s="50">
        <f>$J$54*$J$31*($D$55*G24+$E$55*H24+$F$55*I24)</f>
        <v>554.95529954223878</v>
      </c>
      <c r="W62" s="50">
        <f>$J$54*$J$31*($D$56*G24+$E$56*H24+$F$56*I24)</f>
        <v>506.89230030557223</v>
      </c>
      <c r="X62" s="29">
        <f t="shared" si="43"/>
        <v>1554.0222966013596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512.95000000000005</v>
      </c>
      <c r="E63" s="32">
        <f t="shared" si="37"/>
        <v>2889</v>
      </c>
      <c r="F63" s="31">
        <f t="shared" si="38"/>
        <v>532.11925235050751</v>
      </c>
      <c r="G63" s="32">
        <f t="shared" si="39"/>
        <v>3217</v>
      </c>
      <c r="H63" s="33">
        <f t="shared" si="41"/>
        <v>3.7370606005473261E-2</v>
      </c>
      <c r="I63" s="34">
        <f t="shared" si="40"/>
        <v>0.11353409484250609</v>
      </c>
      <c r="M63" s="46">
        <f t="shared" si="0"/>
        <v>44.520466567918938</v>
      </c>
      <c r="N63" s="46">
        <f t="shared" si="5"/>
        <v>60</v>
      </c>
      <c r="O63" s="50">
        <f t="shared" si="1"/>
        <v>1.65371454961479</v>
      </c>
      <c r="P63" s="50">
        <f t="shared" si="2"/>
        <v>46.174181117533728</v>
      </c>
      <c r="Q63" s="50">
        <f t="shared" si="3"/>
        <v>42.31963470319635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557.06016707474942</v>
      </c>
      <c r="V63" s="50">
        <f>$J$54*$J$34*($D$55*G25+$E$55*H25+$F$55*I25)</f>
        <v>532.11925235050751</v>
      </c>
      <c r="W63" s="50">
        <f>$J$54*$J$34*($D$56*G25+$E$56*H25+$F$56*I25)</f>
        <v>215.58843952136147</v>
      </c>
      <c r="X63" s="29">
        <f t="shared" si="43"/>
        <v>1304.7678589466186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1213.5</v>
      </c>
      <c r="E64" s="32">
        <f t="shared" si="37"/>
        <v>3855</v>
      </c>
      <c r="F64" s="31">
        <f t="shared" si="38"/>
        <v>1166.9831920888325</v>
      </c>
      <c r="G64" s="32">
        <f t="shared" si="39"/>
        <v>3804</v>
      </c>
      <c r="H64" s="33">
        <f t="shared" si="41"/>
        <v>-3.8332763008790627E-2</v>
      </c>
      <c r="I64" s="34">
        <f t="shared" si="40"/>
        <v>-1.3229571984435751E-2</v>
      </c>
      <c r="M64" s="46">
        <f t="shared" si="0"/>
        <v>46.509671685797592</v>
      </c>
      <c r="N64" s="46">
        <f t="shared" si="5"/>
        <v>61</v>
      </c>
      <c r="O64" s="50">
        <f t="shared" si="1"/>
        <v>-0.42477765882263441</v>
      </c>
      <c r="P64" s="50">
        <f t="shared" si="2"/>
        <v>46.084894026974958</v>
      </c>
      <c r="Q64" s="50">
        <f t="shared" si="3"/>
        <v>41.998219756083472</v>
      </c>
      <c r="R64" s="78"/>
      <c r="S64" s="46" t="str">
        <f t="shared" si="42"/>
        <v>CWF</v>
      </c>
      <c r="T64" s="79"/>
      <c r="U64" s="50">
        <f>$J$54*$J$34*($D$54*G26+$E$54*H26+$F$54*I26)</f>
        <v>1162.4799510131775</v>
      </c>
      <c r="V64" s="50">
        <f>$J$54*$J$34*($D$55*G26+$E$55*H26+$F$55*I26)</f>
        <v>1166.9831920888325</v>
      </c>
      <c r="W64" s="50">
        <f>$J$54*$J$34*($D$56*G26+$E$56*H26+$F$56*I26)</f>
        <v>614.93423103421196</v>
      </c>
      <c r="X64" s="29">
        <f t="shared" si="43"/>
        <v>2944.3973741362215</v>
      </c>
    </row>
    <row r="65" spans="1:24">
      <c r="A65" s="87"/>
      <c r="B65" s="48" t="str">
        <f t="shared" si="35"/>
        <v>D65</v>
      </c>
      <c r="C65" s="93"/>
      <c r="D65" s="31">
        <f t="shared" si="36"/>
        <v>578.29999999999995</v>
      </c>
      <c r="E65" s="32">
        <f t="shared" si="37"/>
        <v>6335</v>
      </c>
      <c r="F65" s="31">
        <f t="shared" si="38"/>
        <v>580.78904705665616</v>
      </c>
      <c r="G65" s="32">
        <f t="shared" si="39"/>
        <v>6311</v>
      </c>
      <c r="H65" s="33">
        <f t="shared" si="41"/>
        <v>4.304075837205934E-3</v>
      </c>
      <c r="I65" s="34">
        <f t="shared" si="40"/>
        <v>-3.7884767166534994E-3</v>
      </c>
      <c r="M65" s="46">
        <f t="shared" si="0"/>
        <v>48.498876803676239</v>
      </c>
      <c r="N65" s="46">
        <f t="shared" si="5"/>
        <v>62</v>
      </c>
      <c r="O65" s="50">
        <f t="shared" si="1"/>
        <v>-2.5032698672600446</v>
      </c>
      <c r="P65" s="50">
        <f t="shared" si="2"/>
        <v>45.995606936416195</v>
      </c>
      <c r="Q65" s="50">
        <f t="shared" si="3"/>
        <v>41.676804808970587</v>
      </c>
      <c r="R65" s="78"/>
      <c r="S65" s="46" t="str">
        <f t="shared" si="42"/>
        <v>D65</v>
      </c>
      <c r="T65" s="79"/>
      <c r="U65" s="50">
        <f>$J$54*$J$34*($D$54*G27+$E$54*H27+$F$54*I27)</f>
        <v>514.16440297326812</v>
      </c>
      <c r="V65" s="50">
        <f>$J$54*$J$34*($D$55*G27+$E$55*H27+$F$55*I27)</f>
        <v>580.78904705665616</v>
      </c>
      <c r="W65" s="50">
        <f>$J$54*$J$34*($D$56*G27+$E$56*H27+$F$56*I27)</f>
        <v>533.81300787911505</v>
      </c>
      <c r="X65" s="29">
        <f t="shared" si="43"/>
        <v>1628.7664579090392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512.95000000000005</v>
      </c>
      <c r="E66" s="32">
        <f t="shared" si="37"/>
        <v>2889</v>
      </c>
      <c r="F66" s="31">
        <f t="shared" si="38"/>
        <v>518.30306412758955</v>
      </c>
      <c r="G66" s="32">
        <f t="shared" si="39"/>
        <v>3096</v>
      </c>
      <c r="H66" s="33">
        <f t="shared" si="41"/>
        <v>1.0435839999199725E-2</v>
      </c>
      <c r="I66" s="34">
        <f t="shared" si="40"/>
        <v>7.1651090342679025E-2</v>
      </c>
      <c r="M66" s="46">
        <f t="shared" si="0"/>
        <v>50.488081921554908</v>
      </c>
      <c r="N66" s="46">
        <f t="shared" si="5"/>
        <v>63</v>
      </c>
      <c r="O66" s="50">
        <f t="shared" si="1"/>
        <v>-4.5817620756974833</v>
      </c>
      <c r="P66" s="50">
        <f t="shared" si="2"/>
        <v>45.906319845857425</v>
      </c>
      <c r="Q66" s="50">
        <f t="shared" si="3"/>
        <v>41.355389861857702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548.02458540344264</v>
      </c>
      <c r="V66" s="50">
        <f>$J$54*$J$37*($D$55*G28+$E$55*H28+$F$55*I28)</f>
        <v>518.30306412758955</v>
      </c>
      <c r="W66" s="50">
        <f>$J$54*$J$37*($D$56*G28+$E$56*H28+$F$56*I28)</f>
        <v>191.97365874621761</v>
      </c>
      <c r="X66" s="29">
        <f t="shared" si="43"/>
        <v>1258.3013082772497</v>
      </c>
    </row>
    <row r="67" spans="1:24">
      <c r="A67" s="87"/>
      <c r="B67" s="48" t="str">
        <f t="shared" si="35"/>
        <v>CWF</v>
      </c>
      <c r="C67" s="93"/>
      <c r="D67" s="31">
        <f t="shared" si="36"/>
        <v>1213.5</v>
      </c>
      <c r="E67" s="32">
        <f t="shared" si="37"/>
        <v>3855</v>
      </c>
      <c r="F67" s="31">
        <f t="shared" si="38"/>
        <v>1312.4705127473985</v>
      </c>
      <c r="G67" s="32">
        <f t="shared" si="39"/>
        <v>3977</v>
      </c>
      <c r="H67" s="33">
        <f t="shared" si="41"/>
        <v>8.155790090432502E-2</v>
      </c>
      <c r="I67" s="34">
        <f t="shared" si="40"/>
        <v>3.1647211413748488E-2</v>
      </c>
      <c r="R67" s="78"/>
      <c r="S67" s="46" t="str">
        <f t="shared" si="42"/>
        <v>CWF</v>
      </c>
      <c r="T67" s="79"/>
      <c r="U67" s="50">
        <f>$J$54*$J$37*($D$54*G29+$E$54*H29+$F$54*I29)</f>
        <v>1292.3112246959831</v>
      </c>
      <c r="V67" s="50">
        <f>$J$54*$J$37*($D$55*G29+$E$55*H29+$F$55*I29)</f>
        <v>1312.4705127473985</v>
      </c>
      <c r="W67" s="50">
        <f>$J$54*$J$37*($D$56*G29+$E$56*H29+$F$56*I29)</f>
        <v>736.61874995642643</v>
      </c>
      <c r="X67" s="29">
        <f t="shared" si="43"/>
        <v>3341.4004873998083</v>
      </c>
    </row>
    <row r="68" spans="1:24">
      <c r="A68" s="87"/>
      <c r="B68" s="48" t="str">
        <f t="shared" si="35"/>
        <v>D65</v>
      </c>
      <c r="C68" s="93"/>
      <c r="D68" s="31">
        <f t="shared" si="36"/>
        <v>578.29999999999995</v>
      </c>
      <c r="E68" s="32">
        <f t="shared" si="37"/>
        <v>6335</v>
      </c>
      <c r="F68" s="31">
        <f t="shared" si="38"/>
        <v>583.86730387679961</v>
      </c>
      <c r="G68" s="32">
        <f t="shared" si="39"/>
        <v>6073</v>
      </c>
      <c r="H68" s="33">
        <f t="shared" si="41"/>
        <v>9.6270169061034583E-3</v>
      </c>
      <c r="I68" s="34">
        <f t="shared" si="40"/>
        <v>-4.1357537490134155E-2</v>
      </c>
      <c r="R68" s="78"/>
      <c r="S68" s="46" t="str">
        <f t="shared" si="42"/>
        <v>D65</v>
      </c>
      <c r="T68" s="79"/>
      <c r="U68" s="50">
        <f>$J$54*$J$37*($D$54*G30+$E$54*H30+$F$54*I30)</f>
        <v>521.28530398988789</v>
      </c>
      <c r="V68" s="50">
        <f>$J$54*$J$37*($D$55*G30+$E$55*H30+$F$55*I30)</f>
        <v>583.86730387679961</v>
      </c>
      <c r="W68" s="50">
        <f>$J$54*$J$37*($D$56*G30+$E$56*H30+$F$56*I30)</f>
        <v>519.96571836007911</v>
      </c>
      <c r="X68" s="29">
        <f t="shared" si="43"/>
        <v>1625.1183262267666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8.155790090432502E-2</v>
      </c>
      <c r="G69" s="47"/>
      <c r="H69" s="36" t="str">
        <f>I59</f>
        <v>CCT</v>
      </c>
      <c r="I69" s="38">
        <f>MAX(MAX(I60:I68,-MIN(I60:I68)))</f>
        <v>0.11353409484250609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512.95000000000005</v>
      </c>
      <c r="E72" s="31">
        <f t="shared" ref="E72:E80" si="47">E60</f>
        <v>2889</v>
      </c>
      <c r="F72" s="31">
        <f t="shared" ref="F72:F80" si="48">V72</f>
        <v>513.32050979875464</v>
      </c>
      <c r="G72" s="32">
        <f t="shared" ref="G72:G80" si="49">getCCTfromXY(U72/X72,V72/X72)</f>
        <v>2475</v>
      </c>
      <c r="H72" s="33">
        <f>F72/D72-1</f>
        <v>7.2231172386127973E-4</v>
      </c>
      <c r="I72" s="34">
        <f t="shared" ref="I72:I80" si="50">G72/E72-1</f>
        <v>-0.14330218068535827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577.9445833186544</v>
      </c>
      <c r="V72" s="50">
        <f>$J$51*$J$31*($D$52*G22+$E$52*H22+$F$52*I22)</f>
        <v>513.32050979875464</v>
      </c>
      <c r="W72" s="50">
        <f>$J$51*$J$31*($D$53*G22+$E$53*H22+$F$53*I22)</f>
        <v>74.765484781974621</v>
      </c>
      <c r="X72" s="29">
        <f>SUM(U72:W72)</f>
        <v>1166.0305778993836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1213.5</v>
      </c>
      <c r="E73" s="31">
        <f t="shared" si="47"/>
        <v>3855</v>
      </c>
      <c r="F73" s="31">
        <f t="shared" si="48"/>
        <v>1166.6512284902551</v>
      </c>
      <c r="G73" s="32">
        <f t="shared" si="49"/>
        <v>3751</v>
      </c>
      <c r="H73" s="33">
        <f t="shared" ref="H73:H80" si="52">F73/D73-1</f>
        <v>-3.8606321804486976E-2</v>
      </c>
      <c r="I73" s="34">
        <f t="shared" si="50"/>
        <v>-2.6977950713359289E-2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1166.0036651370444</v>
      </c>
      <c r="V73" s="50">
        <f t="shared" ref="V73:V74" si="55">$J$51*$J$31*($D$52*G23+$E$52*H23+$F$52*I23)</f>
        <v>1166.6512284902551</v>
      </c>
      <c r="W73" s="50">
        <f t="shared" ref="W73:W74" si="56">$J$51*$J$31*($D$53*G23+$E$53*H23+$F$53*I23)</f>
        <v>600.74302592407162</v>
      </c>
      <c r="X73" s="29">
        <f t="shared" ref="X73:X80" si="57">SUM(U73:W73)</f>
        <v>2933.3979195513712</v>
      </c>
    </row>
    <row r="74" spans="1:24">
      <c r="A74" s="87"/>
      <c r="B74" s="48" t="str">
        <f t="shared" si="46"/>
        <v>X</v>
      </c>
      <c r="C74" s="93"/>
      <c r="D74" s="31">
        <f t="shared" si="51"/>
        <v>578.29999999999995</v>
      </c>
      <c r="E74" s="31">
        <f t="shared" si="47"/>
        <v>6335</v>
      </c>
      <c r="F74" s="31">
        <f t="shared" si="48"/>
        <v>571.88064896696221</v>
      </c>
      <c r="G74" s="32">
        <f t="shared" si="49"/>
        <v>6401</v>
      </c>
      <c r="H74" s="33">
        <f t="shared" si="52"/>
        <v>-1.1100382211720161E-2</v>
      </c>
      <c r="I74" s="34">
        <f t="shared" si="50"/>
        <v>1.0418310970797151E-2</v>
      </c>
      <c r="R74" s="78"/>
      <c r="S74" s="46" t="str">
        <f t="shared" si="53"/>
        <v>D65</v>
      </c>
      <c r="T74" s="79"/>
      <c r="U74" s="50">
        <f t="shared" si="54"/>
        <v>504.46930517402353</v>
      </c>
      <c r="V74" s="50">
        <f t="shared" si="55"/>
        <v>571.88064896696221</v>
      </c>
      <c r="W74" s="50">
        <f t="shared" si="56"/>
        <v>531.24979062371551</v>
      </c>
      <c r="X74" s="29">
        <f t="shared" si="57"/>
        <v>1607.5997447647014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512.95000000000005</v>
      </c>
      <c r="E75" s="31">
        <f t="shared" si="47"/>
        <v>2889</v>
      </c>
      <c r="F75" s="31">
        <f t="shared" si="48"/>
        <v>535.89102637514009</v>
      </c>
      <c r="G75" s="32">
        <f t="shared" si="49"/>
        <v>3137</v>
      </c>
      <c r="H75" s="33">
        <f t="shared" si="52"/>
        <v>4.472370869507758E-2</v>
      </c>
      <c r="I75" s="34">
        <f t="shared" si="50"/>
        <v>8.584285219799237E-2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564.78190461849385</v>
      </c>
      <c r="V75" s="50">
        <f>$J$51*$J$34*($D$52*G25+$E$52*H25+$F$52*I25)</f>
        <v>535.89102637514009</v>
      </c>
      <c r="W75" s="50">
        <f>$J$51*$J$34*($D$53*G25+$E$53*H25+$F$53*I25)</f>
        <v>205.19526642100118</v>
      </c>
      <c r="X75" s="29">
        <f t="shared" si="57"/>
        <v>1305.8681974146352</v>
      </c>
    </row>
    <row r="76" spans="1:24">
      <c r="A76" s="87"/>
      <c r="B76" s="48" t="str">
        <f t="shared" si="46"/>
        <v>Z</v>
      </c>
      <c r="C76" s="93"/>
      <c r="D76" s="31">
        <f t="shared" si="51"/>
        <v>1213.5</v>
      </c>
      <c r="E76" s="31">
        <f t="shared" si="47"/>
        <v>3855</v>
      </c>
      <c r="F76" s="31">
        <f t="shared" si="48"/>
        <v>1191.4655940891407</v>
      </c>
      <c r="G76" s="32">
        <f t="shared" si="49"/>
        <v>3787</v>
      </c>
      <c r="H76" s="33">
        <f t="shared" si="52"/>
        <v>-1.8157730458062904E-2</v>
      </c>
      <c r="I76" s="34">
        <f t="shared" si="50"/>
        <v>-1.7639429312581112E-2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1188.1713089054983</v>
      </c>
      <c r="V76" s="50">
        <f t="shared" ref="V76:V77" si="59">$J$51*$J$34*($D$52*G26+$E$52*H26+$F$52*I26)</f>
        <v>1191.4655940891407</v>
      </c>
      <c r="W76" s="50">
        <f t="shared" ref="W76:W77" si="60">$J$51*$J$34*($D$53*G26+$E$53*H26+$F$53*I26)</f>
        <v>623.46011252905828</v>
      </c>
      <c r="X76" s="29">
        <f t="shared" si="57"/>
        <v>3003.0970155236973</v>
      </c>
    </row>
    <row r="77" spans="1:24">
      <c r="A77" s="87"/>
      <c r="B77" s="48" t="str">
        <f t="shared" si="46"/>
        <v>X</v>
      </c>
      <c r="C77" s="93"/>
      <c r="D77" s="31">
        <f t="shared" si="51"/>
        <v>578.29999999999995</v>
      </c>
      <c r="E77" s="31">
        <f t="shared" si="47"/>
        <v>6335</v>
      </c>
      <c r="F77" s="31">
        <f t="shared" si="48"/>
        <v>598.57186595266865</v>
      </c>
      <c r="G77" s="32">
        <f t="shared" si="49"/>
        <v>6454</v>
      </c>
      <c r="H77" s="33">
        <f t="shared" si="52"/>
        <v>3.5054238202781862E-2</v>
      </c>
      <c r="I77" s="34">
        <f t="shared" si="50"/>
        <v>1.8784530386740439E-2</v>
      </c>
      <c r="R77" s="78"/>
      <c r="S77" s="46" t="str">
        <f t="shared" si="53"/>
        <v>D65</v>
      </c>
      <c r="T77" s="79"/>
      <c r="U77" s="50">
        <f t="shared" si="58"/>
        <v>527.02410129788609</v>
      </c>
      <c r="V77" s="50">
        <f t="shared" si="59"/>
        <v>598.57186595266865</v>
      </c>
      <c r="W77" s="50">
        <f t="shared" si="60"/>
        <v>559.60177483038115</v>
      </c>
      <c r="X77" s="29">
        <f t="shared" si="57"/>
        <v>1685.1977420809358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512.95000000000005</v>
      </c>
      <c r="E78" s="31">
        <f t="shared" si="47"/>
        <v>2889</v>
      </c>
      <c r="F78" s="31">
        <f t="shared" si="48"/>
        <v>521.30993595505197</v>
      </c>
      <c r="G78" s="32">
        <f t="shared" si="49"/>
        <v>3011</v>
      </c>
      <c r="H78" s="33">
        <f t="shared" si="52"/>
        <v>1.6297759927969446E-2</v>
      </c>
      <c r="I78" s="34">
        <f t="shared" si="50"/>
        <v>4.2229145032883331E-2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555.38649162747117</v>
      </c>
      <c r="V78" s="50">
        <f>$J$51*$J$37*($D$52*G28+$E$52*H28+$F$52*I28)</f>
        <v>521.30993595505197</v>
      </c>
      <c r="W78" s="50">
        <f>$J$51*$J$37*($D$53*G28+$E$53*H28+$F$53*I28)</f>
        <v>179.83101136092588</v>
      </c>
      <c r="X78" s="29">
        <f t="shared" si="57"/>
        <v>1256.5274389434489</v>
      </c>
    </row>
    <row r="79" spans="1:24">
      <c r="A79" s="87"/>
      <c r="B79" s="48" t="str">
        <f t="shared" si="46"/>
        <v>Z</v>
      </c>
      <c r="C79" s="93"/>
      <c r="D79" s="31">
        <f t="shared" si="51"/>
        <v>1213.5</v>
      </c>
      <c r="E79" s="31">
        <f t="shared" si="47"/>
        <v>3855</v>
      </c>
      <c r="F79" s="31">
        <f t="shared" si="48"/>
        <v>1342.6949817709944</v>
      </c>
      <c r="G79" s="32">
        <f t="shared" si="49"/>
        <v>3974</v>
      </c>
      <c r="H79" s="33">
        <f t="shared" si="52"/>
        <v>0.10646475630077834</v>
      </c>
      <c r="I79" s="34">
        <f t="shared" si="50"/>
        <v>3.0869001297016752E-2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1322.3045746641722</v>
      </c>
      <c r="V79" s="50">
        <f t="shared" ref="V79:V80" si="62">$J$51*$J$37*($D$52*G29+$E$52*H29+$F$52*I29)</f>
        <v>1342.6949817709944</v>
      </c>
      <c r="W79" s="50">
        <f t="shared" ref="W79:W80" si="63">$J$51*$J$37*($D$53*G29+$E$53*H29+$F$53*I29)</f>
        <v>752.69160831078284</v>
      </c>
      <c r="X79" s="29">
        <f t="shared" si="57"/>
        <v>3417.6911647459492</v>
      </c>
    </row>
    <row r="80" spans="1:24">
      <c r="A80" s="87"/>
      <c r="B80" s="48" t="str">
        <f t="shared" si="46"/>
        <v>X</v>
      </c>
      <c r="C80" s="93"/>
      <c r="D80" s="31">
        <f t="shared" si="51"/>
        <v>578.29999999999995</v>
      </c>
      <c r="E80" s="31">
        <f t="shared" si="47"/>
        <v>6335</v>
      </c>
      <c r="F80" s="31">
        <f t="shared" si="48"/>
        <v>601.54717019961004</v>
      </c>
      <c r="G80" s="32">
        <f t="shared" si="49"/>
        <v>6201</v>
      </c>
      <c r="H80" s="33">
        <f t="shared" si="52"/>
        <v>4.0199153034082835E-2</v>
      </c>
      <c r="I80" s="34">
        <f t="shared" si="50"/>
        <v>-2.1152328334648751E-2</v>
      </c>
      <c r="R80" s="78"/>
      <c r="S80" s="46" t="str">
        <f t="shared" si="53"/>
        <v>D65</v>
      </c>
      <c r="T80" s="79"/>
      <c r="U80" s="50">
        <f t="shared" si="61"/>
        <v>534.35346420232941</v>
      </c>
      <c r="V80" s="50">
        <f t="shared" si="62"/>
        <v>601.54717019961004</v>
      </c>
      <c r="W80" s="50">
        <f t="shared" si="63"/>
        <v>544.61261069902741</v>
      </c>
      <c r="X80" s="29">
        <f t="shared" si="57"/>
        <v>1680.5132451009667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0.10646475630077834</v>
      </c>
      <c r="G81" s="47"/>
      <c r="H81" s="36" t="str">
        <f>I71</f>
        <v>CCT</v>
      </c>
      <c r="I81" s="38">
        <f>MAX(MAX(I72:I80,-MIN(I72:I80)))</f>
        <v>0.14330218068535827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512.95000000000005</v>
      </c>
      <c r="E84" s="31">
        <f t="shared" ref="E84:E92" si="67">E72</f>
        <v>2889</v>
      </c>
      <c r="F84" s="31">
        <f t="shared" ref="F84:F92" si="68">V84</f>
        <v>512.9500000000005</v>
      </c>
      <c r="G84" s="32">
        <f t="shared" ref="G84:G92" si="69">getCCTfromXY(U84/X84,V84/X84)</f>
        <v>2889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552.60000000000036</v>
      </c>
      <c r="V84" s="50">
        <f>$J$42*$J$31*($D$43*G22+$E$43*H22+$F$43*I22)</f>
        <v>512.9500000000005</v>
      </c>
      <c r="W84" s="50">
        <f>$J$42*$J$31*($D$44*G22+$E$44*H22+$F$44*I22)</f>
        <v>156.84999999999971</v>
      </c>
      <c r="X84" s="29">
        <f>SUM(U84:W84)</f>
        <v>1222.4000000000005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1213.5</v>
      </c>
      <c r="E85" s="31">
        <f t="shared" si="67"/>
        <v>3855</v>
      </c>
      <c r="F85" s="31">
        <f t="shared" si="68"/>
        <v>1213.5</v>
      </c>
      <c r="G85" s="32">
        <f t="shared" si="69"/>
        <v>3855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1204.4999999999998</v>
      </c>
      <c r="V85" s="50">
        <f t="shared" ref="V85:V86" si="75">$J$42*$J$31*($D$43*G23+$E$43*H23+$F$43*I23)</f>
        <v>1213.5</v>
      </c>
      <c r="W85" s="50">
        <f t="shared" ref="W85:W86" si="76">$J$42*$J$31*($D$44*G23+$E$44*H23+$F$44*I23)</f>
        <v>651.50000000000011</v>
      </c>
      <c r="X85" s="29">
        <f t="shared" ref="X85:X92" si="77">SUM(U85:W85)</f>
        <v>3069.5</v>
      </c>
    </row>
    <row r="86" spans="1:24">
      <c r="A86" s="87"/>
      <c r="B86" s="48">
        <f t="shared" si="66"/>
        <v>0</v>
      </c>
      <c r="C86" s="93"/>
      <c r="D86" s="31">
        <f t="shared" si="71"/>
        <v>578.29999999999995</v>
      </c>
      <c r="E86" s="31">
        <f t="shared" si="67"/>
        <v>6335</v>
      </c>
      <c r="F86" s="31">
        <f t="shared" si="68"/>
        <v>578.29999999999995</v>
      </c>
      <c r="G86" s="32">
        <f t="shared" si="69"/>
        <v>6335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511.29999999999995</v>
      </c>
      <c r="V86" s="50">
        <f t="shared" si="75"/>
        <v>578.29999999999995</v>
      </c>
      <c r="W86" s="50">
        <f t="shared" si="76"/>
        <v>532.74999999999989</v>
      </c>
      <c r="X86" s="29">
        <f t="shared" si="77"/>
        <v>1622.35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512.95000000000005</v>
      </c>
      <c r="E87" s="31">
        <f t="shared" si="67"/>
        <v>2889</v>
      </c>
      <c r="F87" s="31">
        <f t="shared" si="68"/>
        <v>512.9499999999997</v>
      </c>
      <c r="G87" s="32">
        <f t="shared" si="69"/>
        <v>2889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552.59999999999991</v>
      </c>
      <c r="V87" s="50">
        <f>$J$45*$J$34*($D$46*G25+$E$46*H25+$F$46*I25)</f>
        <v>512.9499999999997</v>
      </c>
      <c r="W87" s="50">
        <f>$J$45*$J$34*($D$47*G25+$E$47*H25+$F$47*I25)</f>
        <v>156.85000000000008</v>
      </c>
      <c r="X87" s="29">
        <f t="shared" si="77"/>
        <v>1222.3999999999999</v>
      </c>
    </row>
    <row r="88" spans="1:24">
      <c r="A88" s="87"/>
      <c r="B88" s="48">
        <f t="shared" si="66"/>
        <v>0</v>
      </c>
      <c r="C88" s="93"/>
      <c r="D88" s="31">
        <f t="shared" si="71"/>
        <v>1213.5</v>
      </c>
      <c r="E88" s="31">
        <f t="shared" si="67"/>
        <v>3855</v>
      </c>
      <c r="F88" s="31">
        <f t="shared" si="68"/>
        <v>1213.4999999999998</v>
      </c>
      <c r="G88" s="32">
        <f t="shared" si="69"/>
        <v>3855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1204.4999999999995</v>
      </c>
      <c r="V88" s="50">
        <f t="shared" ref="V88:V89" si="79">$J$45*$J$34*($D$46*G26+$E$46*H26+$F$46*I26)</f>
        <v>1213.4999999999998</v>
      </c>
      <c r="W88" s="50">
        <f t="shared" ref="W88:W89" si="80">$J$45*$J$34*($D$47*G26+$E$47*H26+$F$47*I26)</f>
        <v>651.5</v>
      </c>
      <c r="X88" s="29">
        <f t="shared" si="77"/>
        <v>3069.4999999999991</v>
      </c>
    </row>
    <row r="89" spans="1:24">
      <c r="A89" s="87"/>
      <c r="B89" s="48" t="str">
        <f t="shared" si="66"/>
        <v>A</v>
      </c>
      <c r="C89" s="93"/>
      <c r="D89" s="31">
        <f t="shared" si="71"/>
        <v>578.29999999999995</v>
      </c>
      <c r="E89" s="31">
        <f t="shared" si="67"/>
        <v>6335</v>
      </c>
      <c r="F89" s="31">
        <f t="shared" si="68"/>
        <v>578.29999999999995</v>
      </c>
      <c r="G89" s="32">
        <f t="shared" si="69"/>
        <v>6335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511.29999999999984</v>
      </c>
      <c r="V89" s="50">
        <f t="shared" si="79"/>
        <v>578.29999999999995</v>
      </c>
      <c r="W89" s="50">
        <f t="shared" si="80"/>
        <v>532.75</v>
      </c>
      <c r="X89" s="29">
        <f t="shared" si="77"/>
        <v>1622.35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512.95000000000005</v>
      </c>
      <c r="E90" s="31">
        <f t="shared" si="67"/>
        <v>2889</v>
      </c>
      <c r="F90" s="31">
        <f t="shared" si="68"/>
        <v>512.95000000000016</v>
      </c>
      <c r="G90" s="32">
        <f t="shared" si="69"/>
        <v>2889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552.5999999999998</v>
      </c>
      <c r="V90" s="50">
        <f>$J$48*$J$37*($D$49*G28+$E$49*H28+$F$49*I28)</f>
        <v>512.95000000000016</v>
      </c>
      <c r="W90" s="50">
        <f>$J$48*$J$37*($D$50*G28+$E$50*H28+$F$50*I28)</f>
        <v>156.84999999999951</v>
      </c>
      <c r="X90" s="29">
        <f t="shared" si="77"/>
        <v>1222.3999999999994</v>
      </c>
    </row>
    <row r="91" spans="1:24">
      <c r="A91" s="87"/>
      <c r="B91" s="48" t="str">
        <f t="shared" si="66"/>
        <v>D65</v>
      </c>
      <c r="C91" s="93"/>
      <c r="D91" s="31">
        <f t="shared" si="71"/>
        <v>1213.5</v>
      </c>
      <c r="E91" s="31">
        <f t="shared" si="67"/>
        <v>3855</v>
      </c>
      <c r="F91" s="31">
        <f t="shared" si="68"/>
        <v>1213.5</v>
      </c>
      <c r="G91" s="32">
        <f t="shared" si="69"/>
        <v>3855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1204.5</v>
      </c>
      <c r="V91" s="50">
        <f t="shared" ref="V91:V92" si="82">$J$48*$J$37*($D$49*G29+$E$49*H29+$F$49*I29)</f>
        <v>1213.5</v>
      </c>
      <c r="W91" s="50">
        <f t="shared" ref="W91:W92" si="83">$J$48*$J$37*($D$50*G29+$E$50*H29+$F$50*I29)</f>
        <v>651.49999999999966</v>
      </c>
      <c r="X91" s="29">
        <f t="shared" si="77"/>
        <v>3069.4999999999995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578.29999999999995</v>
      </c>
      <c r="E92" s="31">
        <f t="shared" si="67"/>
        <v>6335</v>
      </c>
      <c r="F92" s="31">
        <f t="shared" si="68"/>
        <v>578.29999999999995</v>
      </c>
      <c r="G92" s="32">
        <f t="shared" si="69"/>
        <v>6335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511.30000000000018</v>
      </c>
      <c r="V92" s="50">
        <f t="shared" si="82"/>
        <v>578.29999999999995</v>
      </c>
      <c r="W92" s="50">
        <f t="shared" si="83"/>
        <v>532.74999999999989</v>
      </c>
      <c r="X92" s="29">
        <f t="shared" si="77"/>
        <v>1622.35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8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1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2.0157371857838982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82.402163187018488</v>
      </c>
      <c r="N3" s="46">
        <v>0</v>
      </c>
      <c r="O3" s="50">
        <f>G$5-N3*G$7</f>
        <v>130.40280675137492</v>
      </c>
      <c r="P3" s="50">
        <f>H$5-N3*H$7</f>
        <v>48.000643564356437</v>
      </c>
      <c r="Q3" s="50">
        <f>I$5-N3*I$7</f>
        <v>59.430769230769229</v>
      </c>
    </row>
    <row r="4" spans="1:17">
      <c r="C4" s="46" t="s">
        <v>20</v>
      </c>
      <c r="D4" s="7">
        <v>527.29999999999995</v>
      </c>
      <c r="E4" s="7">
        <v>1212</v>
      </c>
      <c r="F4" s="7">
        <v>578.5</v>
      </c>
      <c r="G4" s="50">
        <f>AVERAGE(D4:F4)</f>
        <v>772.6</v>
      </c>
      <c r="H4" s="50">
        <f>G4</f>
        <v>772.6</v>
      </c>
      <c r="I4" s="50">
        <f>H4</f>
        <v>772.6</v>
      </c>
      <c r="K4" s="13" t="str">
        <f>linefmt("Compensation",B12)</f>
        <v>"Compensation",42,</v>
      </c>
      <c r="M4" s="46">
        <f t="shared" si="0"/>
        <v>80.452321770079834</v>
      </c>
      <c r="N4" s="46">
        <f>N3+1</f>
        <v>1</v>
      </c>
      <c r="O4" s="50">
        <f t="shared" ref="O4:O66" si="1">G$5-N4*G$7</f>
        <v>128.37023132699298</v>
      </c>
      <c r="P4" s="50">
        <f t="shared" ref="P4:P66" si="2">H$5-N4*H$7</f>
        <v>47.917909556913138</v>
      </c>
      <c r="Q4" s="50">
        <f t="shared" ref="Q4:Q66" si="3">I$5-N4*I$7</f>
        <v>59.123883116644294</v>
      </c>
    </row>
    <row r="5" spans="1:17">
      <c r="C5" s="46">
        <v>0</v>
      </c>
      <c r="D5" s="9">
        <v>89</v>
      </c>
      <c r="E5" s="9">
        <v>75.3</v>
      </c>
      <c r="F5" s="9">
        <v>44.5</v>
      </c>
      <c r="G5" s="50">
        <f>G$4/D$4*D5</f>
        <v>130.40280675137492</v>
      </c>
      <c r="H5" s="50">
        <f t="shared" ref="H5:I6" si="4">H$4/E$4*E5</f>
        <v>48.000643564356437</v>
      </c>
      <c r="I5" s="50">
        <f t="shared" si="4"/>
        <v>59.430769230769229</v>
      </c>
      <c r="K5" s="14" t="str">
        <f>linefmt("CardGain",J54)</f>
        <v>"CardGain",17.86364,</v>
      </c>
      <c r="M5" s="46">
        <f t="shared" si="0"/>
        <v>78.502480353141209</v>
      </c>
      <c r="N5" s="46">
        <f t="shared" ref="N5:N66" si="5">N4+1</f>
        <v>2</v>
      </c>
      <c r="O5" s="50">
        <f t="shared" si="1"/>
        <v>126.33765590261105</v>
      </c>
      <c r="P5" s="50">
        <f t="shared" si="2"/>
        <v>47.835175549469845</v>
      </c>
      <c r="Q5" s="50">
        <f t="shared" si="3"/>
        <v>58.816997002519351</v>
      </c>
    </row>
    <row r="6" spans="1:17">
      <c r="B6" s="50">
        <f>D5/4</f>
        <v>22.25</v>
      </c>
      <c r="C6" s="7">
        <v>47</v>
      </c>
      <c r="D6" s="9">
        <v>23.8</v>
      </c>
      <c r="E6" s="9">
        <v>69.2</v>
      </c>
      <c r="F6" s="9">
        <v>33.700000000000003</v>
      </c>
      <c r="G6" s="50">
        <f>G$4/D$4*D6</f>
        <v>34.871761805423859</v>
      </c>
      <c r="H6" s="50">
        <f t="shared" si="4"/>
        <v>44.112145214521455</v>
      </c>
      <c r="I6" s="50">
        <f t="shared" si="4"/>
        <v>45.007121866897151</v>
      </c>
      <c r="K6" s="14" t="str">
        <f>linefmt("Range",1,J34,J37)</f>
        <v>"Range",1,0.9403988,1.008409,</v>
      </c>
      <c r="M6" s="46">
        <f t="shared" si="0"/>
        <v>76.55263893620257</v>
      </c>
      <c r="N6" s="46">
        <f t="shared" si="5"/>
        <v>3</v>
      </c>
      <c r="O6" s="50">
        <f t="shared" si="1"/>
        <v>124.30508047822912</v>
      </c>
      <c r="P6" s="50">
        <f t="shared" si="2"/>
        <v>47.752441542026546</v>
      </c>
      <c r="Q6" s="50">
        <f t="shared" si="3"/>
        <v>58.510110888394415</v>
      </c>
    </row>
    <row r="7" spans="1:17">
      <c r="C7" s="46">
        <f>C5</f>
        <v>0</v>
      </c>
      <c r="D7" s="46">
        <f t="shared" ref="D7:F8" si="6">D$4/D5</f>
        <v>5.9247191011235953</v>
      </c>
      <c r="E7" s="46">
        <f t="shared" si="6"/>
        <v>16.095617529880478</v>
      </c>
      <c r="F7" s="46">
        <f t="shared" si="6"/>
        <v>13</v>
      </c>
      <c r="G7" s="49">
        <f>(G5-G6)/($C6-$C5)</f>
        <v>2.0325754243819376</v>
      </c>
      <c r="H7" s="49">
        <f t="shared" ref="H7:I7" si="7">(H5-H6)/($C6-$C5)</f>
        <v>8.2734007443297494E-2</v>
      </c>
      <c r="I7" s="49">
        <f t="shared" si="7"/>
        <v>0.30688611412493783</v>
      </c>
      <c r="K7" s="14" t="str">
        <f>linefmt("CCM" )</f>
        <v>"CCM",</v>
      </c>
      <c r="M7" s="46">
        <f t="shared" si="0"/>
        <v>74.60279751926393</v>
      </c>
      <c r="N7" s="46">
        <f t="shared" si="5"/>
        <v>4</v>
      </c>
      <c r="O7" s="50">
        <f t="shared" si="1"/>
        <v>122.27250505384717</v>
      </c>
      <c r="P7" s="50">
        <f t="shared" si="2"/>
        <v>47.669707534583246</v>
      </c>
      <c r="Q7" s="50">
        <f t="shared" si="3"/>
        <v>58.203224774269479</v>
      </c>
    </row>
    <row r="8" spans="1:17">
      <c r="C8" s="46">
        <f>C6</f>
        <v>47</v>
      </c>
      <c r="D8" s="46">
        <f t="shared" si="6"/>
        <v>22.155462184873947</v>
      </c>
      <c r="E8" s="46">
        <f t="shared" si="6"/>
        <v>17.514450867052023</v>
      </c>
      <c r="F8" s="46">
        <f t="shared" si="6"/>
        <v>17.166172106824924</v>
      </c>
      <c r="K8" s="15" t="str">
        <f>linefmt("",D54,E54,F54)</f>
        <v>0.2274312,1.023677,-0.4475343,</v>
      </c>
      <c r="M8" s="46">
        <f t="shared" si="0"/>
        <v>72.652956102325291</v>
      </c>
      <c r="N8" s="46">
        <f t="shared" si="5"/>
        <v>5</v>
      </c>
      <c r="O8" s="50">
        <f t="shared" si="1"/>
        <v>120.23992962946524</v>
      </c>
      <c r="P8" s="50">
        <f t="shared" si="2"/>
        <v>47.586973527139946</v>
      </c>
      <c r="Q8" s="50">
        <f t="shared" si="3"/>
        <v>57.896338660144536</v>
      </c>
    </row>
    <row r="9" spans="1:17">
      <c r="C9" s="46" t="s">
        <v>23</v>
      </c>
      <c r="D9" s="46">
        <f>(D8-D7)/($C8-$C7)</f>
        <v>0.34533495922873086</v>
      </c>
      <c r="E9" s="46">
        <f>(E8-E7)/($C8-$C7)</f>
        <v>3.018794334407543E-2</v>
      </c>
      <c r="F9" s="46">
        <f>(F8-F7)/($C8-$C7)</f>
        <v>8.8641959719679225E-2</v>
      </c>
      <c r="K9" s="15" t="str">
        <f>linefmt("",D55,E55,F55)</f>
        <v>6.052044E-02,1,-0.1386919,</v>
      </c>
      <c r="M9" s="46">
        <f t="shared" si="0"/>
        <v>70.703114685386652</v>
      </c>
      <c r="N9" s="46">
        <f t="shared" si="5"/>
        <v>6</v>
      </c>
      <c r="O9" s="50">
        <f t="shared" si="1"/>
        <v>118.20735420508331</v>
      </c>
      <c r="P9" s="50">
        <f t="shared" si="2"/>
        <v>47.504239519696654</v>
      </c>
      <c r="Q9" s="50">
        <f t="shared" si="3"/>
        <v>57.589452546019601</v>
      </c>
    </row>
    <row r="10" spans="1:17">
      <c r="K10" s="16" t="str">
        <f>linefmt("",D56,E56,F56)</f>
        <v>-0.532813,0.3954099,1.034297,</v>
      </c>
      <c r="M10" s="46">
        <f t="shared" si="0"/>
        <v>68.753273268447998</v>
      </c>
      <c r="N10" s="46">
        <f t="shared" si="5"/>
        <v>7</v>
      </c>
      <c r="O10" s="50">
        <f t="shared" si="1"/>
        <v>116.17477878070136</v>
      </c>
      <c r="P10" s="50">
        <f t="shared" si="2"/>
        <v>47.421505512253354</v>
      </c>
      <c r="Q10" s="50">
        <f t="shared" si="3"/>
        <v>57.282566431894665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66.803431851509373</v>
      </c>
      <c r="N11" s="46">
        <f t="shared" si="5"/>
        <v>8</v>
      </c>
      <c r="O11" s="50">
        <f t="shared" si="1"/>
        <v>114.14220335631943</v>
      </c>
      <c r="P11" s="50">
        <f t="shared" si="2"/>
        <v>47.338771504810055</v>
      </c>
      <c r="Q11" s="50">
        <f t="shared" si="3"/>
        <v>56.975680317769729</v>
      </c>
    </row>
    <row r="12" spans="1:17">
      <c r="A12" s="46" t="s">
        <v>16</v>
      </c>
      <c r="B12" s="10">
        <f>MATCH(M2,M3:M66,0)-1</f>
        <v>42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Compensation=42</v>
      </c>
      <c r="M12" s="46">
        <f t="shared" si="0"/>
        <v>64.853590434570719</v>
      </c>
      <c r="N12" s="46">
        <f t="shared" si="5"/>
        <v>9</v>
      </c>
      <c r="O12" s="50">
        <f t="shared" si="1"/>
        <v>112.10962793193748</v>
      </c>
      <c r="P12" s="50">
        <f t="shared" si="2"/>
        <v>47.256037497366762</v>
      </c>
      <c r="Q12" s="50">
        <f t="shared" si="3"/>
        <v>56.668794203644786</v>
      </c>
    </row>
    <row r="13" spans="1:17">
      <c r="A13" s="78" t="s">
        <v>12</v>
      </c>
      <c r="B13" s="79" t="s">
        <v>0</v>
      </c>
      <c r="C13" s="46">
        <v>0</v>
      </c>
      <c r="D13" s="7">
        <v>553.4</v>
      </c>
      <c r="E13" s="7">
        <v>513.6</v>
      </c>
      <c r="F13" s="7">
        <v>156.6</v>
      </c>
      <c r="G13" s="8">
        <v>86.2</v>
      </c>
      <c r="H13" s="8">
        <v>29.7</v>
      </c>
      <c r="I13" s="8">
        <v>41.8</v>
      </c>
      <c r="M13" s="46">
        <f t="shared" si="0"/>
        <v>62.903749017632087</v>
      </c>
      <c r="N13" s="46">
        <f t="shared" si="5"/>
        <v>10</v>
      </c>
      <c r="O13" s="50">
        <f t="shared" si="1"/>
        <v>110.07705250755555</v>
      </c>
      <c r="P13" s="50">
        <f t="shared" si="2"/>
        <v>47.173303489923462</v>
      </c>
      <c r="Q13" s="50">
        <f t="shared" si="3"/>
        <v>56.361908089519851</v>
      </c>
    </row>
    <row r="14" spans="1:17">
      <c r="A14" s="78"/>
      <c r="B14" s="79"/>
      <c r="C14" s="46">
        <f>C13+1</f>
        <v>1</v>
      </c>
      <c r="D14" s="7">
        <v>558.70000000000005</v>
      </c>
      <c r="E14" s="7">
        <v>518.4</v>
      </c>
      <c r="F14" s="7">
        <v>156.4</v>
      </c>
      <c r="G14" s="8">
        <v>90.9</v>
      </c>
      <c r="H14" s="8">
        <v>31.9</v>
      </c>
      <c r="I14" s="8">
        <v>44.7</v>
      </c>
      <c r="M14" s="46">
        <f t="shared" si="0"/>
        <v>60.953907600693441</v>
      </c>
      <c r="N14" s="46">
        <f t="shared" si="5"/>
        <v>11</v>
      </c>
      <c r="O14" s="50">
        <f t="shared" si="1"/>
        <v>108.0444770831736</v>
      </c>
      <c r="P14" s="50">
        <f t="shared" si="2"/>
        <v>47.090569482480163</v>
      </c>
      <c r="Q14" s="50">
        <f t="shared" si="3"/>
        <v>56.055021975394915</v>
      </c>
    </row>
    <row r="15" spans="1:17">
      <c r="A15" s="78"/>
      <c r="B15" s="79"/>
      <c r="C15" s="46">
        <f>C14+1</f>
        <v>2</v>
      </c>
      <c r="D15" s="6">
        <f>2*(D13-D14)/(D13+D14)</f>
        <v>-9.5315169499146993E-3</v>
      </c>
      <c r="E15" s="6">
        <f t="shared" ref="E15:F15" si="8">2*(E13-E14)/(E13+E14)</f>
        <v>-9.3023255813952602E-3</v>
      </c>
      <c r="F15" s="6">
        <f t="shared" si="8"/>
        <v>1.2779552715654226E-3</v>
      </c>
      <c r="G15" s="8">
        <v>89.5</v>
      </c>
      <c r="H15" s="8">
        <v>28.5</v>
      </c>
      <c r="I15" s="8">
        <v>42.5</v>
      </c>
      <c r="M15" s="46">
        <f t="shared" si="0"/>
        <v>59.004066183754802</v>
      </c>
      <c r="N15" s="46">
        <f t="shared" si="5"/>
        <v>12</v>
      </c>
      <c r="O15" s="50">
        <f t="shared" si="1"/>
        <v>106.01190165879167</v>
      </c>
      <c r="P15" s="50">
        <f t="shared" si="2"/>
        <v>47.00783547503687</v>
      </c>
      <c r="Q15" s="50">
        <f t="shared" si="3"/>
        <v>55.748135861269972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1210</v>
      </c>
      <c r="F16" s="7">
        <v>650</v>
      </c>
      <c r="G16" s="8">
        <v>60.9</v>
      </c>
      <c r="H16" s="8">
        <v>69.8</v>
      </c>
      <c r="I16" s="8">
        <v>39.200000000000003</v>
      </c>
      <c r="M16" s="46">
        <f t="shared" si="0"/>
        <v>57.054224766816169</v>
      </c>
      <c r="N16" s="46">
        <f t="shared" si="5"/>
        <v>13</v>
      </c>
      <c r="O16" s="50">
        <f t="shared" si="1"/>
        <v>103.97932623440974</v>
      </c>
      <c r="P16" s="50">
        <f t="shared" si="2"/>
        <v>46.925101467593571</v>
      </c>
      <c r="Q16" s="50">
        <f t="shared" si="3"/>
        <v>55.441249747145037</v>
      </c>
    </row>
    <row r="17" spans="1:21">
      <c r="A17" s="78"/>
      <c r="B17" s="79"/>
      <c r="C17" s="46">
        <f t="shared" ref="C17:C21" si="9">C14</f>
        <v>1</v>
      </c>
      <c r="D17" s="7">
        <v>1201</v>
      </c>
      <c r="E17" s="7">
        <v>1211</v>
      </c>
      <c r="F17" s="7">
        <v>650</v>
      </c>
      <c r="G17" s="8">
        <v>64.400000000000006</v>
      </c>
      <c r="H17" s="8">
        <v>73.5</v>
      </c>
      <c r="I17" s="8">
        <v>41.9</v>
      </c>
      <c r="M17" s="46">
        <f t="shared" si="0"/>
        <v>55.104383349877523</v>
      </c>
      <c r="N17" s="46">
        <f t="shared" si="5"/>
        <v>14</v>
      </c>
      <c r="O17" s="50">
        <f t="shared" si="1"/>
        <v>101.94675081002779</v>
      </c>
      <c r="P17" s="50">
        <f t="shared" si="2"/>
        <v>46.842367460150271</v>
      </c>
      <c r="Q17" s="50">
        <f t="shared" si="3"/>
        <v>55.134363633020101</v>
      </c>
    </row>
    <row r="18" spans="1:21">
      <c r="A18" s="78"/>
      <c r="B18" s="79"/>
      <c r="C18" s="46">
        <f t="shared" si="9"/>
        <v>2</v>
      </c>
      <c r="D18" s="6">
        <f>2*(D16-D17)/(D16+D17)</f>
        <v>0</v>
      </c>
      <c r="E18" s="6">
        <f t="shared" ref="E18:F18" si="10">2*(E16-E17)/(E16+E17)</f>
        <v>-8.2610491532424622E-4</v>
      </c>
      <c r="F18" s="6">
        <f t="shared" si="10"/>
        <v>0</v>
      </c>
      <c r="G18" s="8">
        <v>57.4</v>
      </c>
      <c r="H18" s="8">
        <v>69.3</v>
      </c>
      <c r="I18" s="8">
        <v>39.200000000000003</v>
      </c>
      <c r="M18" s="46">
        <f t="shared" si="0"/>
        <v>53.154541932938891</v>
      </c>
      <c r="N18" s="46">
        <f t="shared" si="5"/>
        <v>15</v>
      </c>
      <c r="O18" s="50">
        <f t="shared" si="1"/>
        <v>99.914175385645862</v>
      </c>
      <c r="P18" s="50">
        <f t="shared" si="2"/>
        <v>46.759633452706971</v>
      </c>
      <c r="Q18" s="50">
        <f t="shared" si="3"/>
        <v>54.827477518895165</v>
      </c>
    </row>
    <row r="19" spans="1:21">
      <c r="A19" s="78"/>
      <c r="B19" s="79" t="s">
        <v>2</v>
      </c>
      <c r="C19" s="46">
        <f t="shared" si="9"/>
        <v>0</v>
      </c>
      <c r="D19" s="7">
        <v>512.5</v>
      </c>
      <c r="E19" s="7">
        <v>579.6</v>
      </c>
      <c r="F19" s="7">
        <v>533.20000000000005</v>
      </c>
      <c r="G19" s="8">
        <v>27.6</v>
      </c>
      <c r="H19" s="8">
        <v>34.799999999999997</v>
      </c>
      <c r="I19" s="8">
        <v>29.7</v>
      </c>
      <c r="M19" s="46">
        <f t="shared" si="0"/>
        <v>51.204700516000251</v>
      </c>
      <c r="N19" s="46">
        <f t="shared" si="5"/>
        <v>16</v>
      </c>
      <c r="O19" s="50">
        <f t="shared" si="1"/>
        <v>97.88159996126393</v>
      </c>
      <c r="P19" s="50">
        <f t="shared" si="2"/>
        <v>46.676899445263679</v>
      </c>
      <c r="Q19" s="50">
        <f t="shared" si="3"/>
        <v>54.520591404770222</v>
      </c>
    </row>
    <row r="20" spans="1:21">
      <c r="A20" s="78"/>
      <c r="B20" s="79"/>
      <c r="C20" s="46">
        <f t="shared" si="9"/>
        <v>1</v>
      </c>
      <c r="D20" s="7">
        <v>513.29999999999995</v>
      </c>
      <c r="E20" s="7">
        <v>580.20000000000005</v>
      </c>
      <c r="F20" s="7">
        <v>533.20000000000005</v>
      </c>
      <c r="G20" s="8">
        <v>29.7</v>
      </c>
      <c r="H20" s="8">
        <v>37.4</v>
      </c>
      <c r="I20" s="8">
        <v>31.9</v>
      </c>
      <c r="M20" s="46">
        <f t="shared" si="0"/>
        <v>49.254859099061605</v>
      </c>
      <c r="N20" s="46">
        <f t="shared" si="5"/>
        <v>17</v>
      </c>
      <c r="O20" s="50">
        <f t="shared" si="1"/>
        <v>95.849024536881984</v>
      </c>
      <c r="P20" s="50">
        <f t="shared" si="2"/>
        <v>46.594165437820379</v>
      </c>
      <c r="Q20" s="50">
        <f t="shared" si="3"/>
        <v>54.213705290645287</v>
      </c>
    </row>
    <row r="21" spans="1:21">
      <c r="A21" s="78"/>
      <c r="B21" s="79"/>
      <c r="C21" s="46">
        <f t="shared" si="9"/>
        <v>2</v>
      </c>
      <c r="D21" s="6">
        <f>2*(D19-D20)/(D19+D20)</f>
        <v>-1.5597582374731031E-3</v>
      </c>
      <c r="E21" s="6">
        <f t="shared" ref="E21:F21" si="11">2*(E19-E20)/(E19+E20)</f>
        <v>-1.0346611484739138E-3</v>
      </c>
      <c r="F21" s="6">
        <f t="shared" si="11"/>
        <v>0</v>
      </c>
      <c r="G21" s="8">
        <v>26.6</v>
      </c>
      <c r="H21" s="8">
        <v>34.4</v>
      </c>
      <c r="I21" s="8">
        <v>28.8</v>
      </c>
      <c r="M21" s="46">
        <f t="shared" si="0"/>
        <v>47.305017682122958</v>
      </c>
      <c r="N21" s="46">
        <f t="shared" si="5"/>
        <v>18</v>
      </c>
      <c r="O21" s="50">
        <f t="shared" si="1"/>
        <v>93.816449112500038</v>
      </c>
      <c r="P21" s="50">
        <f t="shared" si="2"/>
        <v>46.51143143037708</v>
      </c>
      <c r="Q21" s="50">
        <f t="shared" si="3"/>
        <v>53.906819176520351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556.04999999999995</v>
      </c>
      <c r="E22" s="46">
        <f t="shared" ref="E22:F22" si="12">(E13+E14)/2</f>
        <v>516</v>
      </c>
      <c r="F22" s="46">
        <f t="shared" si="12"/>
        <v>156.5</v>
      </c>
      <c r="G22" s="5">
        <f>G13</f>
        <v>86.2</v>
      </c>
      <c r="H22" s="5">
        <f t="shared" ref="H22:I22" si="13">H13</f>
        <v>29.7</v>
      </c>
      <c r="I22" s="5">
        <f t="shared" si="13"/>
        <v>41.8</v>
      </c>
      <c r="J22" s="99">
        <f>AVERAGE(G22:I24)</f>
        <v>46.633333333333333</v>
      </c>
      <c r="M22" s="46">
        <f t="shared" si="0"/>
        <v>45.355176265184333</v>
      </c>
      <c r="N22" s="46">
        <f t="shared" si="5"/>
        <v>19</v>
      </c>
      <c r="O22" s="50">
        <f t="shared" si="1"/>
        <v>91.783873688118121</v>
      </c>
      <c r="P22" s="50">
        <f t="shared" si="2"/>
        <v>46.428697422933787</v>
      </c>
      <c r="Q22" s="50">
        <f t="shared" si="3"/>
        <v>53.599933062395408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</v>
      </c>
      <c r="E23" s="46">
        <f>(E16+E17)/2</f>
        <v>1210.5</v>
      </c>
      <c r="F23" s="46">
        <f>(F16+F17)/2</f>
        <v>650</v>
      </c>
      <c r="G23" s="5">
        <f>G16</f>
        <v>60.9</v>
      </c>
      <c r="H23" s="5">
        <f>H16</f>
        <v>69.8</v>
      </c>
      <c r="I23" s="5">
        <f>I16</f>
        <v>39.200000000000003</v>
      </c>
      <c r="J23" s="99"/>
      <c r="M23" s="46">
        <f t="shared" si="0"/>
        <v>43.405334848245687</v>
      </c>
      <c r="N23" s="46">
        <f t="shared" si="5"/>
        <v>20</v>
      </c>
      <c r="O23" s="50">
        <f t="shared" si="1"/>
        <v>89.751298263736174</v>
      </c>
      <c r="P23" s="50">
        <f t="shared" si="2"/>
        <v>46.345963415490488</v>
      </c>
      <c r="Q23" s="50">
        <f t="shared" si="3"/>
        <v>53.293046948270472</v>
      </c>
    </row>
    <row r="24" spans="1:21">
      <c r="A24" s="78"/>
      <c r="B24" s="46" t="str">
        <f>B19</f>
        <v>D65</v>
      </c>
      <c r="C24" s="79"/>
      <c r="D24" s="46">
        <f>(D19+D20)/2</f>
        <v>512.9</v>
      </c>
      <c r="E24" s="46">
        <f>(E19+E20)/2</f>
        <v>579.90000000000009</v>
      </c>
      <c r="F24" s="46">
        <f>(F19+F20)/2</f>
        <v>533.20000000000005</v>
      </c>
      <c r="G24" s="5">
        <f>G19</f>
        <v>27.6</v>
      </c>
      <c r="H24" s="5">
        <f>H19</f>
        <v>34.799999999999997</v>
      </c>
      <c r="I24" s="5">
        <f>I19</f>
        <v>29.7</v>
      </c>
      <c r="J24" s="99"/>
      <c r="M24" s="46">
        <f t="shared" si="0"/>
        <v>41.45549343130704</v>
      </c>
      <c r="N24" s="46">
        <f t="shared" si="5"/>
        <v>21</v>
      </c>
      <c r="O24" s="50">
        <f t="shared" si="1"/>
        <v>87.718722839354228</v>
      </c>
      <c r="P24" s="50">
        <f t="shared" si="2"/>
        <v>46.263229408047188</v>
      </c>
      <c r="Q24" s="50">
        <f t="shared" si="3"/>
        <v>52.986160834145537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556.04999999999995</v>
      </c>
      <c r="E25" s="46">
        <f t="shared" ref="E25:F25" si="15">(E13+E14)/2</f>
        <v>516</v>
      </c>
      <c r="F25" s="46">
        <f t="shared" si="15"/>
        <v>156.5</v>
      </c>
      <c r="G25" s="5">
        <f t="shared" ref="G25:I25" si="16">G14</f>
        <v>90.9</v>
      </c>
      <c r="H25" s="5">
        <f t="shared" si="16"/>
        <v>31.9</v>
      </c>
      <c r="I25" s="5">
        <f t="shared" si="16"/>
        <v>44.7</v>
      </c>
      <c r="J25" s="99">
        <f>AVERAGE(G25:I27)</f>
        <v>49.588888888888874</v>
      </c>
      <c r="M25" s="46">
        <f t="shared" si="0"/>
        <v>39.505652014368401</v>
      </c>
      <c r="N25" s="46">
        <f t="shared" si="5"/>
        <v>22</v>
      </c>
      <c r="O25" s="50">
        <f t="shared" si="1"/>
        <v>85.686147414972297</v>
      </c>
      <c r="P25" s="50">
        <f t="shared" si="2"/>
        <v>46.180495400603895</v>
      </c>
      <c r="Q25" s="50">
        <f t="shared" si="3"/>
        <v>52.679274720020601</v>
      </c>
    </row>
    <row r="26" spans="1:21">
      <c r="A26" s="78"/>
      <c r="B26" s="46" t="str">
        <f>B16</f>
        <v>CWF</v>
      </c>
      <c r="C26" s="79"/>
      <c r="D26" s="46">
        <f>(D16+D17)/2</f>
        <v>1201</v>
      </c>
      <c r="E26" s="46">
        <f>(E16+E17)/2</f>
        <v>1210.5</v>
      </c>
      <c r="F26" s="46">
        <f>(F16+F17)/2</f>
        <v>650</v>
      </c>
      <c r="G26" s="5">
        <f>G17</f>
        <v>64.400000000000006</v>
      </c>
      <c r="H26" s="5">
        <f>H17</f>
        <v>73.5</v>
      </c>
      <c r="I26" s="5">
        <f>I17</f>
        <v>41.9</v>
      </c>
      <c r="J26" s="99"/>
      <c r="M26" s="46">
        <f t="shared" si="0"/>
        <v>37.555810597429769</v>
      </c>
      <c r="N26" s="46">
        <f t="shared" si="5"/>
        <v>23</v>
      </c>
      <c r="O26" s="50">
        <f t="shared" si="1"/>
        <v>83.653571990590365</v>
      </c>
      <c r="P26" s="50">
        <f t="shared" si="2"/>
        <v>46.097761393160596</v>
      </c>
      <c r="Q26" s="50">
        <f t="shared" si="3"/>
        <v>52.372388605895658</v>
      </c>
    </row>
    <row r="27" spans="1:21">
      <c r="A27" s="78"/>
      <c r="B27" s="46" t="str">
        <f>B19</f>
        <v>D65</v>
      </c>
      <c r="C27" s="79"/>
      <c r="D27" s="46">
        <f>(D19+D20)/2</f>
        <v>512.9</v>
      </c>
      <c r="E27" s="46">
        <f>(E19+E20)/2</f>
        <v>579.90000000000009</v>
      </c>
      <c r="F27" s="46">
        <f>(F19+F20)/2</f>
        <v>533.20000000000005</v>
      </c>
      <c r="G27" s="5">
        <f>G20</f>
        <v>29.7</v>
      </c>
      <c r="H27" s="5">
        <f>H20</f>
        <v>37.4</v>
      </c>
      <c r="I27" s="5">
        <f>I20</f>
        <v>31.9</v>
      </c>
      <c r="J27" s="99"/>
      <c r="M27" s="46">
        <f t="shared" si="0"/>
        <v>35.605969180491122</v>
      </c>
      <c r="N27" s="46">
        <f t="shared" si="5"/>
        <v>24</v>
      </c>
      <c r="O27" s="50">
        <f t="shared" si="1"/>
        <v>81.620996566208419</v>
      </c>
      <c r="P27" s="50">
        <f t="shared" si="2"/>
        <v>46.015027385717296</v>
      </c>
      <c r="Q27" s="50">
        <f t="shared" si="3"/>
        <v>52.065502491770722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556.04999999999995</v>
      </c>
      <c r="E28" s="46">
        <f t="shared" ref="E28:F28" si="17">(E13+E14)/2</f>
        <v>516</v>
      </c>
      <c r="F28" s="46">
        <f t="shared" si="17"/>
        <v>156.5</v>
      </c>
      <c r="G28" s="5">
        <f t="shared" ref="G28:I28" si="18">G15</f>
        <v>89.5</v>
      </c>
      <c r="H28" s="5">
        <f t="shared" si="18"/>
        <v>28.5</v>
      </c>
      <c r="I28" s="5">
        <f t="shared" si="18"/>
        <v>42.5</v>
      </c>
      <c r="J28" s="99">
        <f>AVERAGE(G28:I30)</f>
        <v>46.24444444444444</v>
      </c>
      <c r="M28" s="46">
        <f t="shared" si="0"/>
        <v>33.65612776355249</v>
      </c>
      <c r="N28" s="46">
        <f t="shared" si="5"/>
        <v>25</v>
      </c>
      <c r="O28" s="50">
        <f t="shared" si="1"/>
        <v>79.588421141826487</v>
      </c>
      <c r="P28" s="50">
        <f t="shared" si="2"/>
        <v>45.932293378273997</v>
      </c>
      <c r="Q28" s="50">
        <f t="shared" si="3"/>
        <v>51.758616377645787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</v>
      </c>
      <c r="E29" s="46">
        <f t="shared" si="20"/>
        <v>1210.5</v>
      </c>
      <c r="F29" s="46">
        <f t="shared" si="20"/>
        <v>650</v>
      </c>
      <c r="G29" s="5">
        <f t="shared" ref="G29:I29" si="21">G18</f>
        <v>57.4</v>
      </c>
      <c r="H29" s="5">
        <f t="shared" si="21"/>
        <v>69.3</v>
      </c>
      <c r="I29" s="5">
        <f t="shared" si="21"/>
        <v>39.200000000000003</v>
      </c>
      <c r="J29" s="99"/>
      <c r="M29" s="46">
        <f t="shared" si="0"/>
        <v>31.706286346613851</v>
      </c>
      <c r="N29" s="46">
        <f t="shared" si="5"/>
        <v>26</v>
      </c>
      <c r="O29" s="50">
        <f t="shared" si="1"/>
        <v>77.555845717444555</v>
      </c>
      <c r="P29" s="50">
        <f t="shared" si="2"/>
        <v>45.849559370830704</v>
      </c>
      <c r="Q29" s="50">
        <f t="shared" si="3"/>
        <v>51.451730263520844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512.9</v>
      </c>
      <c r="E30" s="46">
        <f t="shared" si="23"/>
        <v>579.90000000000009</v>
      </c>
      <c r="F30" s="46">
        <f t="shared" si="23"/>
        <v>533.20000000000005</v>
      </c>
      <c r="G30" s="5">
        <f t="shared" ref="G30:I30" si="24">G21</f>
        <v>26.6</v>
      </c>
      <c r="H30" s="5">
        <f t="shared" si="24"/>
        <v>34.4</v>
      </c>
      <c r="I30" s="5">
        <f t="shared" si="24"/>
        <v>28.8</v>
      </c>
      <c r="J30" s="99"/>
      <c r="M30" s="46">
        <f t="shared" si="0"/>
        <v>29.756444929675204</v>
      </c>
      <c r="N30" s="46">
        <f t="shared" si="5"/>
        <v>27</v>
      </c>
      <c r="O30" s="50">
        <f t="shared" si="1"/>
        <v>75.523270293062609</v>
      </c>
      <c r="P30" s="50">
        <f t="shared" si="2"/>
        <v>45.766825363387404</v>
      </c>
      <c r="Q30" s="50">
        <f t="shared" si="3"/>
        <v>51.144844149395908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556.04999999999995</v>
      </c>
      <c r="E31" s="46">
        <f t="shared" si="25"/>
        <v>516</v>
      </c>
      <c r="F31" s="46">
        <f t="shared" si="25"/>
        <v>156.5</v>
      </c>
      <c r="G31" s="5">
        <f t="shared" ref="G31:I33" si="26">G22*$J$31</f>
        <v>86.2</v>
      </c>
      <c r="H31" s="5">
        <f t="shared" si="26"/>
        <v>29.7</v>
      </c>
      <c r="I31" s="5">
        <f t="shared" si="26"/>
        <v>41.8</v>
      </c>
      <c r="J31" s="96">
        <f>J$22/J22</f>
        <v>1</v>
      </c>
      <c r="M31" s="46">
        <f t="shared" si="0"/>
        <v>27.806603512736558</v>
      </c>
      <c r="N31" s="46">
        <f t="shared" si="5"/>
        <v>28</v>
      </c>
      <c r="O31" s="50">
        <f t="shared" si="1"/>
        <v>73.490694868680663</v>
      </c>
      <c r="P31" s="50">
        <f t="shared" si="2"/>
        <v>45.684091355944105</v>
      </c>
      <c r="Q31" s="50">
        <f t="shared" si="3"/>
        <v>50.837958035270972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</v>
      </c>
      <c r="E32" s="46">
        <f t="shared" si="27"/>
        <v>1210.5</v>
      </c>
      <c r="F32" s="46">
        <f t="shared" si="27"/>
        <v>650</v>
      </c>
      <c r="G32" s="5">
        <f t="shared" si="26"/>
        <v>60.9</v>
      </c>
      <c r="H32" s="5">
        <f t="shared" si="26"/>
        <v>69.8</v>
      </c>
      <c r="I32" s="5">
        <f t="shared" si="26"/>
        <v>39.200000000000003</v>
      </c>
      <c r="J32" s="96"/>
      <c r="M32" s="46">
        <f t="shared" si="0"/>
        <v>25.856762095797919</v>
      </c>
      <c r="N32" s="46">
        <f t="shared" si="5"/>
        <v>29</v>
      </c>
      <c r="O32" s="50">
        <f t="shared" si="1"/>
        <v>71.458119444298731</v>
      </c>
      <c r="P32" s="50">
        <f t="shared" si="2"/>
        <v>45.601357348500812</v>
      </c>
      <c r="Q32" s="50">
        <f t="shared" si="3"/>
        <v>50.531071921146037</v>
      </c>
    </row>
    <row r="33" spans="1:17">
      <c r="A33" s="78"/>
      <c r="B33" s="46" t="str">
        <f t="shared" si="27"/>
        <v>D65</v>
      </c>
      <c r="C33" s="79"/>
      <c r="D33" s="46">
        <f t="shared" si="27"/>
        <v>512.9</v>
      </c>
      <c r="E33" s="46">
        <f t="shared" si="27"/>
        <v>579.90000000000009</v>
      </c>
      <c r="F33" s="46">
        <f t="shared" si="27"/>
        <v>533.20000000000005</v>
      </c>
      <c r="G33" s="5">
        <f t="shared" si="26"/>
        <v>27.6</v>
      </c>
      <c r="H33" s="5">
        <f t="shared" si="26"/>
        <v>34.799999999999997</v>
      </c>
      <c r="I33" s="5">
        <f t="shared" si="26"/>
        <v>29.7</v>
      </c>
      <c r="J33" s="96"/>
      <c r="M33" s="46">
        <f t="shared" si="0"/>
        <v>23.906920678859287</v>
      </c>
      <c r="N33" s="46">
        <f t="shared" si="5"/>
        <v>30</v>
      </c>
      <c r="O33" s="50">
        <f t="shared" si="1"/>
        <v>69.425544019916799</v>
      </c>
      <c r="P33" s="50">
        <f t="shared" si="2"/>
        <v>45.518623341057513</v>
      </c>
      <c r="Q33" s="50">
        <f t="shared" si="3"/>
        <v>50.224185807021094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556.04999999999995</v>
      </c>
      <c r="E34" s="46">
        <f t="shared" si="27"/>
        <v>516</v>
      </c>
      <c r="F34" s="46">
        <f t="shared" si="27"/>
        <v>156.5</v>
      </c>
      <c r="G34" s="5">
        <f t="shared" ref="G34:I36" si="28">G25*$J$34</f>
        <v>85.482254089177715</v>
      </c>
      <c r="H34" s="5">
        <f t="shared" si="28"/>
        <v>29.998722832175673</v>
      </c>
      <c r="I34" s="5">
        <f t="shared" si="28"/>
        <v>42.035827918440525</v>
      </c>
      <c r="J34" s="96">
        <f>J$22/J25</f>
        <v>0.9403988348644412</v>
      </c>
      <c r="M34" s="46">
        <f t="shared" si="0"/>
        <v>21.95707926192064</v>
      </c>
      <c r="N34" s="46">
        <f t="shared" si="5"/>
        <v>31</v>
      </c>
      <c r="O34" s="50">
        <f t="shared" si="1"/>
        <v>67.392968595534853</v>
      </c>
      <c r="P34" s="50">
        <f t="shared" si="2"/>
        <v>45.435889333614213</v>
      </c>
      <c r="Q34" s="50">
        <f t="shared" si="3"/>
        <v>49.917299692896158</v>
      </c>
    </row>
    <row r="35" spans="1:17">
      <c r="A35" s="78"/>
      <c r="B35" s="46" t="str">
        <f t="shared" si="27"/>
        <v>CWF</v>
      </c>
      <c r="C35" s="79"/>
      <c r="D35" s="46">
        <f t="shared" si="27"/>
        <v>1201</v>
      </c>
      <c r="E35" s="46">
        <f t="shared" si="27"/>
        <v>1210.5</v>
      </c>
      <c r="F35" s="46">
        <f t="shared" si="27"/>
        <v>650</v>
      </c>
      <c r="G35" s="5">
        <f t="shared" si="28"/>
        <v>60.561684965270018</v>
      </c>
      <c r="H35" s="5">
        <f t="shared" si="28"/>
        <v>69.119314362536429</v>
      </c>
      <c r="I35" s="5">
        <f t="shared" si="28"/>
        <v>39.402711180820084</v>
      </c>
      <c r="J35" s="96"/>
      <c r="M35" s="46">
        <f t="shared" si="0"/>
        <v>20.007237844982001</v>
      </c>
      <c r="N35" s="46">
        <f t="shared" si="5"/>
        <v>32</v>
      </c>
      <c r="O35" s="50">
        <f t="shared" si="1"/>
        <v>65.360393171152921</v>
      </c>
      <c r="P35" s="50">
        <f t="shared" si="2"/>
        <v>45.353155326170921</v>
      </c>
      <c r="Q35" s="50">
        <f t="shared" si="3"/>
        <v>49.610413578771215</v>
      </c>
    </row>
    <row r="36" spans="1:17">
      <c r="A36" s="78"/>
      <c r="B36" s="46" t="str">
        <f t="shared" si="27"/>
        <v>D65</v>
      </c>
      <c r="C36" s="79"/>
      <c r="D36" s="46">
        <f t="shared" si="27"/>
        <v>512.9</v>
      </c>
      <c r="E36" s="46">
        <f t="shared" si="27"/>
        <v>579.90000000000009</v>
      </c>
      <c r="F36" s="46">
        <f t="shared" si="27"/>
        <v>533.20000000000005</v>
      </c>
      <c r="G36" s="5">
        <f t="shared" si="28"/>
        <v>27.929845395473905</v>
      </c>
      <c r="H36" s="5">
        <f t="shared" si="28"/>
        <v>35.170916423930102</v>
      </c>
      <c r="I36" s="5">
        <f t="shared" si="28"/>
        <v>29.998722832175673</v>
      </c>
      <c r="J36" s="96"/>
      <c r="M36" s="46">
        <f t="shared" si="0"/>
        <v>18.057396428043369</v>
      </c>
      <c r="N36" s="46">
        <f t="shared" si="5"/>
        <v>33</v>
      </c>
      <c r="O36" s="50">
        <f t="shared" si="1"/>
        <v>63.32781774677099</v>
      </c>
      <c r="P36" s="50">
        <f t="shared" si="2"/>
        <v>45.270421318727621</v>
      </c>
      <c r="Q36" s="50">
        <f t="shared" si="3"/>
        <v>49.30352746464628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556.04999999999995</v>
      </c>
      <c r="E37" s="46">
        <f t="shared" si="27"/>
        <v>516</v>
      </c>
      <c r="F37" s="46">
        <f t="shared" si="27"/>
        <v>156.5</v>
      </c>
      <c r="G37" s="5">
        <f t="shared" ref="G37:I39" si="29">G28*$J$37</f>
        <v>90.252642960115324</v>
      </c>
      <c r="H37" s="5">
        <f t="shared" si="29"/>
        <v>28.739668428640076</v>
      </c>
      <c r="I37" s="5">
        <f t="shared" si="29"/>
        <v>42.857400288322921</v>
      </c>
      <c r="J37" s="96">
        <f>J$22/J28</f>
        <v>1.0084094185487746</v>
      </c>
      <c r="K37" s="51" t="str">
        <f>CHAR(34) &amp; "EEpromVersion" &amp;CHAR(34)  &amp; ",3,"</f>
        <v>"EEpromVersion",3,</v>
      </c>
      <c r="M37" s="46">
        <f t="shared" si="0"/>
        <v>16.107555011104722</v>
      </c>
      <c r="N37" s="46">
        <f t="shared" si="5"/>
        <v>34</v>
      </c>
      <c r="O37" s="50">
        <f t="shared" si="1"/>
        <v>61.295242322389043</v>
      </c>
      <c r="P37" s="50">
        <f t="shared" si="2"/>
        <v>45.187687311284321</v>
      </c>
      <c r="Q37" s="50">
        <f t="shared" si="3"/>
        <v>48.996641350521344</v>
      </c>
    </row>
    <row r="38" spans="1:17">
      <c r="A38" s="78"/>
      <c r="B38" s="46" t="str">
        <f t="shared" si="27"/>
        <v>CWF</v>
      </c>
      <c r="C38" s="79"/>
      <c r="D38" s="46">
        <f t="shared" si="27"/>
        <v>1201</v>
      </c>
      <c r="E38" s="46">
        <f t="shared" si="27"/>
        <v>1210.5</v>
      </c>
      <c r="F38" s="46">
        <f t="shared" si="27"/>
        <v>650</v>
      </c>
      <c r="G38" s="5">
        <f t="shared" si="29"/>
        <v>57.882700624699666</v>
      </c>
      <c r="H38" s="5">
        <f t="shared" si="29"/>
        <v>69.882772705430085</v>
      </c>
      <c r="I38" s="5">
        <f t="shared" si="29"/>
        <v>39.529649207111966</v>
      </c>
      <c r="J38" s="96"/>
      <c r="K38" s="52" t="str">
        <f>K4</f>
        <v>"Compensation",42,</v>
      </c>
      <c r="M38" s="46">
        <f t="shared" si="0"/>
        <v>14.15771359416609</v>
      </c>
      <c r="N38" s="46">
        <f t="shared" si="5"/>
        <v>35</v>
      </c>
      <c r="O38" s="50">
        <f t="shared" si="1"/>
        <v>59.262666898007112</v>
      </c>
      <c r="P38" s="50">
        <f t="shared" si="2"/>
        <v>45.104953303841022</v>
      </c>
      <c r="Q38" s="50">
        <f t="shared" si="3"/>
        <v>48.689755236396408</v>
      </c>
    </row>
    <row r="39" spans="1:17">
      <c r="A39" s="78"/>
      <c r="B39" s="46" t="str">
        <f t="shared" si="27"/>
        <v>D65</v>
      </c>
      <c r="C39" s="79"/>
      <c r="D39" s="46">
        <f t="shared" si="27"/>
        <v>512.9</v>
      </c>
      <c r="E39" s="46">
        <f t="shared" si="27"/>
        <v>579.90000000000009</v>
      </c>
      <c r="F39" s="46">
        <f t="shared" si="27"/>
        <v>533.20000000000005</v>
      </c>
      <c r="G39" s="5">
        <f t="shared" si="29"/>
        <v>26.823690533397407</v>
      </c>
      <c r="H39" s="5">
        <f t="shared" si="29"/>
        <v>34.689283998077848</v>
      </c>
      <c r="I39" s="5">
        <f t="shared" si="29"/>
        <v>29.04219125420471</v>
      </c>
      <c r="J39" s="96"/>
      <c r="K39" s="53" t="str">
        <f>linefmt("CardGain",J42,J45,J48)</f>
        <v>"CardGain",17.74184,18.3093,17.56559,</v>
      </c>
      <c r="M39" s="46">
        <f t="shared" si="0"/>
        <v>12.207872177227436</v>
      </c>
      <c r="N39" s="46">
        <f t="shared" si="5"/>
        <v>36</v>
      </c>
      <c r="O39" s="50">
        <f t="shared" si="1"/>
        <v>57.230091473625166</v>
      </c>
      <c r="P39" s="50">
        <f t="shared" si="2"/>
        <v>45.022219296397729</v>
      </c>
      <c r="Q39" s="50">
        <f t="shared" si="3"/>
        <v>48.382869122271465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"Range",1,0.9403988,1.008409,</v>
      </c>
      <c r="M40" s="46">
        <f t="shared" si="0"/>
        <v>10.258030760288804</v>
      </c>
      <c r="N40" s="46">
        <f t="shared" si="5"/>
        <v>37</v>
      </c>
      <c r="O40" s="50">
        <f t="shared" si="1"/>
        <v>55.197516049243234</v>
      </c>
      <c r="P40" s="50">
        <f t="shared" si="2"/>
        <v>44.93948528895443</v>
      </c>
      <c r="Q40" s="50">
        <f t="shared" si="3"/>
        <v>48.07598300814653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8.3081893433501719</v>
      </c>
      <c r="N41" s="46">
        <f t="shared" si="5"/>
        <v>38</v>
      </c>
      <c r="O41" s="50">
        <f t="shared" si="1"/>
        <v>53.164940624861302</v>
      </c>
      <c r="P41" s="50">
        <f t="shared" si="2"/>
        <v>44.85675128151113</v>
      </c>
      <c r="Q41" s="50">
        <f t="shared" si="3"/>
        <v>47.769096894021594</v>
      </c>
    </row>
    <row r="42" spans="1:17">
      <c r="A42" s="4"/>
      <c r="B42" s="46" t="s">
        <v>3</v>
      </c>
      <c r="C42" s="79">
        <f>C31</f>
        <v>0</v>
      </c>
      <c r="D42" s="46">
        <f>I42/$H$43</f>
        <v>0.21618176430137942</v>
      </c>
      <c r="E42" s="46">
        <f>H42/$H$43</f>
        <v>1.0158365995700014</v>
      </c>
      <c r="F42" s="46">
        <f>G42/$H$43</f>
        <v>-0.41780002642357322</v>
      </c>
      <c r="G42" s="46">
        <f t="array" ref="G42:I42">LINEST($D31:$D33,$G31:$I33,FALSE)</f>
        <v>-7.4125399642109908</v>
      </c>
      <c r="H42" s="46">
        <v>18.022807360444858</v>
      </c>
      <c r="I42" s="46">
        <v>3.8354616229559952</v>
      </c>
      <c r="J42" s="97">
        <f>H43</f>
        <v>17.741836992360607</v>
      </c>
      <c r="K42" s="53" t="str">
        <f t="shared" ref="K42:K50" si="30">linefmt("",D42,E42,F42)</f>
        <v>0.2161818,1.015837,-0.4178,</v>
      </c>
      <c r="M42" s="46">
        <f t="shared" si="0"/>
        <v>6.3583479264115184</v>
      </c>
      <c r="N42" s="46">
        <f t="shared" si="5"/>
        <v>39</v>
      </c>
      <c r="O42" s="50">
        <f t="shared" si="1"/>
        <v>51.132365200479356</v>
      </c>
      <c r="P42" s="50">
        <f t="shared" si="2"/>
        <v>44.774017274067837</v>
      </c>
      <c r="Q42" s="50">
        <f t="shared" si="3"/>
        <v>47.462210779896651</v>
      </c>
    </row>
    <row r="43" spans="1:17">
      <c r="A43" s="4"/>
      <c r="B43" s="46" t="s">
        <v>4</v>
      </c>
      <c r="C43" s="79"/>
      <c r="D43" s="46">
        <f>I43/$H$43</f>
        <v>4.9832068211084192E-2</v>
      </c>
      <c r="E43" s="46">
        <f>H43/$H$43</f>
        <v>1</v>
      </c>
      <c r="F43" s="46">
        <f>G43/$H$43</f>
        <v>-0.11750541775402815</v>
      </c>
      <c r="G43" s="46">
        <f t="array" ref="G43:I43">LINEST($E31:$E33,$G31:$I33,FALSE)</f>
        <v>-2.0847619675112035</v>
      </c>
      <c r="H43" s="46">
        <v>17.741836992360607</v>
      </c>
      <c r="I43" s="46">
        <v>0.88411243119325056</v>
      </c>
      <c r="J43" s="97"/>
      <c r="K43" s="53" t="str">
        <f t="shared" si="30"/>
        <v>4.983207E-02,1,-0.1175054,</v>
      </c>
      <c r="M43" s="46">
        <f t="shared" si="0"/>
        <v>4.4085065094728861</v>
      </c>
      <c r="N43" s="46">
        <f t="shared" si="5"/>
        <v>40</v>
      </c>
      <c r="O43" s="50">
        <f t="shared" si="1"/>
        <v>49.099789776097424</v>
      </c>
      <c r="P43" s="50">
        <f t="shared" si="2"/>
        <v>44.691283266624538</v>
      </c>
      <c r="Q43" s="50">
        <f t="shared" si="3"/>
        <v>47.155324665771715</v>
      </c>
    </row>
    <row r="44" spans="1:17">
      <c r="A44" s="4"/>
      <c r="B44" s="46" t="s">
        <v>5</v>
      </c>
      <c r="C44" s="79"/>
      <c r="D44" s="46">
        <f>I44/$H$43</f>
        <v>-0.5352052008202195</v>
      </c>
      <c r="E44" s="46">
        <f>H44/$H$43</f>
        <v>0.42179549845253683</v>
      </c>
      <c r="F44" s="46">
        <f>G44/$H$43</f>
        <v>1.0150315805192851</v>
      </c>
      <c r="G44" s="46">
        <f t="array" ref="G44:I44">LINEST($F$31:$F$33,$G31:$I33,FALSE)</f>
        <v>18.008524843671307</v>
      </c>
      <c r="H44" s="46">
        <v>7.4834269776563991</v>
      </c>
      <c r="I44" s="46">
        <v>-9.4955234304159575</v>
      </c>
      <c r="J44" s="97"/>
      <c r="K44" s="53" t="str">
        <f t="shared" si="30"/>
        <v>-0.5352052,0.4217955,1.015032,</v>
      </c>
      <c r="M44" s="46">
        <f t="shared" si="0"/>
        <v>2.4586650925342397</v>
      </c>
      <c r="N44" s="46">
        <f t="shared" si="5"/>
        <v>41</v>
      </c>
      <c r="O44" s="50">
        <f t="shared" si="1"/>
        <v>47.067214351715478</v>
      </c>
      <c r="P44" s="50">
        <f t="shared" si="2"/>
        <v>44.608549259181238</v>
      </c>
      <c r="Q44" s="50">
        <f t="shared" si="3"/>
        <v>46.84843855164678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0.23099636755956382</v>
      </c>
      <c r="E45" s="46">
        <f>H45/$H$46</f>
        <v>1.0157952277255613</v>
      </c>
      <c r="F45" s="46">
        <f>G45/$H$46</f>
        <v>-0.47218840131317297</v>
      </c>
      <c r="G45" s="46">
        <f t="array" ref="G45:I45">LINEST($D34:$D36,$G34:$I36,FALSE)</f>
        <v>-8.6454370377612761</v>
      </c>
      <c r="H45" s="46">
        <v>18.59849513485862</v>
      </c>
      <c r="I45" s="46">
        <v>4.2293807855802088</v>
      </c>
      <c r="J45" s="97">
        <f>H46</f>
        <v>18.30929564071884</v>
      </c>
      <c r="K45" s="53" t="str">
        <f t="shared" si="30"/>
        <v>0.2309964,1.015795,-0.4721884,</v>
      </c>
      <c r="M45" s="46">
        <f t="shared" si="0"/>
        <v>2.0157371857838982</v>
      </c>
      <c r="N45" s="46">
        <f t="shared" si="5"/>
        <v>42</v>
      </c>
      <c r="O45" s="50">
        <f t="shared" si="1"/>
        <v>45.034638927333546</v>
      </c>
      <c r="P45" s="50">
        <f t="shared" si="2"/>
        <v>44.525815251737946</v>
      </c>
      <c r="Q45" s="50">
        <f t="shared" si="3"/>
        <v>46.541552437521844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6.6585652754279481E-2</v>
      </c>
      <c r="E46" s="46">
        <f>H46/$H$46</f>
        <v>1</v>
      </c>
      <c r="F46" s="46">
        <f>G46/$H$46</f>
        <v>-0.17861450749939056</v>
      </c>
      <c r="G46" s="46">
        <f t="array" ref="G46:I46">LINEST($E34:$E36,$G34:$I36,FALSE)</f>
        <v>-3.270305823527734</v>
      </c>
      <c r="H46" s="46">
        <v>18.30929564071884</v>
      </c>
      <c r="I46" s="46">
        <v>1.2191364017083477</v>
      </c>
      <c r="J46" s="97"/>
      <c r="K46" s="53" t="str">
        <f t="shared" si="30"/>
        <v>6.658565E-02,1,-0.1786145,</v>
      </c>
      <c r="M46" s="46">
        <f t="shared" si="0"/>
        <v>3.2326028204452868</v>
      </c>
      <c r="N46" s="46">
        <f t="shared" si="5"/>
        <v>43</v>
      </c>
      <c r="O46" s="50">
        <f t="shared" si="1"/>
        <v>43.002063502951614</v>
      </c>
      <c r="P46" s="50">
        <f t="shared" si="2"/>
        <v>44.443081244294646</v>
      </c>
      <c r="Q46" s="50">
        <f t="shared" si="3"/>
        <v>46.234666323396901</v>
      </c>
    </row>
    <row r="47" spans="1:17">
      <c r="A47" s="4"/>
      <c r="B47" s="46" t="str">
        <f t="shared" si="31"/>
        <v>Z</v>
      </c>
      <c r="C47" s="79"/>
      <c r="D47" s="46">
        <f>I47/$H$46</f>
        <v>-0.52042355738689805</v>
      </c>
      <c r="E47" s="46">
        <f>H47/$H$46</f>
        <v>0.42210900808715229</v>
      </c>
      <c r="F47" s="46">
        <f>G47/$H$46</f>
        <v>0.96041449363878817</v>
      </c>
      <c r="G47" s="46">
        <f t="array" ref="G47:I47">LINEST($F$31:$F$33,$G34:$I36,FALSE)</f>
        <v>17.584512901663857</v>
      </c>
      <c r="H47" s="46">
        <v>7.7285186216782513</v>
      </c>
      <c r="I47" s="46">
        <v>-9.5285887705913233</v>
      </c>
      <c r="J47" s="97"/>
      <c r="K47" s="53" t="str">
        <f t="shared" si="30"/>
        <v>-0.5204235,0.422109,0.9604145,</v>
      </c>
      <c r="M47" s="46">
        <f t="shared" si="0"/>
        <v>4.9582921307022971</v>
      </c>
      <c r="N47" s="46">
        <f t="shared" si="5"/>
        <v>44</v>
      </c>
      <c r="O47" s="50">
        <f t="shared" si="1"/>
        <v>40.969488078569668</v>
      </c>
      <c r="P47" s="50">
        <f t="shared" si="2"/>
        <v>44.360347236851347</v>
      </c>
      <c r="Q47" s="50">
        <f t="shared" si="3"/>
        <v>45.927780209271965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0.235574149340286</v>
      </c>
      <c r="E48" s="46">
        <f>H48/$H$49</f>
        <v>1.0409139610248122</v>
      </c>
      <c r="F48" s="46">
        <f>G48/$H$49</f>
        <v>-0.45548907602395622</v>
      </c>
      <c r="G48" s="46">
        <f t="array" ref="G48:I48">LINEST($D37:$D39,$G37:$I39,FALSE)</f>
        <v>-8.0009359610022752</v>
      </c>
      <c r="H48" s="46">
        <v>18.284271525832857</v>
      </c>
      <c r="I48" s="46">
        <v>4.1379997504925541</v>
      </c>
      <c r="J48" s="97">
        <f>H49</f>
        <v>17.565593517288811</v>
      </c>
      <c r="K48" s="53" t="str">
        <f t="shared" si="30"/>
        <v>0.2355742,1.040914,-0.4554891,</v>
      </c>
      <c r="M48" s="46">
        <f t="shared" si="0"/>
        <v>6.6839814409592933</v>
      </c>
      <c r="N48" s="46">
        <f t="shared" si="5"/>
        <v>45</v>
      </c>
      <c r="O48" s="50">
        <f t="shared" si="1"/>
        <v>38.936912654187736</v>
      </c>
      <c r="P48" s="50">
        <f t="shared" si="2"/>
        <v>44.277613229408047</v>
      </c>
      <c r="Q48" s="50">
        <f t="shared" si="3"/>
        <v>45.62089409514703</v>
      </c>
    </row>
    <row r="49" spans="1:24">
      <c r="A49" s="4"/>
      <c r="B49" s="46" t="str">
        <f t="shared" si="31"/>
        <v>Y</v>
      </c>
      <c r="C49" s="79"/>
      <c r="D49" s="46">
        <f>I49/$H$49</f>
        <v>6.1359520213319044E-2</v>
      </c>
      <c r="E49" s="46">
        <f>H49/$H$49</f>
        <v>1</v>
      </c>
      <c r="F49" s="46">
        <f>G49/$H$49</f>
        <v>-0.11437741592216247</v>
      </c>
      <c r="G49" s="46">
        <f t="array" ref="G49:I49">LINEST($E37:$E39,$G37:$I39,FALSE)</f>
        <v>-2.0091071956465831</v>
      </c>
      <c r="H49" s="46">
        <v>17.565593517288811</v>
      </c>
      <c r="I49" s="46">
        <v>1.0778163904830287</v>
      </c>
      <c r="J49" s="97"/>
      <c r="K49" s="53" t="str">
        <f t="shared" si="30"/>
        <v>6.135952E-02,1,-0.1143774,</v>
      </c>
      <c r="M49" s="46">
        <f t="shared" si="0"/>
        <v>8.4096707512162965</v>
      </c>
      <c r="N49" s="46">
        <f t="shared" si="5"/>
        <v>46</v>
      </c>
      <c r="O49" s="50">
        <f t="shared" si="1"/>
        <v>36.90433722980579</v>
      </c>
      <c r="P49" s="50">
        <f t="shared" si="2"/>
        <v>44.194879221964754</v>
      </c>
      <c r="Q49" s="50">
        <f t="shared" si="3"/>
        <v>45.314007981022087</v>
      </c>
    </row>
    <row r="50" spans="1:24">
      <c r="A50" s="4"/>
      <c r="B50" s="46" t="str">
        <f t="shared" si="31"/>
        <v>Z</v>
      </c>
      <c r="C50" s="79"/>
      <c r="D50" s="46">
        <f>I50/$H$49</f>
        <v>-0.55897699899609909</v>
      </c>
      <c r="E50" s="46">
        <f>H50/$H$49</f>
        <v>0.33682490427388123</v>
      </c>
      <c r="F50" s="46">
        <f>G50/$H$49</f>
        <v>1.1591551936836195</v>
      </c>
      <c r="G50" s="46">
        <f t="array" ref="G50:I50">LINEST($F$31:$F$33,$G37:$I39,FALSE)</f>
        <v>20.361248955700642</v>
      </c>
      <c r="H50" s="46">
        <v>5.9165293549747124</v>
      </c>
      <c r="I50" s="46">
        <v>-9.8187627498794328</v>
      </c>
      <c r="J50" s="97"/>
      <c r="K50" s="54" t="str">
        <f t="shared" si="30"/>
        <v>-0.558977,0.3368249,1.159155,</v>
      </c>
      <c r="M50" s="46">
        <f t="shared" si="0"/>
        <v>10.135360061473293</v>
      </c>
      <c r="N50" s="46">
        <f t="shared" si="5"/>
        <v>47</v>
      </c>
      <c r="O50" s="50">
        <f t="shared" si="1"/>
        <v>34.871761805423859</v>
      </c>
      <c r="P50" s="50">
        <f t="shared" si="2"/>
        <v>44.112145214521455</v>
      </c>
      <c r="Q50" s="50">
        <f t="shared" si="3"/>
        <v>45.007121866897151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0.22758409373374308</v>
      </c>
      <c r="E51" s="46">
        <f t="shared" ref="E51:F51" si="32">(E42+E45+E48)/3</f>
        <v>1.0241819294401251</v>
      </c>
      <c r="F51" s="46">
        <f t="shared" si="32"/>
        <v>-0.44849250125356749</v>
      </c>
      <c r="J51" s="97">
        <f>(J42+J45+J48)/3</f>
        <v>17.872242050122754</v>
      </c>
      <c r="M51" s="46">
        <f t="shared" si="0"/>
        <v>11.861049371730303</v>
      </c>
      <c r="N51" s="46">
        <f t="shared" si="5"/>
        <v>48</v>
      </c>
      <c r="O51" s="50">
        <f t="shared" si="1"/>
        <v>32.839186381041912</v>
      </c>
      <c r="P51" s="50">
        <f t="shared" si="2"/>
        <v>44.029411207078155</v>
      </c>
      <c r="Q51" s="50">
        <f t="shared" si="3"/>
        <v>44.700235752772215</v>
      </c>
    </row>
    <row r="52" spans="1:24">
      <c r="B52" s="46" t="str">
        <f t="shared" si="31"/>
        <v>Y</v>
      </c>
      <c r="C52" s="79"/>
      <c r="D52" s="46">
        <f t="shared" ref="D52:F53" si="33">(D43+D46+D49)/3</f>
        <v>5.9259080392894237E-2</v>
      </c>
      <c r="E52" s="46">
        <f t="shared" si="33"/>
        <v>1</v>
      </c>
      <c r="F52" s="46">
        <f t="shared" si="33"/>
        <v>-0.13683244705852704</v>
      </c>
      <c r="J52" s="97"/>
      <c r="M52" s="46">
        <f t="shared" si="0"/>
        <v>13.586738681987299</v>
      </c>
      <c r="N52" s="46">
        <f t="shared" si="5"/>
        <v>49</v>
      </c>
      <c r="O52" s="50">
        <f t="shared" si="1"/>
        <v>30.806610956659981</v>
      </c>
      <c r="P52" s="50">
        <f t="shared" si="2"/>
        <v>43.946677199634863</v>
      </c>
      <c r="Q52" s="50">
        <f t="shared" si="3"/>
        <v>44.39334963864728</v>
      </c>
    </row>
    <row r="53" spans="1:24" ht="15.75" thickBot="1">
      <c r="B53" s="46" t="str">
        <f t="shared" si="31"/>
        <v>Z</v>
      </c>
      <c r="C53" s="79"/>
      <c r="D53" s="46">
        <f t="shared" si="33"/>
        <v>-0.53820191906773884</v>
      </c>
      <c r="E53" s="46">
        <f t="shared" si="33"/>
        <v>0.39357647027119008</v>
      </c>
      <c r="F53" s="46">
        <f t="shared" si="33"/>
        <v>1.0448670892805643</v>
      </c>
      <c r="J53" s="100"/>
      <c r="M53" s="46">
        <f t="shared" si="0"/>
        <v>15.312427992244288</v>
      </c>
      <c r="N53" s="46">
        <f t="shared" si="5"/>
        <v>50</v>
      </c>
      <c r="O53" s="50">
        <f t="shared" si="1"/>
        <v>28.774035532278049</v>
      </c>
      <c r="P53" s="50">
        <f t="shared" si="2"/>
        <v>43.863943192191563</v>
      </c>
      <c r="Q53" s="50">
        <f t="shared" si="3"/>
        <v>44.086463524522337</v>
      </c>
    </row>
    <row r="54" spans="1:24">
      <c r="B54" s="79" t="s">
        <v>14</v>
      </c>
      <c r="C54" s="79"/>
      <c r="D54" s="19">
        <f>I54/$H$55</f>
        <v>0.22743115783681042</v>
      </c>
      <c r="E54" s="20">
        <f>H54/$H$55</f>
        <v>1.0236769408127717</v>
      </c>
      <c r="F54" s="21">
        <f>G54/$H$55</f>
        <v>-0.44753432947855148</v>
      </c>
      <c r="G54" s="46">
        <f t="array" ref="G54:I54">LINEST(D$31:D$39,$G$31:$I$39,FALSE)</f>
        <v>-7.9945921820400603</v>
      </c>
      <c r="H54" s="46">
        <v>18.286596421534831</v>
      </c>
      <c r="I54" s="46">
        <v>4.0627483449437225</v>
      </c>
      <c r="J54" s="98">
        <f>H55</f>
        <v>17.863640072829785</v>
      </c>
      <c r="M54" s="46">
        <f t="shared" si="0"/>
        <v>17.039749076852161</v>
      </c>
      <c r="N54" s="46">
        <f t="shared" si="5"/>
        <v>51</v>
      </c>
      <c r="O54" s="50">
        <f t="shared" si="1"/>
        <v>26.741460107896103</v>
      </c>
      <c r="P54" s="50">
        <f t="shared" si="2"/>
        <v>43.781209184748263</v>
      </c>
      <c r="Q54" s="50">
        <f t="shared" si="3"/>
        <v>43.779577410397401</v>
      </c>
    </row>
    <row r="55" spans="1:24" ht="15" customHeight="1">
      <c r="B55" s="79"/>
      <c r="C55" s="79"/>
      <c r="D55" s="22">
        <f>I55/$H$55</f>
        <v>6.0520441644105312E-2</v>
      </c>
      <c r="E55" s="18">
        <f>H55/$H$55</f>
        <v>1</v>
      </c>
      <c r="F55" s="23">
        <f>G55/$H$55</f>
        <v>-0.13869188946912114</v>
      </c>
      <c r="G55" s="46">
        <f t="array" ref="G55:I55">LINEST(E$31:E$39,$G$31:$I$39,FALSE)</f>
        <v>-2.4775419944970718</v>
      </c>
      <c r="H55" s="46">
        <v>17.863640072829785</v>
      </c>
      <c r="I55" s="46">
        <v>1.0811153865789962</v>
      </c>
      <c r="J55" s="98"/>
      <c r="M55" s="46">
        <f t="shared" si="0"/>
        <v>18.9895904937908</v>
      </c>
      <c r="N55" s="46">
        <f t="shared" si="5"/>
        <v>52</v>
      </c>
      <c r="O55" s="50">
        <f t="shared" si="1"/>
        <v>24.708884683514171</v>
      </c>
      <c r="P55" s="50">
        <f t="shared" si="2"/>
        <v>43.698475177304971</v>
      </c>
      <c r="Q55" s="50">
        <f t="shared" si="3"/>
        <v>43.472691296272458</v>
      </c>
    </row>
    <row r="56" spans="1:24" ht="15" customHeight="1" thickBot="1">
      <c r="B56" s="79"/>
      <c r="C56" s="79"/>
      <c r="D56" s="24">
        <f>I56/$H$55</f>
        <v>-0.53281297606585376</v>
      </c>
      <c r="E56" s="25">
        <f>H56/$H$55</f>
        <v>0.39540995156055114</v>
      </c>
      <c r="F56" s="26">
        <f>G56/$H$55</f>
        <v>1.0342969307385323</v>
      </c>
      <c r="G56" s="46">
        <f t="array" ref="G56:I56">LINEST(F$31:F$39,$G$31:$I$39,FALSE)</f>
        <v>18.476308099145701</v>
      </c>
      <c r="H56" s="46">
        <v>7.0634610558927458</v>
      </c>
      <c r="I56" s="46">
        <v>-9.5179792305736832</v>
      </c>
      <c r="J56" s="98"/>
      <c r="M56" s="46">
        <f t="shared" si="0"/>
        <v>20.939431910729446</v>
      </c>
      <c r="N56" s="46">
        <f t="shared" si="5"/>
        <v>53</v>
      </c>
      <c r="O56" s="50">
        <f t="shared" si="1"/>
        <v>22.676309259132225</v>
      </c>
      <c r="P56" s="50">
        <f t="shared" si="2"/>
        <v>43.615741169861671</v>
      </c>
      <c r="Q56" s="50">
        <f t="shared" si="3"/>
        <v>43.165805182147523</v>
      </c>
    </row>
    <row r="57" spans="1:24">
      <c r="M57" s="46">
        <f t="shared" si="0"/>
        <v>22.889273327668079</v>
      </c>
      <c r="N57" s="46">
        <f t="shared" si="5"/>
        <v>54</v>
      </c>
      <c r="O57" s="50">
        <f t="shared" si="1"/>
        <v>20.643733834750293</v>
      </c>
      <c r="P57" s="50">
        <f t="shared" si="2"/>
        <v>43.533007162418372</v>
      </c>
      <c r="Q57" s="50">
        <f t="shared" si="3"/>
        <v>42.858919068022587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24.839114744606711</v>
      </c>
      <c r="N58" s="46">
        <f t="shared" si="5"/>
        <v>55</v>
      </c>
      <c r="O58" s="50">
        <f t="shared" si="1"/>
        <v>18.611158410368361</v>
      </c>
      <c r="P58" s="50">
        <f t="shared" si="2"/>
        <v>43.450273154975072</v>
      </c>
      <c r="Q58" s="50">
        <f t="shared" si="3"/>
        <v>42.552032953897651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26.788956161545364</v>
      </c>
      <c r="N59" s="46">
        <f t="shared" si="5"/>
        <v>56</v>
      </c>
      <c r="O59" s="50">
        <f t="shared" si="1"/>
        <v>16.578582985986415</v>
      </c>
      <c r="P59" s="50">
        <f t="shared" si="2"/>
        <v>43.36753914753178</v>
      </c>
      <c r="Q59" s="50">
        <f t="shared" si="3"/>
        <v>42.245146839772715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516</v>
      </c>
      <c r="E60" s="32">
        <f t="shared" ref="E60:E68" si="37">getCCTfromXY(D22/SUM(D22:F22),E22/SUM(D22:F22))</f>
        <v>2884</v>
      </c>
      <c r="F60" s="31">
        <f t="shared" ref="F60:F68" si="38">V60</f>
        <v>520.1810011161765</v>
      </c>
      <c r="G60" s="32">
        <f t="shared" ref="G60:G68" si="39">getCCTfromXY(U60/X60,V60/X60)</f>
        <v>2908</v>
      </c>
      <c r="H60" s="33">
        <f>F60/D60-1</f>
        <v>8.1027153414272579E-3</v>
      </c>
      <c r="I60" s="34">
        <f t="shared" ref="I60:I68" si="40">G60/E60-1</f>
        <v>8.3217753120665705E-3</v>
      </c>
      <c r="M60" s="46">
        <f t="shared" si="0"/>
        <v>28.738797578483997</v>
      </c>
      <c r="N60" s="46">
        <f t="shared" si="5"/>
        <v>57</v>
      </c>
      <c r="O60" s="50">
        <f t="shared" si="1"/>
        <v>14.546007561604483</v>
      </c>
      <c r="P60" s="50">
        <f t="shared" si="2"/>
        <v>43.28480514008848</v>
      </c>
      <c r="Q60" s="50">
        <f t="shared" si="3"/>
        <v>41.938260725647773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559.14686784445894</v>
      </c>
      <c r="V60" s="50">
        <f>$J$54*$J$31*($D$55*G22+$E$55*H22+$F$55*I22)</f>
        <v>520.1810011161765</v>
      </c>
      <c r="W60" s="50">
        <f>$J$54*$J$31*($D$56*G22+$E$56*H22+$F$56*I22)</f>
        <v>161.64466222885321</v>
      </c>
      <c r="X60" s="29">
        <f>SUM(U60:W60)</f>
        <v>1240.9725311894886</v>
      </c>
    </row>
    <row r="61" spans="1:24">
      <c r="A61" s="87"/>
      <c r="B61" s="48" t="str">
        <f t="shared" si="35"/>
        <v>CWF</v>
      </c>
      <c r="C61" s="93"/>
      <c r="D61" s="31">
        <f t="shared" si="36"/>
        <v>1210.5</v>
      </c>
      <c r="E61" s="32">
        <f t="shared" si="37"/>
        <v>3858</v>
      </c>
      <c r="F61" s="31">
        <f t="shared" si="38"/>
        <v>1215.6023579418945</v>
      </c>
      <c r="G61" s="32">
        <f t="shared" si="39"/>
        <v>3801</v>
      </c>
      <c r="H61" s="33">
        <f t="shared" ref="H61:H68" si="41">F61/D61-1</f>
        <v>4.2150829755427388E-3</v>
      </c>
      <c r="I61" s="34">
        <f t="shared" si="40"/>
        <v>-1.4774494556765161E-2</v>
      </c>
      <c r="M61" s="46">
        <f t="shared" si="0"/>
        <v>30.688638995422643</v>
      </c>
      <c r="N61" s="46">
        <f t="shared" si="5"/>
        <v>58</v>
      </c>
      <c r="O61" s="50">
        <f t="shared" si="1"/>
        <v>12.513432137222537</v>
      </c>
      <c r="P61" s="50">
        <f t="shared" si="2"/>
        <v>43.20207113264518</v>
      </c>
      <c r="Q61" s="50">
        <f t="shared" si="3"/>
        <v>41.631374611522837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1210.4377908942338</v>
      </c>
      <c r="V61" s="50">
        <f>$J$54*$J$31*($D$55*G23+$E$55*H23+$F$55*I23)</f>
        <v>1215.6023579418945</v>
      </c>
      <c r="W61" s="50">
        <f>$J$54*$J$31*($D$56*G23+$E$56*H23+$F$56*I23)</f>
        <v>637.65592404588779</v>
      </c>
      <c r="X61" s="29">
        <f t="shared" ref="X61:X68" si="43">SUM(U61:W61)</f>
        <v>3063.6960728820163</v>
      </c>
    </row>
    <row r="62" spans="1:24">
      <c r="A62" s="87"/>
      <c r="B62" s="48" t="str">
        <f t="shared" si="35"/>
        <v>D65</v>
      </c>
      <c r="C62" s="93"/>
      <c r="D62" s="31">
        <f t="shared" si="36"/>
        <v>579.90000000000009</v>
      </c>
      <c r="E62" s="32">
        <f t="shared" si="37"/>
        <v>6321</v>
      </c>
      <c r="F62" s="31">
        <f t="shared" si="38"/>
        <v>577.91046196749369</v>
      </c>
      <c r="G62" s="32">
        <f t="shared" si="39"/>
        <v>6328</v>
      </c>
      <c r="H62" s="33">
        <f t="shared" si="41"/>
        <v>-3.4308295094092056E-3</v>
      </c>
      <c r="I62" s="34">
        <f t="shared" si="40"/>
        <v>1.1074197120708451E-3</v>
      </c>
      <c r="M62" s="46">
        <f t="shared" si="0"/>
        <v>32.638480412361282</v>
      </c>
      <c r="N62" s="46">
        <f t="shared" si="5"/>
        <v>59</v>
      </c>
      <c r="O62" s="50">
        <f t="shared" si="1"/>
        <v>10.480856712840605</v>
      </c>
      <c r="P62" s="50">
        <f t="shared" si="2"/>
        <v>43.119337125201888</v>
      </c>
      <c r="Q62" s="50">
        <f t="shared" si="3"/>
        <v>41.324488497397894</v>
      </c>
      <c r="R62" s="78"/>
      <c r="S62" s="46" t="str">
        <f t="shared" si="42"/>
        <v>D65</v>
      </c>
      <c r="T62" s="79"/>
      <c r="U62" s="50">
        <f>$J$54*$J$31*($D$54*G24+$E$54*H24+$F$54*I24)</f>
        <v>511.06602198326908</v>
      </c>
      <c r="V62" s="50">
        <f>$J$54*$J$31*($D$55*G24+$E$55*H24+$F$55*I24)</f>
        <v>577.91046196749369</v>
      </c>
      <c r="W62" s="50">
        <f>$J$54*$J$31*($D$56*G24+$E$56*H24+$F$56*I24)</f>
        <v>531.85856852586119</v>
      </c>
      <c r="X62" s="29">
        <f t="shared" si="43"/>
        <v>1620.8350524766238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516</v>
      </c>
      <c r="E63" s="32">
        <f t="shared" si="37"/>
        <v>2884</v>
      </c>
      <c r="F63" s="31">
        <f t="shared" si="38"/>
        <v>524.15703855244374</v>
      </c>
      <c r="G63" s="32">
        <f t="shared" si="39"/>
        <v>2979</v>
      </c>
      <c r="H63" s="33">
        <f t="shared" si="41"/>
        <v>1.5808214248921981E-2</v>
      </c>
      <c r="I63" s="34">
        <f t="shared" si="40"/>
        <v>3.2940360610263619E-2</v>
      </c>
      <c r="M63" s="46">
        <f t="shared" si="0"/>
        <v>34.588321829299915</v>
      </c>
      <c r="N63" s="46">
        <f t="shared" si="5"/>
        <v>60</v>
      </c>
      <c r="O63" s="50">
        <f t="shared" si="1"/>
        <v>8.4482812884586735</v>
      </c>
      <c r="P63" s="50">
        <f t="shared" si="2"/>
        <v>43.036603117758588</v>
      </c>
      <c r="Q63" s="50">
        <f t="shared" si="3"/>
        <v>41.017602383272958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559.80812267399847</v>
      </c>
      <c r="V63" s="50">
        <f>$J$54*$J$34*($D$55*G25+$E$55*H25+$F$55*I25)</f>
        <v>524.15703855244374</v>
      </c>
      <c r="W63" s="50">
        <f>$J$54*$J$34*($D$56*G25+$E$56*H25+$F$56*I25)</f>
        <v>174.94339927195529</v>
      </c>
      <c r="X63" s="29">
        <f t="shared" si="43"/>
        <v>1258.9085604983975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1210.5</v>
      </c>
      <c r="E64" s="32">
        <f t="shared" si="37"/>
        <v>3858</v>
      </c>
      <c r="F64" s="31">
        <f t="shared" si="38"/>
        <v>1202.5748516587075</v>
      </c>
      <c r="G64" s="32">
        <f t="shared" si="39"/>
        <v>3834</v>
      </c>
      <c r="H64" s="33">
        <f t="shared" si="41"/>
        <v>-6.547003999415546E-3</v>
      </c>
      <c r="I64" s="34">
        <f t="shared" si="40"/>
        <v>-6.2208398133748455E-3</v>
      </c>
      <c r="M64" s="46">
        <f t="shared" si="0"/>
        <v>36.538163246238561</v>
      </c>
      <c r="N64" s="46">
        <f t="shared" si="5"/>
        <v>61</v>
      </c>
      <c r="O64" s="50">
        <f t="shared" si="1"/>
        <v>6.4157058640767275</v>
      </c>
      <c r="P64" s="50">
        <f t="shared" si="2"/>
        <v>42.953869110315289</v>
      </c>
      <c r="Q64" s="50">
        <f t="shared" si="3"/>
        <v>40.710716269148023</v>
      </c>
      <c r="R64" s="78"/>
      <c r="S64" s="46" t="str">
        <f t="shared" si="42"/>
        <v>CWF</v>
      </c>
      <c r="T64" s="79"/>
      <c r="U64" s="50">
        <f>$J$54*$J$34*($D$54*G26+$E$54*H26+$F$54*I26)</f>
        <v>1194.9952852831868</v>
      </c>
      <c r="V64" s="50">
        <f>$J$54*$J$34*($D$55*G26+$E$55*H26+$F$55*I26)</f>
        <v>1202.5748516587075</v>
      </c>
      <c r="W64" s="50">
        <f>$J$54*$J$34*($D$56*G26+$E$56*H26+$F$56*I26)</f>
        <v>639.8133572602826</v>
      </c>
      <c r="X64" s="29">
        <f t="shared" si="43"/>
        <v>3037.3834942021767</v>
      </c>
    </row>
    <row r="65" spans="1:24">
      <c r="A65" s="87"/>
      <c r="B65" s="48" t="str">
        <f t="shared" si="35"/>
        <v>D65</v>
      </c>
      <c r="C65" s="93"/>
      <c r="D65" s="31">
        <f t="shared" si="36"/>
        <v>579.90000000000009</v>
      </c>
      <c r="E65" s="32">
        <f t="shared" si="37"/>
        <v>6321</v>
      </c>
      <c r="F65" s="31">
        <f t="shared" si="38"/>
        <v>584.15288203249099</v>
      </c>
      <c r="G65" s="32">
        <f t="shared" si="39"/>
        <v>6316</v>
      </c>
      <c r="H65" s="33">
        <f t="shared" si="41"/>
        <v>7.3338196801016053E-3</v>
      </c>
      <c r="I65" s="34">
        <f t="shared" si="40"/>
        <v>-7.9101408005066709E-4</v>
      </c>
      <c r="M65" s="46">
        <f t="shared" si="0"/>
        <v>38.488004663177193</v>
      </c>
      <c r="N65" s="46">
        <f t="shared" si="5"/>
        <v>62</v>
      </c>
      <c r="O65" s="50">
        <f t="shared" si="1"/>
        <v>4.3831304396947957</v>
      </c>
      <c r="P65" s="50">
        <f t="shared" si="2"/>
        <v>42.871135102871989</v>
      </c>
      <c r="Q65" s="50">
        <f t="shared" si="3"/>
        <v>40.403830155023087</v>
      </c>
      <c r="R65" s="78"/>
      <c r="S65" s="46" t="str">
        <f t="shared" si="42"/>
        <v>D65</v>
      </c>
      <c r="T65" s="79"/>
      <c r="U65" s="50">
        <f>$J$54*$J$34*($D$54*G27+$E$54*H27+$F$54*I27)</f>
        <v>516.80073254963816</v>
      </c>
      <c r="V65" s="50">
        <f>$J$54*$J$34*($D$55*G27+$E$55*H27+$F$55*I27)</f>
        <v>584.15288203249099</v>
      </c>
      <c r="W65" s="50">
        <f>$J$54*$J$34*($D$56*G27+$E$56*H27+$F$56*I27)</f>
        <v>536.85835570138863</v>
      </c>
      <c r="X65" s="29">
        <f t="shared" si="43"/>
        <v>1637.8119702835179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516</v>
      </c>
      <c r="E66" s="32">
        <f t="shared" si="37"/>
        <v>2884</v>
      </c>
      <c r="F66" s="31">
        <f t="shared" si="38"/>
        <v>504.78760461600621</v>
      </c>
      <c r="G66" s="32">
        <f t="shared" si="39"/>
        <v>2782</v>
      </c>
      <c r="H66" s="33">
        <f t="shared" si="41"/>
        <v>-2.172944841859259E-2</v>
      </c>
      <c r="I66" s="34">
        <f t="shared" si="40"/>
        <v>-3.5367545076282925E-2</v>
      </c>
      <c r="M66" s="46">
        <f t="shared" si="0"/>
        <v>40.437846080115833</v>
      </c>
      <c r="N66" s="46">
        <f t="shared" si="5"/>
        <v>63</v>
      </c>
      <c r="O66" s="50">
        <f t="shared" si="1"/>
        <v>2.3505550153128638</v>
      </c>
      <c r="P66" s="50">
        <f t="shared" si="2"/>
        <v>42.788401095428696</v>
      </c>
      <c r="Q66" s="50">
        <f t="shared" si="3"/>
        <v>40.096944040898151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549.59705636868455</v>
      </c>
      <c r="V66" s="50">
        <f>$J$54*$J$37*($D$55*G28+$E$55*H28+$F$55*I28)</f>
        <v>504.78760461600621</v>
      </c>
      <c r="W66" s="50">
        <f>$J$54*$J$37*($D$56*G28+$E$56*H28+$F$56*I28)</f>
        <v>135.82527956167976</v>
      </c>
      <c r="X66" s="29">
        <f t="shared" si="43"/>
        <v>1190.2099405463705</v>
      </c>
    </row>
    <row r="67" spans="1:24">
      <c r="A67" s="87"/>
      <c r="B67" s="48" t="str">
        <f t="shared" si="35"/>
        <v>CWF</v>
      </c>
      <c r="C67" s="93"/>
      <c r="D67" s="31">
        <f t="shared" si="36"/>
        <v>1210.5</v>
      </c>
      <c r="E67" s="32">
        <f t="shared" si="37"/>
        <v>3858</v>
      </c>
      <c r="F67" s="31">
        <f t="shared" si="38"/>
        <v>1213.0022112249271</v>
      </c>
      <c r="G67" s="32">
        <f t="shared" si="39"/>
        <v>3943</v>
      </c>
      <c r="H67" s="33">
        <f t="shared" si="41"/>
        <v>2.0670889920917368E-3</v>
      </c>
      <c r="I67" s="34">
        <f t="shared" si="40"/>
        <v>2.2032141005702499E-2</v>
      </c>
      <c r="R67" s="78"/>
      <c r="S67" s="46" t="str">
        <f t="shared" si="42"/>
        <v>CWF</v>
      </c>
      <c r="T67" s="79"/>
      <c r="U67" s="50">
        <f>$J$54*$J$37*($D$54*G29+$E$54*H29+$F$54*I29)</f>
        <v>1197.057482935958</v>
      </c>
      <c r="V67" s="50">
        <f>$J$54*$J$37*($D$55*G29+$E$55*H29+$F$55*I29)</f>
        <v>1213.0022112249271</v>
      </c>
      <c r="W67" s="50">
        <f>$J$54*$J$37*($D$56*G29+$E$56*H29+$F$56*I29)</f>
        <v>673.04987892895531</v>
      </c>
      <c r="X67" s="29">
        <f t="shared" si="43"/>
        <v>3083.1095730898405</v>
      </c>
    </row>
    <row r="68" spans="1:24">
      <c r="A68" s="87"/>
      <c r="B68" s="48" t="str">
        <f t="shared" si="35"/>
        <v>D65</v>
      </c>
      <c r="C68" s="93"/>
      <c r="D68" s="31">
        <f t="shared" si="36"/>
        <v>579.90000000000009</v>
      </c>
      <c r="E68" s="32">
        <f t="shared" si="37"/>
        <v>6321</v>
      </c>
      <c r="F68" s="31">
        <f t="shared" si="38"/>
        <v>576.7231398418179</v>
      </c>
      <c r="G68" s="32">
        <f t="shared" si="39"/>
        <v>6263</v>
      </c>
      <c r="H68" s="33">
        <f t="shared" si="41"/>
        <v>-5.4782896330094477E-3</v>
      </c>
      <c r="I68" s="34">
        <f t="shared" si="40"/>
        <v>-9.1757633285872719E-3</v>
      </c>
      <c r="R68" s="78"/>
      <c r="S68" s="46" t="str">
        <f t="shared" si="42"/>
        <v>D65</v>
      </c>
      <c r="T68" s="79"/>
      <c r="U68" s="50">
        <f>$J$54*$J$37*($D$54*G30+$E$54*H30+$F$54*I30)</f>
        <v>511.14636579452161</v>
      </c>
      <c r="V68" s="50">
        <f>$J$54*$J$37*($D$55*G30+$E$55*H30+$F$55*I30)</f>
        <v>576.7231398418179</v>
      </c>
      <c r="W68" s="50">
        <f>$J$54*$J$37*($D$56*G30+$E$56*H30+$F$56*I30)</f>
        <v>526.31155068001476</v>
      </c>
      <c r="X68" s="29">
        <f t="shared" si="43"/>
        <v>1614.1810563163542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2.172944841859259E-2</v>
      </c>
      <c r="G69" s="47"/>
      <c r="H69" s="36" t="str">
        <f>I59</f>
        <v>CCT</v>
      </c>
      <c r="I69" s="38">
        <f>MAX(MAX(I60:I68,-MIN(I60:I68)))</f>
        <v>3.5367545076282925E-2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516</v>
      </c>
      <c r="E72" s="31">
        <f t="shared" ref="E72:E80" si="47">E60</f>
        <v>2884</v>
      </c>
      <c r="F72" s="31">
        <f t="shared" ref="F72:F80" si="48">V72</f>
        <v>519.8773641899146</v>
      </c>
      <c r="G72" s="32">
        <f t="shared" ref="G72:G80" si="49">getCCTfromXY(U72/X72,V72/X72)</f>
        <v>2901</v>
      </c>
      <c r="H72" s="33">
        <f>F72/D72-1</f>
        <v>7.5142716858809244E-3</v>
      </c>
      <c r="I72" s="34">
        <f t="shared" ref="I72:I80" si="50">G72/E72-1</f>
        <v>5.8945908460472651E-3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559.20396726988145</v>
      </c>
      <c r="V72" s="50">
        <f>$J$51*$J$31*($D$52*G22+$E$52*H22+$F$52*I22)</f>
        <v>519.8773641899146</v>
      </c>
      <c r="W72" s="50">
        <f>$J$51*$J$31*($D$53*G22+$E$53*H22+$F$53*I22)</f>
        <v>160.34368045794989</v>
      </c>
      <c r="X72" s="29">
        <f>SUM(U72:W72)</f>
        <v>1239.4250119177459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1210.5</v>
      </c>
      <c r="E73" s="31">
        <f t="shared" si="47"/>
        <v>3858</v>
      </c>
      <c r="F73" s="31">
        <f t="shared" si="48"/>
        <v>1216.1175336968306</v>
      </c>
      <c r="G73" s="32">
        <f t="shared" si="49"/>
        <v>3798</v>
      </c>
      <c r="H73" s="33">
        <f t="shared" ref="H73:H80" si="52">F73/D73-1</f>
        <v>4.6406721989513677E-3</v>
      </c>
      <c r="I73" s="34">
        <f t="shared" si="50"/>
        <v>-1.5552099533437058E-2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1211.1457952091455</v>
      </c>
      <c r="V73" s="50">
        <f t="shared" ref="V73:V74" si="55">$J$51*$J$31*($D$52*G23+$E$52*H23+$F$52*I23)</f>
        <v>1216.1175336968306</v>
      </c>
      <c r="W73" s="50">
        <f t="shared" ref="W73:W74" si="56">$J$51*$J$31*($D$53*G23+$E$53*H23+$F$53*I23)</f>
        <v>637.21567867767703</v>
      </c>
      <c r="X73" s="29">
        <f t="shared" ref="X73:X80" si="57">SUM(U73:W73)</f>
        <v>3064.4790075836527</v>
      </c>
    </row>
    <row r="74" spans="1:24">
      <c r="A74" s="87"/>
      <c r="B74" s="48" t="str">
        <f t="shared" si="46"/>
        <v>X</v>
      </c>
      <c r="C74" s="93"/>
      <c r="D74" s="31">
        <f t="shared" si="51"/>
        <v>579.90000000000009</v>
      </c>
      <c r="E74" s="31">
        <f t="shared" si="47"/>
        <v>6321</v>
      </c>
      <c r="F74" s="31">
        <f t="shared" si="48"/>
        <v>578.55355224950176</v>
      </c>
      <c r="G74" s="32">
        <f t="shared" si="49"/>
        <v>6351</v>
      </c>
      <c r="H74" s="33">
        <f t="shared" si="52"/>
        <v>-2.3218619598177614E-3</v>
      </c>
      <c r="I74" s="34">
        <f t="shared" si="50"/>
        <v>4.7460844803037805E-3</v>
      </c>
      <c r="R74" s="78"/>
      <c r="S74" s="46" t="str">
        <f t="shared" si="53"/>
        <v>D65</v>
      </c>
      <c r="T74" s="79"/>
      <c r="U74" s="50">
        <f t="shared" si="54"/>
        <v>511.19303448684019</v>
      </c>
      <c r="V74" s="50">
        <f t="shared" si="55"/>
        <v>578.55355224950176</v>
      </c>
      <c r="W74" s="50">
        <f t="shared" si="56"/>
        <v>533.92681065876889</v>
      </c>
      <c r="X74" s="29">
        <f t="shared" si="57"/>
        <v>1623.6733973951109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516</v>
      </c>
      <c r="E75" s="31">
        <f t="shared" si="47"/>
        <v>2884</v>
      </c>
      <c r="F75" s="31">
        <f t="shared" si="48"/>
        <v>523.87933375817101</v>
      </c>
      <c r="G75" s="32">
        <f t="shared" si="49"/>
        <v>2972</v>
      </c>
      <c r="H75" s="33">
        <f t="shared" si="52"/>
        <v>1.5270026663122049E-2</v>
      </c>
      <c r="I75" s="34">
        <f t="shared" si="50"/>
        <v>3.0513176144244092E-2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559.86223627668357</v>
      </c>
      <c r="V75" s="50">
        <f>$J$51*$J$34*($D$52*G25+$E$52*H25+$F$52*I25)</f>
        <v>523.87933375817101</v>
      </c>
      <c r="W75" s="50">
        <f>$J$51*$J$34*($D$53*G25+$E$53*H25+$F$53*I25)</f>
        <v>173.75271136385481</v>
      </c>
      <c r="X75" s="29">
        <f t="shared" si="57"/>
        <v>1257.4942813987095</v>
      </c>
    </row>
    <row r="76" spans="1:24">
      <c r="A76" s="87"/>
      <c r="B76" s="48" t="str">
        <f t="shared" si="46"/>
        <v>Z</v>
      </c>
      <c r="C76" s="93"/>
      <c r="D76" s="31">
        <f t="shared" si="51"/>
        <v>1210.5</v>
      </c>
      <c r="E76" s="31">
        <f t="shared" si="47"/>
        <v>3858</v>
      </c>
      <c r="F76" s="31">
        <f t="shared" si="48"/>
        <v>1203.098117542052</v>
      </c>
      <c r="G76" s="32">
        <f t="shared" si="49"/>
        <v>3832</v>
      </c>
      <c r="H76" s="33">
        <f t="shared" si="52"/>
        <v>-6.1147314811631492E-3</v>
      </c>
      <c r="I76" s="34">
        <f t="shared" si="50"/>
        <v>-6.7392431311560363E-3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1195.6853140226301</v>
      </c>
      <c r="V76" s="50">
        <f t="shared" ref="V76:V77" si="59">$J$51*$J$34*($D$52*G26+$E$52*H26+$F$52*I26)</f>
        <v>1203.098117542052</v>
      </c>
      <c r="W76" s="50">
        <f t="shared" ref="W76:W77" si="60">$J$51*$J$34*($D$53*G26+$E$53*H26+$F$53*I26)</f>
        <v>639.46733439343018</v>
      </c>
      <c r="X76" s="29">
        <f t="shared" si="57"/>
        <v>3038.2507659581124</v>
      </c>
    </row>
    <row r="77" spans="1:24">
      <c r="A77" s="87"/>
      <c r="B77" s="48" t="str">
        <f t="shared" si="46"/>
        <v>X</v>
      </c>
      <c r="C77" s="93"/>
      <c r="D77" s="31">
        <f t="shared" si="51"/>
        <v>579.90000000000009</v>
      </c>
      <c r="E77" s="31">
        <f t="shared" si="47"/>
        <v>6321</v>
      </c>
      <c r="F77" s="31">
        <f t="shared" si="48"/>
        <v>584.80146971823183</v>
      </c>
      <c r="G77" s="32">
        <f t="shared" si="49"/>
        <v>6339</v>
      </c>
      <c r="H77" s="33">
        <f t="shared" si="52"/>
        <v>8.4522671464593024E-3</v>
      </c>
      <c r="I77" s="34">
        <f t="shared" si="50"/>
        <v>2.8476506881822683E-3</v>
      </c>
      <c r="R77" s="78"/>
      <c r="S77" s="46" t="str">
        <f t="shared" si="53"/>
        <v>D65</v>
      </c>
      <c r="T77" s="79"/>
      <c r="U77" s="50">
        <f t="shared" si="58"/>
        <v>516.92964018084524</v>
      </c>
      <c r="V77" s="50">
        <f t="shared" si="59"/>
        <v>584.80146971823183</v>
      </c>
      <c r="W77" s="50">
        <f t="shared" si="60"/>
        <v>538.94151528788404</v>
      </c>
      <c r="X77" s="29">
        <f t="shared" si="57"/>
        <v>1640.6726251869613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516</v>
      </c>
      <c r="E78" s="31">
        <f t="shared" si="47"/>
        <v>2884</v>
      </c>
      <c r="F78" s="31">
        <f t="shared" si="48"/>
        <v>504.42033501370452</v>
      </c>
      <c r="G78" s="32">
        <f t="shared" si="49"/>
        <v>2774</v>
      </c>
      <c r="H78" s="33">
        <f t="shared" si="52"/>
        <v>-2.2441211213750978E-2</v>
      </c>
      <c r="I78" s="34">
        <f t="shared" si="50"/>
        <v>-3.8141470180305115E-2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549.63385943980973</v>
      </c>
      <c r="V78" s="50">
        <f>$J$51*$J$37*($D$52*G28+$E$52*H28+$F$52*I28)</f>
        <v>504.42033501370452</v>
      </c>
      <c r="W78" s="50">
        <f>$J$51*$J$37*($D$53*G28+$E$53*H28+$F$53*I28)</f>
        <v>134.35276930078436</v>
      </c>
      <c r="X78" s="29">
        <f t="shared" si="57"/>
        <v>1188.4069637542987</v>
      </c>
    </row>
    <row r="79" spans="1:24">
      <c r="A79" s="87"/>
      <c r="B79" s="48" t="str">
        <f t="shared" si="46"/>
        <v>Z</v>
      </c>
      <c r="C79" s="93"/>
      <c r="D79" s="31">
        <f t="shared" si="51"/>
        <v>1210.5</v>
      </c>
      <c r="E79" s="31">
        <f t="shared" si="47"/>
        <v>3858</v>
      </c>
      <c r="F79" s="31">
        <f t="shared" si="48"/>
        <v>1213.5951099994729</v>
      </c>
      <c r="G79" s="32">
        <f t="shared" si="49"/>
        <v>3942</v>
      </c>
      <c r="H79" s="33">
        <f t="shared" si="52"/>
        <v>2.5568855840338856E-3</v>
      </c>
      <c r="I79" s="34">
        <f t="shared" si="50"/>
        <v>2.1772939346811793E-2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1197.7458988609148</v>
      </c>
      <c r="V79" s="50">
        <f t="shared" ref="V79:V80" si="62">$J$51*$J$37*($D$52*G29+$E$52*H29+$F$52*I29)</f>
        <v>1213.5951099994729</v>
      </c>
      <c r="W79" s="50">
        <f t="shared" ref="W79:W80" si="63">$J$51*$J$37*($D$53*G29+$E$53*H29+$F$53*I29)</f>
        <v>672.97684313704383</v>
      </c>
      <c r="X79" s="29">
        <f t="shared" si="57"/>
        <v>3084.3178519974317</v>
      </c>
    </row>
    <row r="80" spans="1:24">
      <c r="A80" s="87"/>
      <c r="B80" s="48" t="str">
        <f t="shared" si="46"/>
        <v>X</v>
      </c>
      <c r="C80" s="93"/>
      <c r="D80" s="31">
        <f t="shared" si="51"/>
        <v>579.90000000000009</v>
      </c>
      <c r="E80" s="31">
        <f t="shared" si="47"/>
        <v>6321</v>
      </c>
      <c r="F80" s="31">
        <f t="shared" si="48"/>
        <v>577.36129843829985</v>
      </c>
      <c r="G80" s="32">
        <f t="shared" si="49"/>
        <v>6285</v>
      </c>
      <c r="H80" s="33">
        <f t="shared" si="52"/>
        <v>-4.3778264557686741E-3</v>
      </c>
      <c r="I80" s="34">
        <f t="shared" si="50"/>
        <v>-5.6953013763645366E-3</v>
      </c>
      <c r="R80" s="78"/>
      <c r="S80" s="46" t="str">
        <f t="shared" si="53"/>
        <v>D65</v>
      </c>
      <c r="T80" s="79"/>
      <c r="U80" s="50">
        <f t="shared" si="61"/>
        <v>511.28156061418622</v>
      </c>
      <c r="V80" s="50">
        <f t="shared" si="62"/>
        <v>577.36129843829985</v>
      </c>
      <c r="W80" s="50">
        <f t="shared" si="63"/>
        <v>528.33124976607064</v>
      </c>
      <c r="X80" s="29">
        <f t="shared" si="57"/>
        <v>1616.9741088185567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2.2441211213750978E-2</v>
      </c>
      <c r="G81" s="47"/>
      <c r="H81" s="36" t="str">
        <f>I71</f>
        <v>CCT</v>
      </c>
      <c r="I81" s="38">
        <f>MAX(MAX(I72:I80,-MIN(I72:I80)))</f>
        <v>3.8141470180305115E-2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516</v>
      </c>
      <c r="E84" s="31">
        <f t="shared" ref="E84:E92" si="67">E72</f>
        <v>2884</v>
      </c>
      <c r="F84" s="31">
        <f t="shared" ref="F84:F92" si="68">V84</f>
        <v>515.99999999999989</v>
      </c>
      <c r="G84" s="32">
        <f t="shared" ref="G84:G92" si="69">getCCTfromXY(U84/X84,V84/X84)</f>
        <v>2884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556.04999999999973</v>
      </c>
      <c r="V84" s="50">
        <f>$J$42*$J$31*($D$43*G22+$E$43*H22+$F$43*I22)</f>
        <v>515.99999999999989</v>
      </c>
      <c r="W84" s="50">
        <f>$J$42*$J$31*($D$44*G22+$E$44*H22+$F$44*I22)</f>
        <v>156.50000000000011</v>
      </c>
      <c r="X84" s="29">
        <f>SUM(U84:W84)</f>
        <v>1228.5499999999997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1210.5</v>
      </c>
      <c r="E85" s="31">
        <f t="shared" si="67"/>
        <v>3858</v>
      </c>
      <c r="F85" s="31">
        <f t="shared" si="68"/>
        <v>1210.5</v>
      </c>
      <c r="G85" s="32">
        <f t="shared" si="69"/>
        <v>3858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1201.0000000000005</v>
      </c>
      <c r="V85" s="50">
        <f t="shared" ref="V85:V86" si="75">$J$42*$J$31*($D$43*G23+$E$43*H23+$F$43*I23)</f>
        <v>1210.5</v>
      </c>
      <c r="W85" s="50">
        <f t="shared" ref="W85:W86" si="76">$J$42*$J$31*($D$44*G23+$E$44*H23+$F$44*I23)</f>
        <v>650.00000000000011</v>
      </c>
      <c r="X85" s="29">
        <f t="shared" ref="X85:X92" si="77">SUM(U85:W85)</f>
        <v>3061.5000000000005</v>
      </c>
    </row>
    <row r="86" spans="1:24">
      <c r="A86" s="87"/>
      <c r="B86" s="48">
        <f t="shared" si="66"/>
        <v>0</v>
      </c>
      <c r="C86" s="93"/>
      <c r="D86" s="31">
        <f t="shared" si="71"/>
        <v>579.90000000000009</v>
      </c>
      <c r="E86" s="31">
        <f t="shared" si="67"/>
        <v>6321</v>
      </c>
      <c r="F86" s="31">
        <f t="shared" si="68"/>
        <v>579.90000000000009</v>
      </c>
      <c r="G86" s="32">
        <f t="shared" si="69"/>
        <v>6321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512.90000000000009</v>
      </c>
      <c r="V86" s="50">
        <f t="shared" si="75"/>
        <v>579.90000000000009</v>
      </c>
      <c r="W86" s="50">
        <f t="shared" si="76"/>
        <v>533.20000000000005</v>
      </c>
      <c r="X86" s="29">
        <f t="shared" si="77"/>
        <v>1626.0000000000002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516</v>
      </c>
      <c r="E87" s="31">
        <f t="shared" si="67"/>
        <v>2884</v>
      </c>
      <c r="F87" s="31">
        <f t="shared" si="68"/>
        <v>515.99999999999989</v>
      </c>
      <c r="G87" s="32">
        <f t="shared" si="69"/>
        <v>2884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556.04999999999973</v>
      </c>
      <c r="V87" s="50">
        <f>$J$45*$J$34*($D$46*G25+$E$46*H25+$F$46*I25)</f>
        <v>515.99999999999989</v>
      </c>
      <c r="W87" s="50">
        <f>$J$45*$J$34*($D$47*G25+$E$47*H25+$F$47*I25)</f>
        <v>156.5000000000004</v>
      </c>
      <c r="X87" s="29">
        <f t="shared" si="77"/>
        <v>1228.5500000000002</v>
      </c>
    </row>
    <row r="88" spans="1:24">
      <c r="A88" s="87"/>
      <c r="B88" s="48">
        <f t="shared" si="66"/>
        <v>0</v>
      </c>
      <c r="C88" s="93"/>
      <c r="D88" s="31">
        <f t="shared" si="71"/>
        <v>1210.5</v>
      </c>
      <c r="E88" s="31">
        <f t="shared" si="67"/>
        <v>3858</v>
      </c>
      <c r="F88" s="31">
        <f t="shared" si="68"/>
        <v>1210.5</v>
      </c>
      <c r="G88" s="32">
        <f t="shared" si="69"/>
        <v>3858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</v>
      </c>
      <c r="V88" s="50">
        <f t="shared" ref="V88:V89" si="79">$J$45*$J$34*($D$46*G26+$E$46*H26+$F$46*I26)</f>
        <v>1210.5</v>
      </c>
      <c r="W88" s="50">
        <f t="shared" ref="W88:W89" si="80">$J$45*$J$34*($D$47*G26+$E$47*H26+$F$47*I26)</f>
        <v>650</v>
      </c>
      <c r="X88" s="29">
        <f t="shared" si="77"/>
        <v>3061.5</v>
      </c>
    </row>
    <row r="89" spans="1:24">
      <c r="A89" s="87"/>
      <c r="B89" s="48" t="str">
        <f t="shared" si="66"/>
        <v>A</v>
      </c>
      <c r="C89" s="93"/>
      <c r="D89" s="31">
        <f t="shared" si="71"/>
        <v>579.90000000000009</v>
      </c>
      <c r="E89" s="31">
        <f t="shared" si="67"/>
        <v>6321</v>
      </c>
      <c r="F89" s="31">
        <f t="shared" si="68"/>
        <v>579.90000000000009</v>
      </c>
      <c r="G89" s="32">
        <f t="shared" si="69"/>
        <v>6321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512.89999999999986</v>
      </c>
      <c r="V89" s="50">
        <f t="shared" si="79"/>
        <v>579.90000000000009</v>
      </c>
      <c r="W89" s="50">
        <f t="shared" si="80"/>
        <v>533.20000000000005</v>
      </c>
      <c r="X89" s="29">
        <f t="shared" si="77"/>
        <v>1626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516</v>
      </c>
      <c r="E90" s="31">
        <f t="shared" si="67"/>
        <v>2884</v>
      </c>
      <c r="F90" s="31">
        <f t="shared" si="68"/>
        <v>515.99999999999955</v>
      </c>
      <c r="G90" s="32">
        <f t="shared" si="69"/>
        <v>2884</v>
      </c>
      <c r="H90" s="33">
        <f t="shared" si="72"/>
        <v>-8.8817841970012523E-16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556.04999999999995</v>
      </c>
      <c r="V90" s="50">
        <f>$J$48*$J$37*($D$49*G28+$E$49*H28+$F$49*I28)</f>
        <v>515.99999999999955</v>
      </c>
      <c r="W90" s="50">
        <f>$J$48*$J$37*($D$50*G28+$E$50*H28+$F$50*I28)</f>
        <v>156.49999999999991</v>
      </c>
      <c r="X90" s="29">
        <f t="shared" si="77"/>
        <v>1228.5499999999995</v>
      </c>
    </row>
    <row r="91" spans="1:24">
      <c r="A91" s="87"/>
      <c r="B91" s="48" t="str">
        <f t="shared" si="66"/>
        <v>D65</v>
      </c>
      <c r="C91" s="93"/>
      <c r="D91" s="31">
        <f t="shared" si="71"/>
        <v>1210.5</v>
      </c>
      <c r="E91" s="31">
        <f t="shared" si="67"/>
        <v>3858</v>
      </c>
      <c r="F91" s="31">
        <f t="shared" si="68"/>
        <v>1210.4999999999995</v>
      </c>
      <c r="G91" s="32">
        <f t="shared" si="69"/>
        <v>3858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</v>
      </c>
      <c r="V91" s="50">
        <f t="shared" ref="V91:V92" si="82">$J$48*$J$37*($D$49*G29+$E$49*H29+$F$49*I29)</f>
        <v>1210.4999999999995</v>
      </c>
      <c r="W91" s="50">
        <f t="shared" ref="W91:W92" si="83">$J$48*$J$37*($D$50*G29+$E$50*H29+$F$50*I29)</f>
        <v>649.99999999999989</v>
      </c>
      <c r="X91" s="29">
        <f t="shared" si="77"/>
        <v>3061.4999999999995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579.90000000000009</v>
      </c>
      <c r="E92" s="31">
        <f t="shared" si="67"/>
        <v>6321</v>
      </c>
      <c r="F92" s="31">
        <f t="shared" si="68"/>
        <v>579.89999999999986</v>
      </c>
      <c r="G92" s="32">
        <f t="shared" si="69"/>
        <v>6321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512.89999999999986</v>
      </c>
      <c r="V92" s="50">
        <f t="shared" si="82"/>
        <v>579.89999999999986</v>
      </c>
      <c r="W92" s="50">
        <f t="shared" si="83"/>
        <v>533.20000000000005</v>
      </c>
      <c r="X92" s="29">
        <f t="shared" si="77"/>
        <v>1625.9999999999998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8.8817841970012523E-16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7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2.6758456160400641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76.408352985642011</v>
      </c>
      <c r="N3" s="46">
        <v>0</v>
      </c>
      <c r="O3" s="50">
        <f>G$5-N3*G$7</f>
        <v>127.69119579500655</v>
      </c>
      <c r="P3" s="50">
        <f>H$5-N3*H$7</f>
        <v>51.282842809364546</v>
      </c>
      <c r="Q3" s="50">
        <f>I$5-N3*I$7</f>
        <v>62.596083867613928</v>
      </c>
    </row>
    <row r="4" spans="1:17">
      <c r="C4" s="46" t="s">
        <v>20</v>
      </c>
      <c r="D4" s="7">
        <v>532.70000000000005</v>
      </c>
      <c r="E4" s="7">
        <v>1196</v>
      </c>
      <c r="F4" s="7">
        <v>577.1</v>
      </c>
      <c r="G4" s="50">
        <f>AVERAGE(D4:F4)</f>
        <v>768.6</v>
      </c>
      <c r="H4" s="50">
        <f>G4</f>
        <v>768.6</v>
      </c>
      <c r="I4" s="50">
        <f>H4</f>
        <v>768.6</v>
      </c>
      <c r="K4" s="13" t="str">
        <f>linefmt("Compensation",B12)</f>
        <v>"Compensation",32,</v>
      </c>
      <c r="M4" s="46">
        <f t="shared" si="0"/>
        <v>74.023239695635738</v>
      </c>
      <c r="N4" s="46">
        <f>N3+1</f>
        <v>1</v>
      </c>
      <c r="O4" s="50">
        <f t="shared" ref="O4:O66" si="1">G$5-N4*G$7</f>
        <v>125.20799502040249</v>
      </c>
      <c r="P4" s="50">
        <f t="shared" ref="P4:P66" si="2">H$5-N4*H$7</f>
        <v>51.184755324766762</v>
      </c>
      <c r="Q4" s="50">
        <f t="shared" ref="Q4:Q66" si="3">I$5-N4*I$7</f>
        <v>62.228077775447105</v>
      </c>
    </row>
    <row r="5" spans="1:17">
      <c r="C5" s="46">
        <v>0</v>
      </c>
      <c r="D5" s="9">
        <v>88.5</v>
      </c>
      <c r="E5" s="9">
        <v>79.8</v>
      </c>
      <c r="F5" s="9">
        <v>47</v>
      </c>
      <c r="G5" s="50">
        <f>G$4/D$4*D5</f>
        <v>127.69119579500655</v>
      </c>
      <c r="H5" s="50">
        <f t="shared" ref="H5:I6" si="4">H$4/E$4*E5</f>
        <v>51.282842809364546</v>
      </c>
      <c r="I5" s="50">
        <f t="shared" si="4"/>
        <v>62.596083867613928</v>
      </c>
      <c r="K5" s="14" t="str">
        <f>linefmt("CardGain",J54)</f>
        <v>"CardGain",16.12034,</v>
      </c>
      <c r="M5" s="46">
        <f t="shared" si="0"/>
        <v>71.638126405629464</v>
      </c>
      <c r="N5" s="46">
        <f t="shared" ref="N5:N66" si="5">N4+1</f>
        <v>2</v>
      </c>
      <c r="O5" s="50">
        <f t="shared" si="1"/>
        <v>122.72479424579845</v>
      </c>
      <c r="P5" s="50">
        <f t="shared" si="2"/>
        <v>51.086667840168978</v>
      </c>
      <c r="Q5" s="50">
        <f t="shared" si="3"/>
        <v>61.860071683280282</v>
      </c>
    </row>
    <row r="6" spans="1:17">
      <c r="B6" s="50">
        <f>D5/4</f>
        <v>22.125</v>
      </c>
      <c r="C6" s="7">
        <v>38</v>
      </c>
      <c r="D6" s="9">
        <v>23.1</v>
      </c>
      <c r="E6" s="9">
        <v>74</v>
      </c>
      <c r="F6" s="9">
        <v>36.5</v>
      </c>
      <c r="G6" s="50">
        <f>G$4/D$4*D6</f>
        <v>33.32956636005256</v>
      </c>
      <c r="H6" s="50">
        <f t="shared" si="4"/>
        <v>47.555518394648828</v>
      </c>
      <c r="I6" s="50">
        <f t="shared" si="4"/>
        <v>48.61185236527465</v>
      </c>
      <c r="K6" s="14" t="str">
        <f>linefmt("Range",1,J34,J37)</f>
        <v>"Range",1,0.8456886,1.156926,</v>
      </c>
      <c r="M6" s="46">
        <f t="shared" si="0"/>
        <v>69.25301311562319</v>
      </c>
      <c r="N6" s="46">
        <f t="shared" si="5"/>
        <v>3</v>
      </c>
      <c r="O6" s="50">
        <f t="shared" si="1"/>
        <v>120.24159347119439</v>
      </c>
      <c r="P6" s="50">
        <f t="shared" si="2"/>
        <v>50.988580355571202</v>
      </c>
      <c r="Q6" s="50">
        <f t="shared" si="3"/>
        <v>61.492065591113459</v>
      </c>
    </row>
    <row r="7" spans="1:17">
      <c r="C7" s="46">
        <f>C5</f>
        <v>0</v>
      </c>
      <c r="D7" s="46">
        <f t="shared" ref="D7:F8" si="6">D$4/D5</f>
        <v>6.0192090395480236</v>
      </c>
      <c r="E7" s="46">
        <f t="shared" si="6"/>
        <v>14.987468671679199</v>
      </c>
      <c r="F7" s="46">
        <f t="shared" si="6"/>
        <v>12.27872340425532</v>
      </c>
      <c r="G7" s="49">
        <f>(G5-G6)/($C6-$C5)</f>
        <v>2.4832007746040521</v>
      </c>
      <c r="H7" s="49">
        <f t="shared" ref="H7:I7" si="7">(H5-H6)/($C6-$C5)</f>
        <v>9.8087484597782035E-2</v>
      </c>
      <c r="I7" s="49">
        <f t="shared" si="7"/>
        <v>0.36800609216682306</v>
      </c>
      <c r="K7" s="14" t="str">
        <f>linefmt("CCM" )</f>
        <v>"CCM",</v>
      </c>
      <c r="M7" s="46">
        <f t="shared" si="0"/>
        <v>66.867899825616917</v>
      </c>
      <c r="N7" s="46">
        <f t="shared" si="5"/>
        <v>4</v>
      </c>
      <c r="O7" s="50">
        <f t="shared" si="1"/>
        <v>117.75839269659033</v>
      </c>
      <c r="P7" s="50">
        <f t="shared" si="2"/>
        <v>50.890492870973418</v>
      </c>
      <c r="Q7" s="50">
        <f t="shared" si="3"/>
        <v>61.124059498946636</v>
      </c>
    </row>
    <row r="8" spans="1:17">
      <c r="C8" s="46">
        <f>C6</f>
        <v>38</v>
      </c>
      <c r="D8" s="46">
        <f t="shared" si="6"/>
        <v>23.060606060606062</v>
      </c>
      <c r="E8" s="46">
        <f t="shared" si="6"/>
        <v>16.162162162162161</v>
      </c>
      <c r="F8" s="46">
        <f t="shared" si="6"/>
        <v>15.81095890410959</v>
      </c>
      <c r="K8" s="15" t="str">
        <f>linefmt("",D54,E54,F54)</f>
        <v>0.2101658,1.034178,-0.4266267,</v>
      </c>
      <c r="M8" s="46">
        <f t="shared" si="0"/>
        <v>64.482786535610657</v>
      </c>
      <c r="N8" s="46">
        <f t="shared" si="5"/>
        <v>5</v>
      </c>
      <c r="O8" s="50">
        <f t="shared" si="1"/>
        <v>115.27519192198629</v>
      </c>
      <c r="P8" s="50">
        <f t="shared" si="2"/>
        <v>50.792405386375634</v>
      </c>
      <c r="Q8" s="50">
        <f t="shared" si="3"/>
        <v>60.756053406779813</v>
      </c>
    </row>
    <row r="9" spans="1:17">
      <c r="C9" s="46" t="s">
        <v>23</v>
      </c>
      <c r="D9" s="46">
        <f>(D8-D7)/($C8-$C7)</f>
        <v>0.44845781634363258</v>
      </c>
      <c r="E9" s="46">
        <f>(E8-E7)/($C8-$C7)</f>
        <v>3.09129865916569E-2</v>
      </c>
      <c r="F9" s="46">
        <f>(F8-F7)/($C8-$C7)</f>
        <v>9.2953565785638681E-2</v>
      </c>
      <c r="K9" s="15" t="str">
        <f>linefmt("",D55,E55,F55)</f>
        <v>6.125796E-02,1,-0.1263178,</v>
      </c>
      <c r="M9" s="46">
        <f t="shared" si="0"/>
        <v>62.097673245604383</v>
      </c>
      <c r="N9" s="46">
        <f t="shared" si="5"/>
        <v>6</v>
      </c>
      <c r="O9" s="50">
        <f t="shared" si="1"/>
        <v>112.79199114738223</v>
      </c>
      <c r="P9" s="50">
        <f t="shared" si="2"/>
        <v>50.69431790177785</v>
      </c>
      <c r="Q9" s="50">
        <f t="shared" si="3"/>
        <v>60.38804731461299</v>
      </c>
    </row>
    <row r="10" spans="1:17">
      <c r="K10" s="16" t="str">
        <f>linefmt("",D56,E56,F56)</f>
        <v>-0.4670213,0.3416729,1.033044,</v>
      </c>
      <c r="M10" s="46">
        <f t="shared" si="0"/>
        <v>59.712559955598117</v>
      </c>
      <c r="N10" s="46">
        <f t="shared" si="5"/>
        <v>7</v>
      </c>
      <c r="O10" s="50">
        <f t="shared" si="1"/>
        <v>110.30879037277819</v>
      </c>
      <c r="P10" s="50">
        <f t="shared" si="2"/>
        <v>50.596230417180074</v>
      </c>
      <c r="Q10" s="50">
        <f t="shared" si="3"/>
        <v>60.020041222446167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57.327446665591843</v>
      </c>
      <c r="N11" s="46">
        <f t="shared" si="5"/>
        <v>8</v>
      </c>
      <c r="O11" s="50">
        <f t="shared" si="1"/>
        <v>107.82558959817413</v>
      </c>
      <c r="P11" s="50">
        <f t="shared" si="2"/>
        <v>50.49814293258229</v>
      </c>
      <c r="Q11" s="50">
        <f t="shared" si="3"/>
        <v>59.652035130279344</v>
      </c>
    </row>
    <row r="12" spans="1:17">
      <c r="A12" s="46" t="s">
        <v>16</v>
      </c>
      <c r="B12" s="10">
        <f>MATCH(M2,M3:M66,0)-1</f>
        <v>32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Compensation=32</v>
      </c>
      <c r="M12" s="46">
        <f t="shared" si="0"/>
        <v>54.942333375585569</v>
      </c>
      <c r="N12" s="46">
        <f t="shared" si="5"/>
        <v>9</v>
      </c>
      <c r="O12" s="50">
        <f t="shared" si="1"/>
        <v>105.34238882357008</v>
      </c>
      <c r="P12" s="50">
        <f t="shared" si="2"/>
        <v>50.400055447984506</v>
      </c>
      <c r="Q12" s="50">
        <f t="shared" si="3"/>
        <v>59.284029038112521</v>
      </c>
    </row>
    <row r="13" spans="1:17">
      <c r="A13" s="78" t="s">
        <v>12</v>
      </c>
      <c r="B13" s="79" t="s">
        <v>0</v>
      </c>
      <c r="C13" s="46">
        <v>0</v>
      </c>
      <c r="D13" s="7">
        <v>556.70000000000005</v>
      </c>
      <c r="E13" s="7">
        <v>516.9</v>
      </c>
      <c r="F13" s="7">
        <v>156.69999999999999</v>
      </c>
      <c r="G13" s="8">
        <v>84.2</v>
      </c>
      <c r="H13" s="8">
        <v>31.6</v>
      </c>
      <c r="I13" s="8">
        <v>35.799999999999997</v>
      </c>
      <c r="M13" s="46">
        <f t="shared" si="0"/>
        <v>52.55722008557931</v>
      </c>
      <c r="N13" s="46">
        <f t="shared" si="5"/>
        <v>10</v>
      </c>
      <c r="O13" s="50">
        <f t="shared" si="1"/>
        <v>102.85918804896603</v>
      </c>
      <c r="P13" s="50">
        <f t="shared" si="2"/>
        <v>50.301967963386723</v>
      </c>
      <c r="Q13" s="50">
        <f t="shared" si="3"/>
        <v>58.916022945945699</v>
      </c>
    </row>
    <row r="14" spans="1:17">
      <c r="A14" s="78"/>
      <c r="B14" s="79"/>
      <c r="C14" s="46">
        <f>C13+1</f>
        <v>1</v>
      </c>
      <c r="D14" s="7">
        <v>561.70000000000005</v>
      </c>
      <c r="E14" s="7">
        <v>521.29999999999995</v>
      </c>
      <c r="F14" s="7">
        <v>156.5</v>
      </c>
      <c r="G14" s="8">
        <v>97.3</v>
      </c>
      <c r="H14" s="8">
        <v>38.200000000000003</v>
      </c>
      <c r="I14" s="8">
        <v>43</v>
      </c>
      <c r="M14" s="46">
        <f t="shared" si="0"/>
        <v>50.172106795573029</v>
      </c>
      <c r="N14" s="46">
        <f t="shared" si="5"/>
        <v>11</v>
      </c>
      <c r="O14" s="50">
        <f t="shared" si="1"/>
        <v>100.37598727436198</v>
      </c>
      <c r="P14" s="50">
        <f t="shared" si="2"/>
        <v>50.203880478788946</v>
      </c>
      <c r="Q14" s="50">
        <f t="shared" si="3"/>
        <v>58.548016853778876</v>
      </c>
    </row>
    <row r="15" spans="1:17">
      <c r="A15" s="78"/>
      <c r="B15" s="79"/>
      <c r="C15" s="46">
        <f>C14+1</f>
        <v>2</v>
      </c>
      <c r="D15" s="6">
        <f>2*(D13-D14)/(D13+D14)</f>
        <v>-8.9413447782546486E-3</v>
      </c>
      <c r="E15" s="6">
        <f t="shared" ref="E15:F15" si="8">2*(E13-E14)/(E13+E14)</f>
        <v>-8.4762088229627785E-3</v>
      </c>
      <c r="F15" s="6">
        <f t="shared" si="8"/>
        <v>1.2771392081736184E-3</v>
      </c>
      <c r="G15" s="8">
        <v>68.3</v>
      </c>
      <c r="H15" s="8">
        <v>27.1</v>
      </c>
      <c r="I15" s="8">
        <v>30.8</v>
      </c>
      <c r="M15" s="46">
        <f t="shared" si="0"/>
        <v>47.78699350556677</v>
      </c>
      <c r="N15" s="46">
        <f t="shared" si="5"/>
        <v>12</v>
      </c>
      <c r="O15" s="50">
        <f t="shared" si="1"/>
        <v>97.892786499757932</v>
      </c>
      <c r="P15" s="50">
        <f t="shared" si="2"/>
        <v>50.105792994191162</v>
      </c>
      <c r="Q15" s="50">
        <f t="shared" si="3"/>
        <v>58.180010761612053</v>
      </c>
    </row>
    <row r="16" spans="1:17">
      <c r="A16" s="78"/>
      <c r="B16" s="79" t="s">
        <v>1</v>
      </c>
      <c r="C16" s="46">
        <f>C13</f>
        <v>0</v>
      </c>
      <c r="D16" s="7">
        <v>1202</v>
      </c>
      <c r="E16" s="7">
        <v>1212</v>
      </c>
      <c r="F16" s="7">
        <v>651</v>
      </c>
      <c r="G16" s="8">
        <v>65.8</v>
      </c>
      <c r="H16" s="8">
        <v>75.8</v>
      </c>
      <c r="I16" s="8">
        <v>43</v>
      </c>
      <c r="M16" s="46">
        <f t="shared" si="0"/>
        <v>45.401880215560496</v>
      </c>
      <c r="N16" s="46">
        <f t="shared" si="5"/>
        <v>13</v>
      </c>
      <c r="O16" s="50">
        <f t="shared" si="1"/>
        <v>95.409585725153875</v>
      </c>
      <c r="P16" s="50">
        <f t="shared" si="2"/>
        <v>50.007705509593379</v>
      </c>
      <c r="Q16" s="50">
        <f t="shared" si="3"/>
        <v>57.81200466944523</v>
      </c>
    </row>
    <row r="17" spans="1:21">
      <c r="A17" s="78"/>
      <c r="B17" s="79"/>
      <c r="C17" s="46">
        <f t="shared" ref="C17:C21" si="9">C14</f>
        <v>1</v>
      </c>
      <c r="D17" s="7">
        <v>1204</v>
      </c>
      <c r="E17" s="7">
        <v>1214</v>
      </c>
      <c r="F17" s="7">
        <v>650</v>
      </c>
      <c r="G17" s="8">
        <v>77.099999999999994</v>
      </c>
      <c r="H17" s="8">
        <v>88.4</v>
      </c>
      <c r="I17" s="8">
        <v>51.5</v>
      </c>
      <c r="M17" s="46">
        <f t="shared" si="0"/>
        <v>43.016766925554222</v>
      </c>
      <c r="N17" s="46">
        <f t="shared" si="5"/>
        <v>14</v>
      </c>
      <c r="O17" s="50">
        <f t="shared" si="1"/>
        <v>92.926384950549817</v>
      </c>
      <c r="P17" s="50">
        <f t="shared" si="2"/>
        <v>49.909618024995595</v>
      </c>
      <c r="Q17" s="50">
        <f t="shared" si="3"/>
        <v>57.443998577278407</v>
      </c>
    </row>
    <row r="18" spans="1:21">
      <c r="A18" s="78"/>
      <c r="B18" s="79"/>
      <c r="C18" s="46">
        <f t="shared" si="9"/>
        <v>2</v>
      </c>
      <c r="D18" s="6">
        <f>2*(D16-D17)/(D16+D17)</f>
        <v>-1.6625103906899418E-3</v>
      </c>
      <c r="E18" s="6">
        <f t="shared" ref="E18:F18" si="10">2*(E16-E17)/(E16+E17)</f>
        <v>-1.6488046166529267E-3</v>
      </c>
      <c r="F18" s="6">
        <f t="shared" si="10"/>
        <v>1.5372790161414297E-3</v>
      </c>
      <c r="G18" s="8">
        <v>58.3</v>
      </c>
      <c r="H18" s="8">
        <v>68.5</v>
      </c>
      <c r="I18" s="8">
        <v>38.299999999999997</v>
      </c>
      <c r="M18" s="46">
        <f t="shared" si="0"/>
        <v>40.631653635547941</v>
      </c>
      <c r="N18" s="46">
        <f t="shared" si="5"/>
        <v>15</v>
      </c>
      <c r="O18" s="50">
        <f t="shared" si="1"/>
        <v>90.44318417594576</v>
      </c>
      <c r="P18" s="50">
        <f t="shared" si="2"/>
        <v>49.811530540397818</v>
      </c>
      <c r="Q18" s="50">
        <f t="shared" si="3"/>
        <v>57.075992485111584</v>
      </c>
    </row>
    <row r="19" spans="1:21">
      <c r="A19" s="78"/>
      <c r="B19" s="79" t="s">
        <v>2</v>
      </c>
      <c r="C19" s="46">
        <f t="shared" si="9"/>
        <v>0</v>
      </c>
      <c r="D19" s="7">
        <v>511.5</v>
      </c>
      <c r="E19" s="7">
        <v>578.5</v>
      </c>
      <c r="F19" s="7">
        <v>533</v>
      </c>
      <c r="G19" s="8">
        <v>27.6</v>
      </c>
      <c r="H19" s="8">
        <v>38</v>
      </c>
      <c r="I19" s="8">
        <v>31.7</v>
      </c>
      <c r="M19" s="46">
        <f t="shared" si="0"/>
        <v>38.246540345541682</v>
      </c>
      <c r="N19" s="46">
        <f t="shared" si="5"/>
        <v>16</v>
      </c>
      <c r="O19" s="50">
        <f t="shared" si="1"/>
        <v>87.959983401341717</v>
      </c>
      <c r="P19" s="50">
        <f t="shared" si="2"/>
        <v>49.713443055800035</v>
      </c>
      <c r="Q19" s="50">
        <f t="shared" si="3"/>
        <v>56.707986392944761</v>
      </c>
    </row>
    <row r="20" spans="1:21">
      <c r="A20" s="78"/>
      <c r="B20" s="79"/>
      <c r="C20" s="46">
        <f t="shared" si="9"/>
        <v>1</v>
      </c>
      <c r="D20" s="7">
        <v>512.6</v>
      </c>
      <c r="E20" s="7">
        <v>579.29999999999995</v>
      </c>
      <c r="F20" s="7">
        <v>533.1</v>
      </c>
      <c r="G20" s="8">
        <v>33.200000000000003</v>
      </c>
      <c r="H20" s="8">
        <v>45.7</v>
      </c>
      <c r="I20" s="8">
        <v>38.200000000000003</v>
      </c>
      <c r="M20" s="46">
        <f t="shared" si="0"/>
        <v>35.861427055535422</v>
      </c>
      <c r="N20" s="46">
        <f t="shared" si="5"/>
        <v>17</v>
      </c>
      <c r="O20" s="50">
        <f t="shared" si="1"/>
        <v>85.476782626737673</v>
      </c>
      <c r="P20" s="50">
        <f t="shared" si="2"/>
        <v>49.615355571202251</v>
      </c>
      <c r="Q20" s="50">
        <f t="shared" si="3"/>
        <v>56.339980300777938</v>
      </c>
    </row>
    <row r="21" spans="1:21">
      <c r="A21" s="78"/>
      <c r="B21" s="79"/>
      <c r="C21" s="46">
        <f t="shared" si="9"/>
        <v>2</v>
      </c>
      <c r="D21" s="6">
        <f>2*(D19-D20)/(D19+D20)</f>
        <v>-2.1482277121375312E-3</v>
      </c>
      <c r="E21" s="6">
        <f t="shared" ref="E21:F21" si="11">2*(E19-E20)/(E19+E20)</f>
        <v>-1.3819312489202877E-3</v>
      </c>
      <c r="F21" s="6">
        <f t="shared" si="11"/>
        <v>-1.8759966232065049E-4</v>
      </c>
      <c r="G21" s="8">
        <v>23.3</v>
      </c>
      <c r="H21" s="8">
        <v>33.1</v>
      </c>
      <c r="I21" s="8">
        <v>27</v>
      </c>
      <c r="M21" s="46">
        <f t="shared" si="0"/>
        <v>33.476313765529149</v>
      </c>
      <c r="N21" s="46">
        <f t="shared" si="5"/>
        <v>18</v>
      </c>
      <c r="O21" s="50">
        <f t="shared" si="1"/>
        <v>82.993581852133616</v>
      </c>
      <c r="P21" s="50">
        <f t="shared" si="2"/>
        <v>49.517268086604467</v>
      </c>
      <c r="Q21" s="50">
        <f t="shared" si="3"/>
        <v>55.971974208611115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559.20000000000005</v>
      </c>
      <c r="E22" s="46">
        <f t="shared" ref="E22:F22" si="12">(E13+E14)/2</f>
        <v>519.09999999999991</v>
      </c>
      <c r="F22" s="46">
        <f t="shared" si="12"/>
        <v>156.6</v>
      </c>
      <c r="G22" s="5">
        <f>G13</f>
        <v>84.2</v>
      </c>
      <c r="H22" s="5">
        <f t="shared" ref="H22:I22" si="13">H13</f>
        <v>31.6</v>
      </c>
      <c r="I22" s="5">
        <f t="shared" si="13"/>
        <v>35.799999999999997</v>
      </c>
      <c r="J22" s="99">
        <f>AVERAGE(G22:I24)</f>
        <v>48.166666666666671</v>
      </c>
      <c r="M22" s="46">
        <f t="shared" si="0"/>
        <v>31.091200475522868</v>
      </c>
      <c r="N22" s="46">
        <f t="shared" si="5"/>
        <v>19</v>
      </c>
      <c r="O22" s="50">
        <f t="shared" si="1"/>
        <v>80.510381077529559</v>
      </c>
      <c r="P22" s="50">
        <f t="shared" si="2"/>
        <v>49.419180602006691</v>
      </c>
      <c r="Q22" s="50">
        <f t="shared" si="3"/>
        <v>55.603968116444292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1203</v>
      </c>
      <c r="E23" s="46">
        <f>(E16+E17)/2</f>
        <v>1213</v>
      </c>
      <c r="F23" s="46">
        <f>(F16+F17)/2</f>
        <v>650.5</v>
      </c>
      <c r="G23" s="5">
        <f>G16</f>
        <v>65.8</v>
      </c>
      <c r="H23" s="5">
        <f>H16</f>
        <v>75.8</v>
      </c>
      <c r="I23" s="5">
        <f>I16</f>
        <v>43</v>
      </c>
      <c r="J23" s="99"/>
      <c r="M23" s="46">
        <f t="shared" si="0"/>
        <v>28.706087185516594</v>
      </c>
      <c r="N23" s="46">
        <f t="shared" si="5"/>
        <v>20</v>
      </c>
      <c r="O23" s="50">
        <f t="shared" si="1"/>
        <v>78.027180302925501</v>
      </c>
      <c r="P23" s="50">
        <f t="shared" si="2"/>
        <v>49.321093117408907</v>
      </c>
      <c r="Q23" s="50">
        <f t="shared" si="3"/>
        <v>55.23596202427747</v>
      </c>
    </row>
    <row r="24" spans="1:21">
      <c r="A24" s="78"/>
      <c r="B24" s="46" t="str">
        <f>B19</f>
        <v>D65</v>
      </c>
      <c r="C24" s="79"/>
      <c r="D24" s="46">
        <f>(D19+D20)/2</f>
        <v>512.04999999999995</v>
      </c>
      <c r="E24" s="46">
        <f>(E19+E20)/2</f>
        <v>578.9</v>
      </c>
      <c r="F24" s="46">
        <f>(F19+F20)/2</f>
        <v>533.04999999999995</v>
      </c>
      <c r="G24" s="5">
        <f>G19</f>
        <v>27.6</v>
      </c>
      <c r="H24" s="5">
        <f>H19</f>
        <v>38</v>
      </c>
      <c r="I24" s="5">
        <f>I19</f>
        <v>31.7</v>
      </c>
      <c r="J24" s="99"/>
      <c r="M24" s="46">
        <f t="shared" si="0"/>
        <v>26.320973895510335</v>
      </c>
      <c r="N24" s="46">
        <f t="shared" si="5"/>
        <v>21</v>
      </c>
      <c r="O24" s="50">
        <f t="shared" si="1"/>
        <v>75.543979528321458</v>
      </c>
      <c r="P24" s="50">
        <f t="shared" si="2"/>
        <v>49.223005632811123</v>
      </c>
      <c r="Q24" s="50">
        <f t="shared" si="3"/>
        <v>54.867955932110647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559.20000000000005</v>
      </c>
      <c r="E25" s="46">
        <f t="shared" ref="E25:F25" si="15">(E13+E14)/2</f>
        <v>519.09999999999991</v>
      </c>
      <c r="F25" s="46">
        <f t="shared" si="15"/>
        <v>156.6</v>
      </c>
      <c r="G25" s="5">
        <f t="shared" ref="G25:I25" si="16">G14</f>
        <v>97.3</v>
      </c>
      <c r="H25" s="5">
        <f t="shared" si="16"/>
        <v>38.200000000000003</v>
      </c>
      <c r="I25" s="5">
        <f t="shared" si="16"/>
        <v>43</v>
      </c>
      <c r="J25" s="99">
        <f>AVERAGE(G25:I27)</f>
        <v>56.955555555555556</v>
      </c>
      <c r="M25" s="46">
        <f t="shared" si="0"/>
        <v>23.935860605504061</v>
      </c>
      <c r="N25" s="46">
        <f t="shared" si="5"/>
        <v>22</v>
      </c>
      <c r="O25" s="50">
        <f t="shared" si="1"/>
        <v>73.0607787537174</v>
      </c>
      <c r="P25" s="50">
        <f t="shared" si="2"/>
        <v>49.124918148213339</v>
      </c>
      <c r="Q25" s="50">
        <f t="shared" si="3"/>
        <v>54.499949839943824</v>
      </c>
    </row>
    <row r="26" spans="1:21">
      <c r="A26" s="78"/>
      <c r="B26" s="46" t="str">
        <f>B16</f>
        <v>CWF</v>
      </c>
      <c r="C26" s="79"/>
      <c r="D26" s="46">
        <f>(D16+D17)/2</f>
        <v>1203</v>
      </c>
      <c r="E26" s="46">
        <f>(E16+E17)/2</f>
        <v>1213</v>
      </c>
      <c r="F26" s="46">
        <f>(F16+F17)/2</f>
        <v>650.5</v>
      </c>
      <c r="G26" s="5">
        <f>G17</f>
        <v>77.099999999999994</v>
      </c>
      <c r="H26" s="5">
        <f>H17</f>
        <v>88.4</v>
      </c>
      <c r="I26" s="5">
        <f>I17</f>
        <v>51.5</v>
      </c>
      <c r="J26" s="99"/>
      <c r="M26" s="46">
        <f t="shared" si="0"/>
        <v>21.550747315497802</v>
      </c>
      <c r="N26" s="46">
        <f t="shared" si="5"/>
        <v>23</v>
      </c>
      <c r="O26" s="50">
        <f t="shared" si="1"/>
        <v>70.577577979113357</v>
      </c>
      <c r="P26" s="50">
        <f t="shared" si="2"/>
        <v>49.026830663615556</v>
      </c>
      <c r="Q26" s="50">
        <f t="shared" si="3"/>
        <v>54.131943747777001</v>
      </c>
    </row>
    <row r="27" spans="1:21">
      <c r="A27" s="78"/>
      <c r="B27" s="46" t="str">
        <f>B19</f>
        <v>D65</v>
      </c>
      <c r="C27" s="79"/>
      <c r="D27" s="46">
        <f>(D19+D20)/2</f>
        <v>512.04999999999995</v>
      </c>
      <c r="E27" s="46">
        <f>(E19+E20)/2</f>
        <v>578.9</v>
      </c>
      <c r="F27" s="46">
        <f>(F19+F20)/2</f>
        <v>533.04999999999995</v>
      </c>
      <c r="G27" s="5">
        <f>G20</f>
        <v>33.200000000000003</v>
      </c>
      <c r="H27" s="5">
        <f>H20</f>
        <v>45.7</v>
      </c>
      <c r="I27" s="5">
        <f>I20</f>
        <v>38.200000000000003</v>
      </c>
      <c r="J27" s="99"/>
      <c r="M27" s="46">
        <f t="shared" si="0"/>
        <v>19.165634025491521</v>
      </c>
      <c r="N27" s="46">
        <f t="shared" si="5"/>
        <v>24</v>
      </c>
      <c r="O27" s="50">
        <f t="shared" si="1"/>
        <v>68.0943772045093</v>
      </c>
      <c r="P27" s="50">
        <f t="shared" si="2"/>
        <v>48.928743179017779</v>
      </c>
      <c r="Q27" s="50">
        <f t="shared" si="3"/>
        <v>53.763937655610178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559.20000000000005</v>
      </c>
      <c r="E28" s="46">
        <f t="shared" ref="E28:F28" si="17">(E13+E14)/2</f>
        <v>519.09999999999991</v>
      </c>
      <c r="F28" s="46">
        <f t="shared" si="17"/>
        <v>156.6</v>
      </c>
      <c r="G28" s="5">
        <f t="shared" ref="G28:I28" si="18">G15</f>
        <v>68.3</v>
      </c>
      <c r="H28" s="5">
        <f t="shared" si="18"/>
        <v>27.1</v>
      </c>
      <c r="I28" s="5">
        <f t="shared" si="18"/>
        <v>30.8</v>
      </c>
      <c r="J28" s="99">
        <f>AVERAGE(G28:I30)</f>
        <v>41.63333333333334</v>
      </c>
      <c r="M28" s="46">
        <f t="shared" si="0"/>
        <v>16.780520735485247</v>
      </c>
      <c r="N28" s="46">
        <f t="shared" si="5"/>
        <v>25</v>
      </c>
      <c r="O28" s="50">
        <f t="shared" si="1"/>
        <v>65.611176429905242</v>
      </c>
      <c r="P28" s="50">
        <f t="shared" si="2"/>
        <v>48.830655694419995</v>
      </c>
      <c r="Q28" s="50">
        <f t="shared" si="3"/>
        <v>53.395931563443355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1203</v>
      </c>
      <c r="E29" s="46">
        <f t="shared" si="20"/>
        <v>1213</v>
      </c>
      <c r="F29" s="46">
        <f t="shared" si="20"/>
        <v>650.5</v>
      </c>
      <c r="G29" s="5">
        <f t="shared" ref="G29:I29" si="21">G18</f>
        <v>58.3</v>
      </c>
      <c r="H29" s="5">
        <f t="shared" si="21"/>
        <v>68.5</v>
      </c>
      <c r="I29" s="5">
        <f t="shared" si="21"/>
        <v>38.299999999999997</v>
      </c>
      <c r="J29" s="99"/>
      <c r="M29" s="46">
        <f t="shared" si="0"/>
        <v>14.395407445478988</v>
      </c>
      <c r="N29" s="46">
        <f t="shared" si="5"/>
        <v>26</v>
      </c>
      <c r="O29" s="50">
        <f t="shared" si="1"/>
        <v>63.127975655301199</v>
      </c>
      <c r="P29" s="50">
        <f t="shared" si="2"/>
        <v>48.732568209822212</v>
      </c>
      <c r="Q29" s="50">
        <f t="shared" si="3"/>
        <v>53.027925471276532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512.04999999999995</v>
      </c>
      <c r="E30" s="46">
        <f t="shared" si="23"/>
        <v>578.9</v>
      </c>
      <c r="F30" s="46">
        <f t="shared" si="23"/>
        <v>533.04999999999995</v>
      </c>
      <c r="G30" s="5">
        <f t="shared" ref="G30:I30" si="24">G21</f>
        <v>23.3</v>
      </c>
      <c r="H30" s="5">
        <f t="shared" si="24"/>
        <v>33.1</v>
      </c>
      <c r="I30" s="5">
        <f t="shared" si="24"/>
        <v>27</v>
      </c>
      <c r="J30" s="99"/>
      <c r="M30" s="46">
        <f t="shared" si="0"/>
        <v>12.010294155472714</v>
      </c>
      <c r="N30" s="46">
        <f t="shared" si="5"/>
        <v>27</v>
      </c>
      <c r="O30" s="50">
        <f t="shared" si="1"/>
        <v>60.644774880697142</v>
      </c>
      <c r="P30" s="50">
        <f t="shared" si="2"/>
        <v>48.634480725224428</v>
      </c>
      <c r="Q30" s="50">
        <f t="shared" si="3"/>
        <v>52.659919379109702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559.20000000000005</v>
      </c>
      <c r="E31" s="46">
        <f t="shared" si="25"/>
        <v>519.09999999999991</v>
      </c>
      <c r="F31" s="46">
        <f t="shared" si="25"/>
        <v>156.6</v>
      </c>
      <c r="G31" s="5">
        <f t="shared" ref="G31:I33" si="26">G22*$J$31</f>
        <v>84.2</v>
      </c>
      <c r="H31" s="5">
        <f t="shared" si="26"/>
        <v>31.6</v>
      </c>
      <c r="I31" s="5">
        <f t="shared" si="26"/>
        <v>35.799999999999997</v>
      </c>
      <c r="J31" s="96">
        <f>J$22/J22</f>
        <v>1</v>
      </c>
      <c r="M31" s="46">
        <f t="shared" si="0"/>
        <v>9.625180865466433</v>
      </c>
      <c r="N31" s="46">
        <f t="shared" si="5"/>
        <v>28</v>
      </c>
      <c r="O31" s="50">
        <f t="shared" si="1"/>
        <v>58.161574106093084</v>
      </c>
      <c r="P31" s="50">
        <f t="shared" si="2"/>
        <v>48.536393240626651</v>
      </c>
      <c r="Q31" s="50">
        <f t="shared" si="3"/>
        <v>52.291913286942879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1203</v>
      </c>
      <c r="E32" s="46">
        <f t="shared" si="27"/>
        <v>1213</v>
      </c>
      <c r="F32" s="46">
        <f t="shared" si="27"/>
        <v>650.5</v>
      </c>
      <c r="G32" s="5">
        <f t="shared" si="26"/>
        <v>65.8</v>
      </c>
      <c r="H32" s="5">
        <f t="shared" si="26"/>
        <v>75.8</v>
      </c>
      <c r="I32" s="5">
        <f t="shared" si="26"/>
        <v>43</v>
      </c>
      <c r="J32" s="96"/>
      <c r="M32" s="46">
        <f t="shared" si="0"/>
        <v>7.2400675754601735</v>
      </c>
      <c r="N32" s="46">
        <f t="shared" si="5"/>
        <v>29</v>
      </c>
      <c r="O32" s="50">
        <f t="shared" si="1"/>
        <v>55.678373331489041</v>
      </c>
      <c r="P32" s="50">
        <f t="shared" si="2"/>
        <v>48.438305756028868</v>
      </c>
      <c r="Q32" s="50">
        <f t="shared" si="3"/>
        <v>51.923907194776056</v>
      </c>
    </row>
    <row r="33" spans="1:17">
      <c r="A33" s="78"/>
      <c r="B33" s="46" t="str">
        <f t="shared" si="27"/>
        <v>D65</v>
      </c>
      <c r="C33" s="79"/>
      <c r="D33" s="46">
        <f t="shared" si="27"/>
        <v>512.04999999999995</v>
      </c>
      <c r="E33" s="46">
        <f t="shared" si="27"/>
        <v>578.9</v>
      </c>
      <c r="F33" s="46">
        <f t="shared" si="27"/>
        <v>533.04999999999995</v>
      </c>
      <c r="G33" s="5">
        <f t="shared" si="26"/>
        <v>27.6</v>
      </c>
      <c r="H33" s="5">
        <f t="shared" si="26"/>
        <v>38</v>
      </c>
      <c r="I33" s="5">
        <f t="shared" si="26"/>
        <v>31.7</v>
      </c>
      <c r="J33" s="96"/>
      <c r="M33" s="46">
        <f t="shared" si="0"/>
        <v>4.8549542854538998</v>
      </c>
      <c r="N33" s="46">
        <f t="shared" si="5"/>
        <v>30</v>
      </c>
      <c r="O33" s="50">
        <f t="shared" si="1"/>
        <v>53.195172556884984</v>
      </c>
      <c r="P33" s="50">
        <f t="shared" si="2"/>
        <v>48.340218271431084</v>
      </c>
      <c r="Q33" s="50">
        <f t="shared" si="3"/>
        <v>51.555901102609234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559.20000000000005</v>
      </c>
      <c r="E34" s="46">
        <f t="shared" si="27"/>
        <v>519.09999999999991</v>
      </c>
      <c r="F34" s="46">
        <f t="shared" si="27"/>
        <v>156.6</v>
      </c>
      <c r="G34" s="5">
        <f t="shared" ref="G34:I36" si="28">G25*$J$34</f>
        <v>82.285505267264938</v>
      </c>
      <c r="H34" s="5">
        <f t="shared" si="28"/>
        <v>32.305306281701135</v>
      </c>
      <c r="I34" s="5">
        <f t="shared" si="28"/>
        <v>36.364611783066721</v>
      </c>
      <c r="J34" s="96">
        <f>J$22/J25</f>
        <v>0.84568864611783079</v>
      </c>
      <c r="M34" s="46">
        <f t="shared" si="0"/>
        <v>2.9457642236091104</v>
      </c>
      <c r="N34" s="46">
        <f t="shared" si="5"/>
        <v>31</v>
      </c>
      <c r="O34" s="50">
        <f t="shared" si="1"/>
        <v>50.711971782280941</v>
      </c>
      <c r="P34" s="50">
        <f t="shared" si="2"/>
        <v>48.2421307868333</v>
      </c>
      <c r="Q34" s="50">
        <f t="shared" si="3"/>
        <v>51.187895010442411</v>
      </c>
    </row>
    <row r="35" spans="1:17">
      <c r="A35" s="78"/>
      <c r="B35" s="46" t="str">
        <f t="shared" si="27"/>
        <v>CWF</v>
      </c>
      <c r="C35" s="79"/>
      <c r="D35" s="46">
        <f t="shared" si="27"/>
        <v>1203</v>
      </c>
      <c r="E35" s="46">
        <f t="shared" si="27"/>
        <v>1213</v>
      </c>
      <c r="F35" s="46">
        <f t="shared" si="27"/>
        <v>650.5</v>
      </c>
      <c r="G35" s="5">
        <f t="shared" si="28"/>
        <v>65.202594615684745</v>
      </c>
      <c r="H35" s="5">
        <f t="shared" si="28"/>
        <v>74.758876316816242</v>
      </c>
      <c r="I35" s="5">
        <f t="shared" si="28"/>
        <v>43.552965275068289</v>
      </c>
      <c r="J35" s="96"/>
      <c r="M35" s="46">
        <f t="shared" si="0"/>
        <v>2.6758456160400641</v>
      </c>
      <c r="N35" s="46">
        <f t="shared" si="5"/>
        <v>32</v>
      </c>
      <c r="O35" s="50">
        <f t="shared" si="1"/>
        <v>48.228771007676883</v>
      </c>
      <c r="P35" s="50">
        <f t="shared" si="2"/>
        <v>48.144043302235524</v>
      </c>
      <c r="Q35" s="50">
        <f t="shared" si="3"/>
        <v>50.819888918275588</v>
      </c>
    </row>
    <row r="36" spans="1:17">
      <c r="A36" s="78"/>
      <c r="B36" s="46" t="str">
        <f t="shared" si="27"/>
        <v>D65</v>
      </c>
      <c r="C36" s="79"/>
      <c r="D36" s="46">
        <f t="shared" si="27"/>
        <v>512.04999999999995</v>
      </c>
      <c r="E36" s="46">
        <f t="shared" si="27"/>
        <v>578.9</v>
      </c>
      <c r="F36" s="46">
        <f t="shared" si="27"/>
        <v>533.04999999999995</v>
      </c>
      <c r="G36" s="5">
        <f t="shared" si="28"/>
        <v>28.076863051111985</v>
      </c>
      <c r="H36" s="5">
        <f t="shared" si="28"/>
        <v>38.647971127584867</v>
      </c>
      <c r="I36" s="5">
        <f t="shared" si="28"/>
        <v>32.305306281701135</v>
      </c>
      <c r="J36" s="96"/>
      <c r="M36" s="46">
        <f t="shared" si="0"/>
        <v>4.7063125930359391</v>
      </c>
      <c r="N36" s="46">
        <f t="shared" si="5"/>
        <v>33</v>
      </c>
      <c r="O36" s="50">
        <f t="shared" si="1"/>
        <v>45.745570233072826</v>
      </c>
      <c r="P36" s="50">
        <f t="shared" si="2"/>
        <v>48.04595581763774</v>
      </c>
      <c r="Q36" s="50">
        <f t="shared" si="3"/>
        <v>50.451882826108765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559.20000000000005</v>
      </c>
      <c r="E37" s="46">
        <f t="shared" si="27"/>
        <v>519.09999999999991</v>
      </c>
      <c r="F37" s="46">
        <f t="shared" si="27"/>
        <v>156.6</v>
      </c>
      <c r="G37" s="5">
        <f t="shared" ref="G37:I39" si="29">G28*$J$37</f>
        <v>79.018014411529208</v>
      </c>
      <c r="H37" s="5">
        <f t="shared" si="29"/>
        <v>31.352682145716571</v>
      </c>
      <c r="I37" s="5">
        <f t="shared" si="29"/>
        <v>35.633306645316253</v>
      </c>
      <c r="J37" s="96">
        <f>J$22/J28</f>
        <v>1.1569255404323457</v>
      </c>
      <c r="K37" s="51" t="str">
        <f>CHAR(34) &amp; "EEpromVersion" &amp;CHAR(34)  &amp; ",3,"</f>
        <v>"EEpromVersion",3,</v>
      </c>
      <c r="M37" s="46">
        <f t="shared" si="0"/>
        <v>6.8215072754731594</v>
      </c>
      <c r="N37" s="46">
        <f t="shared" si="5"/>
        <v>34</v>
      </c>
      <c r="O37" s="50">
        <f t="shared" si="1"/>
        <v>43.262369458468783</v>
      </c>
      <c r="P37" s="50">
        <f t="shared" si="2"/>
        <v>47.947868333039956</v>
      </c>
      <c r="Q37" s="50">
        <f t="shared" si="3"/>
        <v>50.083876733941942</v>
      </c>
    </row>
    <row r="38" spans="1:17">
      <c r="A38" s="78"/>
      <c r="B38" s="46" t="str">
        <f t="shared" si="27"/>
        <v>CWF</v>
      </c>
      <c r="C38" s="79"/>
      <c r="D38" s="46">
        <f t="shared" si="27"/>
        <v>1203</v>
      </c>
      <c r="E38" s="46">
        <f t="shared" si="27"/>
        <v>1213</v>
      </c>
      <c r="F38" s="46">
        <f t="shared" si="27"/>
        <v>650.5</v>
      </c>
      <c r="G38" s="5">
        <f t="shared" si="29"/>
        <v>67.448759007205751</v>
      </c>
      <c r="H38" s="5">
        <f t="shared" si="29"/>
        <v>79.249399519615679</v>
      </c>
      <c r="I38" s="5">
        <f t="shared" si="29"/>
        <v>44.310248198558838</v>
      </c>
      <c r="J38" s="96"/>
      <c r="K38" s="52" t="str">
        <f>K4</f>
        <v>"Compensation",32,</v>
      </c>
      <c r="M38" s="46">
        <f t="shared" si="0"/>
        <v>8.9367019579103939</v>
      </c>
      <c r="N38" s="46">
        <f t="shared" si="5"/>
        <v>35</v>
      </c>
      <c r="O38" s="50">
        <f t="shared" si="1"/>
        <v>40.779168683864725</v>
      </c>
      <c r="P38" s="50">
        <f t="shared" si="2"/>
        <v>47.849780848442172</v>
      </c>
      <c r="Q38" s="50">
        <f t="shared" si="3"/>
        <v>49.715870641775119</v>
      </c>
    </row>
    <row r="39" spans="1:17">
      <c r="A39" s="78"/>
      <c r="B39" s="46" t="str">
        <f t="shared" si="27"/>
        <v>D65</v>
      </c>
      <c r="C39" s="79"/>
      <c r="D39" s="46">
        <f t="shared" si="27"/>
        <v>512.04999999999995</v>
      </c>
      <c r="E39" s="46">
        <f t="shared" si="27"/>
        <v>578.9</v>
      </c>
      <c r="F39" s="46">
        <f t="shared" si="27"/>
        <v>533.04999999999995</v>
      </c>
      <c r="G39" s="5">
        <f t="shared" si="29"/>
        <v>26.956365092073657</v>
      </c>
      <c r="H39" s="5">
        <f t="shared" si="29"/>
        <v>38.294235388310646</v>
      </c>
      <c r="I39" s="5">
        <f t="shared" si="29"/>
        <v>31.236989591673336</v>
      </c>
      <c r="J39" s="96"/>
      <c r="K39" s="53" t="str">
        <f>linefmt("CardGain",J42,J45,J48)</f>
        <v>"CardGain",16.4909,17.5644,14.73614,</v>
      </c>
      <c r="M39" s="46">
        <f t="shared" si="0"/>
        <v>11.051896640347614</v>
      </c>
      <c r="N39" s="46">
        <f t="shared" si="5"/>
        <v>36</v>
      </c>
      <c r="O39" s="50">
        <f t="shared" si="1"/>
        <v>38.295967909260682</v>
      </c>
      <c r="P39" s="50">
        <f t="shared" si="2"/>
        <v>47.751693363844396</v>
      </c>
      <c r="Q39" s="50">
        <f t="shared" si="3"/>
        <v>49.347864549608296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"Range",1,0.8456886,1.156926,</v>
      </c>
      <c r="M40" s="46">
        <f t="shared" si="0"/>
        <v>13.167091322784849</v>
      </c>
      <c r="N40" s="46">
        <f t="shared" si="5"/>
        <v>37</v>
      </c>
      <c r="O40" s="50">
        <f t="shared" si="1"/>
        <v>35.812767134656625</v>
      </c>
      <c r="P40" s="50">
        <f t="shared" si="2"/>
        <v>47.653605879246612</v>
      </c>
      <c r="Q40" s="50">
        <f t="shared" si="3"/>
        <v>48.979858457441473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15.282286005222083</v>
      </c>
      <c r="N41" s="46">
        <f t="shared" si="5"/>
        <v>38</v>
      </c>
      <c r="O41" s="50">
        <f t="shared" si="1"/>
        <v>33.329566360052567</v>
      </c>
      <c r="P41" s="50">
        <f t="shared" si="2"/>
        <v>47.555518394648828</v>
      </c>
      <c r="Q41" s="50">
        <f t="shared" si="3"/>
        <v>48.61185236527465</v>
      </c>
    </row>
    <row r="42" spans="1:17">
      <c r="A42" s="4"/>
      <c r="B42" s="46" t="s">
        <v>3</v>
      </c>
      <c r="C42" s="79">
        <f>C31</f>
        <v>0</v>
      </c>
      <c r="D42" s="46">
        <f>I42/$H$43</f>
        <v>0.19960131806380094</v>
      </c>
      <c r="E42" s="46">
        <f>H42/$H$43</f>
        <v>1.0377314861186151</v>
      </c>
      <c r="F42" s="46">
        <f>G42/$H$43</f>
        <v>-0.43824406357624079</v>
      </c>
      <c r="G42" s="46">
        <f t="array" ref="G42:I42">LINEST($D31:$D33,$G31:$I33,FALSE)</f>
        <v>-7.2270395158189729</v>
      </c>
      <c r="H42" s="46">
        <v>17.113127319485208</v>
      </c>
      <c r="I42" s="46">
        <v>3.2916055982254875</v>
      </c>
      <c r="J42" s="97">
        <f>H43</f>
        <v>16.490901113054537</v>
      </c>
      <c r="K42" s="53" t="str">
        <f t="shared" ref="K42:K50" si="30">linefmt("",D42,E42,F42)</f>
        <v>0.1996013,1.037732,-0.4382441,</v>
      </c>
      <c r="M42" s="46">
        <f t="shared" si="0"/>
        <v>17.397480687659304</v>
      </c>
      <c r="N42" s="46">
        <f t="shared" si="5"/>
        <v>39</v>
      </c>
      <c r="O42" s="50">
        <f t="shared" si="1"/>
        <v>30.846365585448524</v>
      </c>
      <c r="P42" s="50">
        <f t="shared" si="2"/>
        <v>47.457430910051045</v>
      </c>
      <c r="Q42" s="50">
        <f t="shared" si="3"/>
        <v>48.243846273107827</v>
      </c>
    </row>
    <row r="43" spans="1:17">
      <c r="A43" s="4"/>
      <c r="B43" s="46" t="s">
        <v>4</v>
      </c>
      <c r="C43" s="79"/>
      <c r="D43" s="46">
        <f>I43/$H$43</f>
        <v>5.9367826293475333E-2</v>
      </c>
      <c r="E43" s="46">
        <f>H43/$H$43</f>
        <v>1</v>
      </c>
      <c r="F43" s="46">
        <f>G43/$H$43</f>
        <v>-0.14303928665847537</v>
      </c>
      <c r="G43" s="46">
        <f t="array" ref="G43:I43">LINEST($E31:$E33,$G31:$I33,FALSE)</f>
        <v>-2.3588467315667785</v>
      </c>
      <c r="H43" s="46">
        <v>16.490901113054537</v>
      </c>
      <c r="I43" s="46">
        <v>0.97902895270270074</v>
      </c>
      <c r="J43" s="97"/>
      <c r="K43" s="53" t="str">
        <f t="shared" si="30"/>
        <v>5.936783E-02,1,-0.1430393,</v>
      </c>
      <c r="M43" s="46">
        <f t="shared" si="0"/>
        <v>19.512675370096538</v>
      </c>
      <c r="N43" s="46">
        <f t="shared" si="5"/>
        <v>40</v>
      </c>
      <c r="O43" s="50">
        <f t="shared" si="1"/>
        <v>28.363164810844467</v>
      </c>
      <c r="P43" s="50">
        <f t="shared" si="2"/>
        <v>47.359343425453261</v>
      </c>
      <c r="Q43" s="50">
        <f t="shared" si="3"/>
        <v>47.875840180941005</v>
      </c>
    </row>
    <row r="44" spans="1:17">
      <c r="A44" s="4"/>
      <c r="B44" s="46" t="s">
        <v>5</v>
      </c>
      <c r="C44" s="79"/>
      <c r="D44" s="46">
        <f>I44/$H$43</f>
        <v>-0.4385856549181143</v>
      </c>
      <c r="E44" s="46">
        <f>H44/$H$43</f>
        <v>0.33143326065602108</v>
      </c>
      <c r="F44" s="46">
        <f>G44/$H$43</f>
        <v>1.0042392968139453</v>
      </c>
      <c r="G44" s="46">
        <f t="array" ref="G44:I44">LINEST($F$31:$F$33,$G31:$I33,FALSE)</f>
        <v>16.560810937602195</v>
      </c>
      <c r="H44" s="46">
        <v>5.4656331270556722</v>
      </c>
      <c r="I44" s="46">
        <v>-7.2326726648588844</v>
      </c>
      <c r="J44" s="97"/>
      <c r="K44" s="53" t="str">
        <f t="shared" si="30"/>
        <v>-0.4385857,0.3314333,1.004239,</v>
      </c>
      <c r="M44" s="46">
        <f t="shared" si="0"/>
        <v>21.627870052533773</v>
      </c>
      <c r="N44" s="46">
        <f t="shared" si="5"/>
        <v>41</v>
      </c>
      <c r="O44" s="50">
        <f t="shared" si="1"/>
        <v>25.879964036240409</v>
      </c>
      <c r="P44" s="50">
        <f t="shared" si="2"/>
        <v>47.261255940855484</v>
      </c>
      <c r="Q44" s="50">
        <f t="shared" si="3"/>
        <v>47.507834088774182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0.20949466417802592</v>
      </c>
      <c r="E45" s="46">
        <f>H45/$H$46</f>
        <v>1.0354617756958167</v>
      </c>
      <c r="F45" s="46">
        <f>G45/$H$46</f>
        <v>-0.51842061222136748</v>
      </c>
      <c r="G45" s="46">
        <f t="array" ref="G45:I45">LINEST($D34:$D36,$G34:$I36,FALSE)</f>
        <v>-9.1057485166347885</v>
      </c>
      <c r="H45" s="46">
        <v>18.187267839667104</v>
      </c>
      <c r="I45" s="46">
        <v>3.6796486918375235</v>
      </c>
      <c r="J45" s="97">
        <f>H46</f>
        <v>17.56440292298139</v>
      </c>
      <c r="K45" s="53" t="str">
        <f t="shared" si="30"/>
        <v>0.2094947,1.035462,-0.5184206,</v>
      </c>
      <c r="M45" s="46">
        <f t="shared" si="0"/>
        <v>23.766405194621335</v>
      </c>
      <c r="N45" s="46">
        <f t="shared" si="5"/>
        <v>42</v>
      </c>
      <c r="O45" s="50">
        <f t="shared" si="1"/>
        <v>23.396763261636366</v>
      </c>
      <c r="P45" s="50">
        <f t="shared" si="2"/>
        <v>47.163168456257701</v>
      </c>
      <c r="Q45" s="50">
        <f t="shared" si="3"/>
        <v>47.139827996607359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7.2077455200420221E-2</v>
      </c>
      <c r="E46" s="46">
        <f>H46/$H$46</f>
        <v>1</v>
      </c>
      <c r="F46" s="46">
        <f>G46/$H$46</f>
        <v>-0.23875252702539745</v>
      </c>
      <c r="G46" s="46">
        <f t="array" ref="G46:I46">LINEST($E34:$E36,$G34:$I36,FALSE)</f>
        <v>-4.1935455835540845</v>
      </c>
      <c r="H46" s="46">
        <v>17.56440292298139</v>
      </c>
      <c r="I46" s="46">
        <v>1.2659974648033212</v>
      </c>
      <c r="J46" s="97"/>
      <c r="K46" s="53" t="str">
        <f t="shared" si="30"/>
        <v>7.207745E-02,1,-0.2387525,</v>
      </c>
      <c r="M46" s="46">
        <f t="shared" si="0"/>
        <v>26.151518484627609</v>
      </c>
      <c r="N46" s="46">
        <f t="shared" si="5"/>
        <v>43</v>
      </c>
      <c r="O46" s="50">
        <f t="shared" si="1"/>
        <v>20.913562487032308</v>
      </c>
      <c r="P46" s="50">
        <f t="shared" si="2"/>
        <v>47.065080971659917</v>
      </c>
      <c r="Q46" s="50">
        <f t="shared" si="3"/>
        <v>46.771821904440536</v>
      </c>
    </row>
    <row r="47" spans="1:17">
      <c r="A47" s="4"/>
      <c r="B47" s="46" t="str">
        <f t="shared" si="31"/>
        <v>Z</v>
      </c>
      <c r="C47" s="79"/>
      <c r="D47" s="46">
        <f>I47/$H$46</f>
        <v>-0.42310608231632768</v>
      </c>
      <c r="E47" s="46">
        <f>H47/$H$46</f>
        <v>0.33955478356373014</v>
      </c>
      <c r="F47" s="46">
        <f>G47/$H$46</f>
        <v>0.9009263352199286</v>
      </c>
      <c r="G47" s="46">
        <f t="array" ref="G47:I47">LINEST($F$31:$F$33,$G34:$I36,FALSE)</f>
        <v>15.824233155727825</v>
      </c>
      <c r="H47" s="46">
        <v>5.9640770329390946</v>
      </c>
      <c r="I47" s="46">
        <v>-7.4316057089681102</v>
      </c>
      <c r="J47" s="97"/>
      <c r="K47" s="53" t="str">
        <f t="shared" si="30"/>
        <v>-0.4231061,0.3395548,0.9009264,</v>
      </c>
      <c r="M47" s="46">
        <f t="shared" si="0"/>
        <v>28.536631774633882</v>
      </c>
      <c r="N47" s="46">
        <f t="shared" si="5"/>
        <v>44</v>
      </c>
      <c r="O47" s="50">
        <f t="shared" si="1"/>
        <v>18.430361712428251</v>
      </c>
      <c r="P47" s="50">
        <f t="shared" si="2"/>
        <v>46.966993487062133</v>
      </c>
      <c r="Q47" s="50">
        <f t="shared" si="3"/>
        <v>46.403815812273713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0.2281554817774317</v>
      </c>
      <c r="E48" s="46">
        <f>H48/$H$49</f>
        <v>1.0301901021748718</v>
      </c>
      <c r="F48" s="46">
        <f>G48/$H$49</f>
        <v>-0.34743064446907129</v>
      </c>
      <c r="G48" s="46">
        <f t="array" ref="G48:I48">LINEST($D37:$D39,$G37:$I39,FALSE)</f>
        <v>-5.1197878228274636</v>
      </c>
      <c r="H48" s="46">
        <v>15.181029147190898</v>
      </c>
      <c r="I48" s="46">
        <v>3.3621319129764169</v>
      </c>
      <c r="J48" s="97">
        <f>H49</f>
        <v>14.736143470163103</v>
      </c>
      <c r="K48" s="53" t="str">
        <f t="shared" si="30"/>
        <v>0.2281555,1.03019,-0.3474306,</v>
      </c>
      <c r="M48" s="46">
        <f t="shared" si="0"/>
        <v>30.921745064640149</v>
      </c>
      <c r="N48" s="46">
        <f t="shared" si="5"/>
        <v>45</v>
      </c>
      <c r="O48" s="50">
        <f t="shared" si="1"/>
        <v>15.947160937824208</v>
      </c>
      <c r="P48" s="50">
        <f t="shared" si="2"/>
        <v>46.868906002464357</v>
      </c>
      <c r="Q48" s="50">
        <f t="shared" si="3"/>
        <v>46.03580972010689</v>
      </c>
    </row>
    <row r="49" spans="1:24">
      <c r="A49" s="4"/>
      <c r="B49" s="46" t="str">
        <f t="shared" si="31"/>
        <v>Y</v>
      </c>
      <c r="C49" s="79"/>
      <c r="D49" s="46">
        <f>I49/$H$49</f>
        <v>5.685266475879959E-2</v>
      </c>
      <c r="E49" s="46">
        <f>H49/$H$49</f>
        <v>1</v>
      </c>
      <c r="F49" s="46">
        <f>G49/$H$49</f>
        <v>-1.7364484040598364E-2</v>
      </c>
      <c r="G49" s="46">
        <f t="array" ref="G49:I49">LINEST($E37:$E39,$G37:$I39,FALSE)</f>
        <v>-0.255885528107615</v>
      </c>
      <c r="H49" s="46">
        <v>14.736143470163103</v>
      </c>
      <c r="I49" s="46">
        <v>0.83778902454675652</v>
      </c>
      <c r="J49" s="97"/>
      <c r="K49" s="53" t="str">
        <f t="shared" si="30"/>
        <v>5.685266E-02,1,-1.736448E-02,</v>
      </c>
      <c r="M49" s="46">
        <f t="shared" si="0"/>
        <v>33.306858354646423</v>
      </c>
      <c r="N49" s="46">
        <f t="shared" si="5"/>
        <v>46</v>
      </c>
      <c r="O49" s="50">
        <f t="shared" si="1"/>
        <v>13.46396016322015</v>
      </c>
      <c r="P49" s="50">
        <f t="shared" si="2"/>
        <v>46.770818517866573</v>
      </c>
      <c r="Q49" s="50">
        <f t="shared" si="3"/>
        <v>45.667803627940067</v>
      </c>
    </row>
    <row r="50" spans="1:24">
      <c r="A50" s="4"/>
      <c r="B50" s="46" t="str">
        <f t="shared" si="31"/>
        <v>Z</v>
      </c>
      <c r="C50" s="79"/>
      <c r="D50" s="46">
        <f>I50/$H$49</f>
        <v>-0.54503709057290539</v>
      </c>
      <c r="E50" s="46">
        <f>H50/$H$49</f>
        <v>0.35108805649803643</v>
      </c>
      <c r="F50" s="46">
        <f>G50/$H$49</f>
        <v>1.1979558683265479</v>
      </c>
      <c r="G50" s="46">
        <f t="array" ref="G50:I50">LINEST($F$31:$F$33,$G37:$I39,FALSE)</f>
        <v>17.653249546583829</v>
      </c>
      <c r="H50" s="46">
        <v>5.1736839712157945</v>
      </c>
      <c r="I50" s="46">
        <v>-8.0317447632426155</v>
      </c>
      <c r="J50" s="97"/>
      <c r="K50" s="54" t="str">
        <f t="shared" si="30"/>
        <v>-0.5450371,0.351088,1.197956,</v>
      </c>
      <c r="M50" s="46">
        <f t="shared" si="0"/>
        <v>35.691971644652682</v>
      </c>
      <c r="N50" s="46">
        <f t="shared" si="5"/>
        <v>47</v>
      </c>
      <c r="O50" s="50">
        <f t="shared" si="1"/>
        <v>10.980759388616107</v>
      </c>
      <c r="P50" s="50">
        <f t="shared" si="2"/>
        <v>46.672731033268789</v>
      </c>
      <c r="Q50" s="50">
        <f t="shared" si="3"/>
        <v>45.299797535773244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0.21241715467308619</v>
      </c>
      <c r="E51" s="46">
        <f t="shared" ref="E51:F51" si="32">(E42+E45+E48)/3</f>
        <v>1.0344611213297679</v>
      </c>
      <c r="F51" s="46">
        <f t="shared" si="32"/>
        <v>-0.43469844008889319</v>
      </c>
      <c r="J51" s="97">
        <f>(J42+J45+J48)/3</f>
        <v>16.263815835399679</v>
      </c>
      <c r="M51" s="46">
        <f t="shared" si="0"/>
        <v>38.077084934658956</v>
      </c>
      <c r="N51" s="46">
        <f t="shared" si="5"/>
        <v>48</v>
      </c>
      <c r="O51" s="50">
        <f t="shared" si="1"/>
        <v>8.4975586140120498</v>
      </c>
      <c r="P51" s="50">
        <f t="shared" si="2"/>
        <v>46.574643548671006</v>
      </c>
      <c r="Q51" s="50">
        <f t="shared" si="3"/>
        <v>44.931791443606421</v>
      </c>
    </row>
    <row r="52" spans="1:24">
      <c r="B52" s="46" t="str">
        <f t="shared" si="31"/>
        <v>Y</v>
      </c>
      <c r="C52" s="79"/>
      <c r="D52" s="46">
        <f t="shared" ref="D52:F53" si="33">(D43+D46+D49)/3</f>
        <v>6.2765982084231717E-2</v>
      </c>
      <c r="E52" s="46">
        <f t="shared" si="33"/>
        <v>1</v>
      </c>
      <c r="F52" s="46">
        <f t="shared" si="33"/>
        <v>-0.13305209924149039</v>
      </c>
      <c r="J52" s="97"/>
      <c r="M52" s="46">
        <f t="shared" si="0"/>
        <v>40.462198224665237</v>
      </c>
      <c r="N52" s="46">
        <f t="shared" si="5"/>
        <v>49</v>
      </c>
      <c r="O52" s="50">
        <f t="shared" si="1"/>
        <v>6.0143578394079924</v>
      </c>
      <c r="P52" s="50">
        <f t="shared" si="2"/>
        <v>46.476556064073229</v>
      </c>
      <c r="Q52" s="50">
        <f t="shared" si="3"/>
        <v>44.563785351439599</v>
      </c>
    </row>
    <row r="53" spans="1:24" ht="15.75" thickBot="1">
      <c r="B53" s="46" t="str">
        <f t="shared" si="31"/>
        <v>Z</v>
      </c>
      <c r="C53" s="79"/>
      <c r="D53" s="46">
        <f t="shared" si="33"/>
        <v>-0.46890960926911579</v>
      </c>
      <c r="E53" s="46">
        <f t="shared" si="33"/>
        <v>0.34069203357259586</v>
      </c>
      <c r="F53" s="46">
        <f t="shared" si="33"/>
        <v>1.034373833453474</v>
      </c>
      <c r="J53" s="100"/>
      <c r="M53" s="46">
        <f t="shared" si="0"/>
        <v>42.847311514671496</v>
      </c>
      <c r="N53" s="46">
        <f t="shared" si="5"/>
        <v>50</v>
      </c>
      <c r="O53" s="50">
        <f t="shared" si="1"/>
        <v>3.5311570648039492</v>
      </c>
      <c r="P53" s="50">
        <f t="shared" si="2"/>
        <v>46.378468579475445</v>
      </c>
      <c r="Q53" s="50">
        <f t="shared" si="3"/>
        <v>44.195779259272776</v>
      </c>
    </row>
    <row r="54" spans="1:24">
      <c r="B54" s="79" t="s">
        <v>14</v>
      </c>
      <c r="C54" s="79"/>
      <c r="D54" s="19">
        <f>I54/$H$55</f>
        <v>0.21016576436112425</v>
      </c>
      <c r="E54" s="20">
        <f>H54/$H$55</f>
        <v>1.034178074189035</v>
      </c>
      <c r="F54" s="21">
        <f>G54/$H$55</f>
        <v>-0.4266267554505544</v>
      </c>
      <c r="G54" s="46">
        <f t="array" ref="G54:I54">LINEST(D$31:D$39,$G$31:$I$39,FALSE)</f>
        <v>-6.8773685306356187</v>
      </c>
      <c r="H54" s="46">
        <v>16.671302612021339</v>
      </c>
      <c r="I54" s="46">
        <v>3.3879436663734883</v>
      </c>
      <c r="J54" s="98">
        <f>H55</f>
        <v>16.120340421154619</v>
      </c>
      <c r="M54" s="46">
        <f t="shared" si="0"/>
        <v>45.23242480467777</v>
      </c>
      <c r="N54" s="46">
        <f t="shared" si="5"/>
        <v>51</v>
      </c>
      <c r="O54" s="50">
        <f t="shared" si="1"/>
        <v>1.0479562901998918</v>
      </c>
      <c r="P54" s="50">
        <f t="shared" si="2"/>
        <v>46.280381094877661</v>
      </c>
      <c r="Q54" s="50">
        <f t="shared" si="3"/>
        <v>43.827773167105953</v>
      </c>
    </row>
    <row r="55" spans="1:24" ht="15" customHeight="1">
      <c r="B55" s="79"/>
      <c r="C55" s="79"/>
      <c r="D55" s="22">
        <f>I55/$H$55</f>
        <v>6.1257963090647995E-2</v>
      </c>
      <c r="E55" s="18">
        <f>H55/$H$55</f>
        <v>1</v>
      </c>
      <c r="F55" s="23">
        <f>G55/$H$55</f>
        <v>-0.12631775374208279</v>
      </c>
      <c r="G55" s="46">
        <f t="array" ref="G55:I55">LINEST(E$31:E$39,$G$31:$I$39,FALSE)</f>
        <v>-2.0362851915579525</v>
      </c>
      <c r="H55" s="46">
        <v>16.120340421154619</v>
      </c>
      <c r="I55" s="46">
        <v>0.98749921852777067</v>
      </c>
      <c r="J55" s="98"/>
      <c r="M55" s="46">
        <f t="shared" si="0"/>
        <v>47.617538094684029</v>
      </c>
      <c r="N55" s="46">
        <f t="shared" si="5"/>
        <v>52</v>
      </c>
      <c r="O55" s="50">
        <f t="shared" si="1"/>
        <v>-1.4352444844041514</v>
      </c>
      <c r="P55" s="50">
        <f t="shared" si="2"/>
        <v>46.182293610279878</v>
      </c>
      <c r="Q55" s="50">
        <f t="shared" si="3"/>
        <v>43.45976707493913</v>
      </c>
    </row>
    <row r="56" spans="1:24" ht="15" customHeight="1" thickBot="1">
      <c r="B56" s="79"/>
      <c r="C56" s="79"/>
      <c r="D56" s="24">
        <f>I56/$H$55</f>
        <v>-0.46702133917856758</v>
      </c>
      <c r="E56" s="25">
        <f>H56/$H$55</f>
        <v>0.34167289155104397</v>
      </c>
      <c r="F56" s="26">
        <f>G56/$H$55</f>
        <v>1.0330434574400917</v>
      </c>
      <c r="G56" s="46">
        <f t="array" ref="G56:I56">LINEST(F$31:F$39,$G$31:$I$39,FALSE)</f>
        <v>16.653012203780833</v>
      </c>
      <c r="H56" s="46">
        <v>5.5078833244830729</v>
      </c>
      <c r="I56" s="46">
        <v>-7.5285429715020245</v>
      </c>
      <c r="J56" s="98"/>
      <c r="M56" s="46">
        <f t="shared" si="0"/>
        <v>50.00265138469031</v>
      </c>
      <c r="N56" s="46">
        <f t="shared" si="5"/>
        <v>53</v>
      </c>
      <c r="O56" s="50">
        <f t="shared" si="1"/>
        <v>-3.9184452590082088</v>
      </c>
      <c r="P56" s="50">
        <f t="shared" si="2"/>
        <v>46.084206125682101</v>
      </c>
      <c r="Q56" s="50">
        <f t="shared" si="3"/>
        <v>43.091760982772307</v>
      </c>
    </row>
    <row r="57" spans="1:24">
      <c r="M57" s="46">
        <f t="shared" si="0"/>
        <v>52.387764674696584</v>
      </c>
      <c r="N57" s="46">
        <f t="shared" si="5"/>
        <v>54</v>
      </c>
      <c r="O57" s="50">
        <f t="shared" si="1"/>
        <v>-6.4016460336122663</v>
      </c>
      <c r="P57" s="50">
        <f t="shared" si="2"/>
        <v>45.986118641084317</v>
      </c>
      <c r="Q57" s="50">
        <f t="shared" si="3"/>
        <v>42.723754890605477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54.772877964702857</v>
      </c>
      <c r="N58" s="46">
        <f t="shared" si="5"/>
        <v>55</v>
      </c>
      <c r="O58" s="50">
        <f t="shared" si="1"/>
        <v>-8.8848468082163237</v>
      </c>
      <c r="P58" s="50">
        <f t="shared" si="2"/>
        <v>45.888031156486534</v>
      </c>
      <c r="Q58" s="50">
        <f t="shared" si="3"/>
        <v>42.355748798438654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57.157991254709131</v>
      </c>
      <c r="N59" s="46">
        <f t="shared" si="5"/>
        <v>56</v>
      </c>
      <c r="O59" s="50">
        <f t="shared" si="1"/>
        <v>-11.368047582820381</v>
      </c>
      <c r="P59" s="50">
        <f t="shared" si="2"/>
        <v>45.78994367188875</v>
      </c>
      <c r="Q59" s="50">
        <f t="shared" si="3"/>
        <v>41.987742706271831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519.09999999999991</v>
      </c>
      <c r="E60" s="32">
        <f t="shared" ref="E60:E68" si="37">getCCTfromXY(D22/SUM(D22:F22),E22/SUM(D22:F22))</f>
        <v>2883</v>
      </c>
      <c r="F60" s="31">
        <f t="shared" ref="F60:F68" si="38">V60</f>
        <v>519.65118165074955</v>
      </c>
      <c r="G60" s="32">
        <f t="shared" ref="G60:G68" si="39">getCCTfromXY(U60/X60,V60/X60)</f>
        <v>2772</v>
      </c>
      <c r="H60" s="33">
        <f>F60/D60-1</f>
        <v>1.0618024479862598E-3</v>
      </c>
      <c r="I60" s="34">
        <f t="shared" ref="I60:I68" si="40">G60/E60-1</f>
        <v>-3.8501560874089513E-2</v>
      </c>
      <c r="M60" s="46">
        <f t="shared" si="0"/>
        <v>59.543104544715376</v>
      </c>
      <c r="N60" s="46">
        <f t="shared" si="5"/>
        <v>57</v>
      </c>
      <c r="O60" s="50">
        <f t="shared" si="1"/>
        <v>-13.85124835742441</v>
      </c>
      <c r="P60" s="50">
        <f t="shared" si="2"/>
        <v>45.691856187290966</v>
      </c>
      <c r="Q60" s="50">
        <f t="shared" si="3"/>
        <v>41.619736614105008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565.86822585176697</v>
      </c>
      <c r="V60" s="50">
        <f>$J$54*$J$31*($D$55*G22+$E$55*H22+$F$55*I22)</f>
        <v>519.65118165074955</v>
      </c>
      <c r="W60" s="50">
        <f>$J$54*$J$31*($D$56*G22+$E$56*H22+$F$56*I22)</f>
        <v>136.32363174854837</v>
      </c>
      <c r="X60" s="29">
        <f>SUM(U60:W60)</f>
        <v>1221.843039251065</v>
      </c>
    </row>
    <row r="61" spans="1:24">
      <c r="A61" s="87"/>
      <c r="B61" s="48" t="str">
        <f t="shared" si="35"/>
        <v>CWF</v>
      </c>
      <c r="C61" s="93"/>
      <c r="D61" s="31">
        <f t="shared" si="36"/>
        <v>1213</v>
      </c>
      <c r="E61" s="32">
        <f t="shared" si="37"/>
        <v>3859</v>
      </c>
      <c r="F61" s="31">
        <f t="shared" si="38"/>
        <v>1199.3389892656553</v>
      </c>
      <c r="G61" s="32">
        <f t="shared" si="39"/>
        <v>3840</v>
      </c>
      <c r="H61" s="33">
        <f t="shared" ref="H61:H68" si="41">F61/D61-1</f>
        <v>-1.126216878346642E-2</v>
      </c>
      <c r="I61" s="34">
        <f t="shared" si="40"/>
        <v>-4.9235553252138242E-3</v>
      </c>
      <c r="M61" s="46">
        <f t="shared" si="0"/>
        <v>61.928217834721657</v>
      </c>
      <c r="N61" s="46">
        <f t="shared" si="5"/>
        <v>58</v>
      </c>
      <c r="O61" s="50">
        <f t="shared" si="1"/>
        <v>-16.334449132028467</v>
      </c>
      <c r="P61" s="50">
        <f t="shared" si="2"/>
        <v>45.59376870269319</v>
      </c>
      <c r="Q61" s="50">
        <f t="shared" si="3"/>
        <v>41.251730521938185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1190.8845844212615</v>
      </c>
      <c r="V61" s="50">
        <f>$J$54*$J$31*($D$55*G23+$E$55*H23+$F$55*I23)</f>
        <v>1199.3389892656553</v>
      </c>
      <c r="W61" s="50">
        <f>$J$54*$J$31*($D$56*G23+$E$56*H23+$F$56*I23)</f>
        <v>638.19895323355956</v>
      </c>
      <c r="X61" s="29">
        <f t="shared" ref="X61:X68" si="43">SUM(U61:W61)</f>
        <v>3028.4225269204767</v>
      </c>
    </row>
    <row r="62" spans="1:24">
      <c r="A62" s="87"/>
      <c r="B62" s="48" t="str">
        <f t="shared" si="35"/>
        <v>D65</v>
      </c>
      <c r="C62" s="93"/>
      <c r="D62" s="31">
        <f t="shared" si="36"/>
        <v>578.9</v>
      </c>
      <c r="E62" s="32">
        <f t="shared" si="37"/>
        <v>6328</v>
      </c>
      <c r="F62" s="31">
        <f t="shared" si="38"/>
        <v>575.27767386285495</v>
      </c>
      <c r="G62" s="32">
        <f t="shared" si="39"/>
        <v>6323</v>
      </c>
      <c r="H62" s="33">
        <f t="shared" si="41"/>
        <v>-6.2572571033771007E-3</v>
      </c>
      <c r="I62" s="34">
        <f t="shared" si="40"/>
        <v>-7.9013906447533699E-4</v>
      </c>
      <c r="M62" s="46">
        <f t="shared" si="0"/>
        <v>64.313331124727938</v>
      </c>
      <c r="N62" s="46">
        <f t="shared" si="5"/>
        <v>59</v>
      </c>
      <c r="O62" s="50">
        <f t="shared" si="1"/>
        <v>-18.817649906632525</v>
      </c>
      <c r="P62" s="50">
        <f t="shared" si="2"/>
        <v>45.495681218095406</v>
      </c>
      <c r="Q62" s="50">
        <f t="shared" si="3"/>
        <v>40.883724429771362</v>
      </c>
      <c r="R62" s="78"/>
      <c r="S62" s="46" t="str">
        <f t="shared" si="42"/>
        <v>D65</v>
      </c>
      <c r="T62" s="79"/>
      <c r="U62" s="50">
        <f>$J$54*$J$31*($D$54*G24+$E$54*H24+$F$54*I24)</f>
        <v>509.00416202757009</v>
      </c>
      <c r="V62" s="50">
        <f>$J$54*$J$31*($D$55*G24+$E$55*H24+$F$55*I24)</f>
        <v>575.27767386285495</v>
      </c>
      <c r="W62" s="50">
        <f>$J$54*$J$31*($D$56*G24+$E$56*H24+$F$56*I24)</f>
        <v>529.41226717675329</v>
      </c>
      <c r="X62" s="29">
        <f t="shared" si="43"/>
        <v>1613.6941030671783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519.09999999999991</v>
      </c>
      <c r="E63" s="32">
        <f t="shared" si="37"/>
        <v>2883</v>
      </c>
      <c r="F63" s="31">
        <f t="shared" si="38"/>
        <v>527.98068634766139</v>
      </c>
      <c r="G63" s="32">
        <f t="shared" si="39"/>
        <v>2911</v>
      </c>
      <c r="H63" s="33">
        <f t="shared" si="41"/>
        <v>1.7107852721366834E-2</v>
      </c>
      <c r="I63" s="34">
        <f t="shared" si="40"/>
        <v>9.7121054457163236E-3</v>
      </c>
      <c r="M63" s="46">
        <f t="shared" si="0"/>
        <v>66.698444414734212</v>
      </c>
      <c r="N63" s="46">
        <f t="shared" si="5"/>
        <v>60</v>
      </c>
      <c r="O63" s="50">
        <f t="shared" si="1"/>
        <v>-21.300850681236582</v>
      </c>
      <c r="P63" s="50">
        <f t="shared" si="2"/>
        <v>45.397593733497622</v>
      </c>
      <c r="Q63" s="50">
        <f t="shared" si="3"/>
        <v>40.51571833760454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567.25735669520179</v>
      </c>
      <c r="V63" s="50">
        <f>$J$54*$J$34*($D$55*G25+$E$55*H25+$F$55*I25)</f>
        <v>527.98068634766139</v>
      </c>
      <c r="W63" s="50">
        <f>$J$54*$J$34*($D$56*G25+$E$56*H25+$F$56*I25)</f>
        <v>164.02421923410225</v>
      </c>
      <c r="X63" s="29">
        <f t="shared" si="43"/>
        <v>1259.2622622769654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1213</v>
      </c>
      <c r="E64" s="32">
        <f t="shared" si="37"/>
        <v>3859</v>
      </c>
      <c r="F64" s="31">
        <f t="shared" si="38"/>
        <v>1180.8397887209842</v>
      </c>
      <c r="G64" s="32">
        <f t="shared" si="39"/>
        <v>3908</v>
      </c>
      <c r="H64" s="33">
        <f t="shared" si="41"/>
        <v>-2.651295241468743E-2</v>
      </c>
      <c r="I64" s="34">
        <f t="shared" si="40"/>
        <v>1.2697590049235652E-2</v>
      </c>
      <c r="M64" s="46">
        <f t="shared" si="0"/>
        <v>69.083557704740485</v>
      </c>
      <c r="N64" s="46">
        <f t="shared" si="5"/>
        <v>61</v>
      </c>
      <c r="O64" s="50">
        <f t="shared" si="1"/>
        <v>-23.78405145584064</v>
      </c>
      <c r="P64" s="50">
        <f t="shared" si="2"/>
        <v>45.299506248899839</v>
      </c>
      <c r="Q64" s="50">
        <f t="shared" si="3"/>
        <v>40.147712245437717</v>
      </c>
      <c r="R64" s="78"/>
      <c r="S64" s="46" t="str">
        <f t="shared" si="42"/>
        <v>CWF</v>
      </c>
      <c r="T64" s="79"/>
      <c r="U64" s="50">
        <f>$J$54*$J$34*($D$54*G26+$E$54*H26+$F$54*I26)</f>
        <v>1167.700774673026</v>
      </c>
      <c r="V64" s="50">
        <f>$J$54*$J$34*($D$55*G26+$E$55*H26+$F$55*I26)</f>
        <v>1180.8397887209842</v>
      </c>
      <c r="W64" s="50">
        <f>$J$54*$J$34*($D$56*G26+$E$56*H26+$F$56*I26)</f>
        <v>646.17069504143058</v>
      </c>
      <c r="X64" s="29">
        <f t="shared" si="43"/>
        <v>2994.7112584354404</v>
      </c>
    </row>
    <row r="65" spans="1:24">
      <c r="A65" s="87"/>
      <c r="B65" s="48" t="str">
        <f t="shared" si="35"/>
        <v>D65</v>
      </c>
      <c r="C65" s="93"/>
      <c r="D65" s="31">
        <f t="shared" si="36"/>
        <v>578.9</v>
      </c>
      <c r="E65" s="32">
        <f t="shared" si="37"/>
        <v>6328</v>
      </c>
      <c r="F65" s="31">
        <f t="shared" si="38"/>
        <v>584.96151469513529</v>
      </c>
      <c r="G65" s="32">
        <f t="shared" si="39"/>
        <v>6340</v>
      </c>
      <c r="H65" s="33">
        <f t="shared" si="41"/>
        <v>1.0470745716246954E-2</v>
      </c>
      <c r="I65" s="34">
        <f t="shared" si="40"/>
        <v>1.8963337547408532E-3</v>
      </c>
      <c r="M65" s="46">
        <f t="shared" si="0"/>
        <v>71.468670994746731</v>
      </c>
      <c r="N65" s="46">
        <f t="shared" si="5"/>
        <v>62</v>
      </c>
      <c r="O65" s="50">
        <f t="shared" si="1"/>
        <v>-26.267252230444669</v>
      </c>
      <c r="P65" s="50">
        <f t="shared" si="2"/>
        <v>45.201418764302062</v>
      </c>
      <c r="Q65" s="50">
        <f t="shared" si="3"/>
        <v>39.779706153270894</v>
      </c>
      <c r="R65" s="78"/>
      <c r="S65" s="46" t="str">
        <f t="shared" si="42"/>
        <v>D65</v>
      </c>
      <c r="T65" s="79"/>
      <c r="U65" s="50">
        <f>$J$54*$J$34*($D$54*G27+$E$54*H27+$F$54*I27)</f>
        <v>517.25935555996512</v>
      </c>
      <c r="V65" s="50">
        <f>$J$54*$J$34*($D$55*G27+$E$55*H27+$F$55*I27)</f>
        <v>584.96151469513529</v>
      </c>
      <c r="W65" s="50">
        <f>$J$54*$J$34*($D$56*G27+$E$56*H27+$F$56*I27)</f>
        <v>539.47130546950063</v>
      </c>
      <c r="X65" s="29">
        <f t="shared" si="43"/>
        <v>1641.6921757246009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519.09999999999991</v>
      </c>
      <c r="E66" s="32">
        <f t="shared" si="37"/>
        <v>2883</v>
      </c>
      <c r="F66" s="31">
        <f t="shared" si="38"/>
        <v>510.88656213810776</v>
      </c>
      <c r="G66" s="32">
        <f t="shared" si="39"/>
        <v>2984</v>
      </c>
      <c r="H66" s="33">
        <f t="shared" si="41"/>
        <v>-1.5822457834506198E-2</v>
      </c>
      <c r="I66" s="34">
        <f t="shared" si="40"/>
        <v>3.5032951786333699E-2</v>
      </c>
      <c r="M66" s="46">
        <f t="shared" si="0"/>
        <v>73.853784284753004</v>
      </c>
      <c r="N66" s="46">
        <f t="shared" si="5"/>
        <v>63</v>
      </c>
      <c r="O66" s="50">
        <f t="shared" si="1"/>
        <v>-28.750453005048726</v>
      </c>
      <c r="P66" s="50">
        <f t="shared" si="2"/>
        <v>45.103331279704278</v>
      </c>
      <c r="Q66" s="50">
        <f t="shared" si="3"/>
        <v>39.411700061104071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545.3352514397219</v>
      </c>
      <c r="V66" s="50">
        <f>$J$54*$J$37*($D$55*G28+$E$55*H28+$F$55*I28)</f>
        <v>510.88656213810776</v>
      </c>
      <c r="W66" s="50">
        <f>$J$54*$J$37*($D$56*G28+$E$56*H28+$F$56*I28)</f>
        <v>171.19828857376277</v>
      </c>
      <c r="X66" s="29">
        <f t="shared" si="43"/>
        <v>1227.4201021515923</v>
      </c>
    </row>
    <row r="67" spans="1:24">
      <c r="A67" s="87"/>
      <c r="B67" s="48" t="str">
        <f t="shared" si="35"/>
        <v>CWF</v>
      </c>
      <c r="C67" s="93"/>
      <c r="D67" s="31">
        <f t="shared" si="36"/>
        <v>1213</v>
      </c>
      <c r="E67" s="32">
        <f t="shared" si="37"/>
        <v>3859</v>
      </c>
      <c r="F67" s="31">
        <f t="shared" si="38"/>
        <v>1253.904592997593</v>
      </c>
      <c r="G67" s="32">
        <f t="shared" si="39"/>
        <v>3839</v>
      </c>
      <c r="H67" s="33">
        <f t="shared" si="41"/>
        <v>3.3721840888370158E-2</v>
      </c>
      <c r="I67" s="34">
        <f t="shared" si="40"/>
        <v>-5.1826898160145518E-3</v>
      </c>
      <c r="R67" s="78"/>
      <c r="S67" s="46" t="str">
        <f t="shared" si="42"/>
        <v>CWF</v>
      </c>
      <c r="T67" s="79"/>
      <c r="U67" s="50">
        <f>$J$54*$J$37*($D$54*G29+$E$54*H29+$F$54*I29)</f>
        <v>1244.9654105502839</v>
      </c>
      <c r="V67" s="50">
        <f>$J$54*$J$37*($D$55*G29+$E$55*H29+$F$55*I29)</f>
        <v>1253.904592997593</v>
      </c>
      <c r="W67" s="50">
        <f>$J$54*$J$37*($D$56*G29+$E$56*H29+$F$56*I29)</f>
        <v>666.60466953231344</v>
      </c>
      <c r="X67" s="29">
        <f t="shared" si="43"/>
        <v>3165.4746730801903</v>
      </c>
    </row>
    <row r="68" spans="1:24">
      <c r="A68" s="87"/>
      <c r="B68" s="48" t="str">
        <f t="shared" si="35"/>
        <v>D65</v>
      </c>
      <c r="C68" s="93"/>
      <c r="D68" s="31">
        <f t="shared" si="36"/>
        <v>578.9</v>
      </c>
      <c r="E68" s="32">
        <f t="shared" si="37"/>
        <v>6328</v>
      </c>
      <c r="F68" s="31">
        <f t="shared" si="38"/>
        <v>580.32808075579146</v>
      </c>
      <c r="G68" s="32">
        <f t="shared" si="39"/>
        <v>6239</v>
      </c>
      <c r="H68" s="33">
        <f t="shared" si="41"/>
        <v>2.4668867780126558E-3</v>
      </c>
      <c r="I68" s="34">
        <f t="shared" si="40"/>
        <v>-1.4064475347661198E-2</v>
      </c>
      <c r="R68" s="78"/>
      <c r="S68" s="46" t="str">
        <f t="shared" si="42"/>
        <v>D65</v>
      </c>
      <c r="T68" s="79"/>
      <c r="U68" s="50">
        <f>$J$54*$J$37*($D$54*G30+$E$54*H30+$F$54*I30)</f>
        <v>514.91314362707908</v>
      </c>
      <c r="V68" s="50">
        <f>$J$54*$J$37*($D$55*G30+$E$55*H30+$F$55*I30)</f>
        <v>580.32808075579146</v>
      </c>
      <c r="W68" s="50">
        <f>$J$54*$J$37*($D$56*G30+$E$56*H30+$F$56*I30)</f>
        <v>528.16799644744299</v>
      </c>
      <c r="X68" s="29">
        <f t="shared" si="43"/>
        <v>1623.4092208303136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3.3721840888370158E-2</v>
      </c>
      <c r="G69" s="47"/>
      <c r="H69" s="36" t="str">
        <f>I59</f>
        <v>CCT</v>
      </c>
      <c r="I69" s="38">
        <f>MAX(MAX(I60:I68,-MIN(I60:I68)))</f>
        <v>3.8501560874089513E-2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519.09999999999991</v>
      </c>
      <c r="E72" s="31">
        <f t="shared" ref="E72:E80" si="47">E60</f>
        <v>2883</v>
      </c>
      <c r="F72" s="31">
        <f t="shared" ref="F72:F80" si="48">V72</f>
        <v>522.42028341330422</v>
      </c>
      <c r="G72" s="32">
        <f t="shared" ref="G72:G80" si="49">getCCTfromXY(U72/X72,V72/X72)</f>
        <v>2762</v>
      </c>
      <c r="H72" s="33">
        <f>F72/D72-1</f>
        <v>6.3962308096789933E-3</v>
      </c>
      <c r="I72" s="34">
        <f t="shared" ref="I72:I80" si="50">G72/E72-1</f>
        <v>-4.1970169961845327E-2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569.43346422169725</v>
      </c>
      <c r="V72" s="50">
        <f>$J$51*$J$31*($D$52*G22+$E$52*H22+$F$52*I22)</f>
        <v>522.42028341330422</v>
      </c>
      <c r="W72" s="50">
        <f>$J$51*$J$31*($D$53*G22+$E$53*H22+$F$53*I22)</f>
        <v>135.22163244938025</v>
      </c>
      <c r="X72" s="29">
        <f>SUM(U72:W72)</f>
        <v>1227.0753800843818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1213</v>
      </c>
      <c r="E73" s="31">
        <f t="shared" si="47"/>
        <v>3859</v>
      </c>
      <c r="F73" s="31">
        <f t="shared" si="48"/>
        <v>1206.9176280306508</v>
      </c>
      <c r="G73" s="32">
        <f t="shared" si="49"/>
        <v>3837</v>
      </c>
      <c r="H73" s="33">
        <f t="shared" ref="H73:H80" si="52">F73/D73-1</f>
        <v>-5.0143214916316126E-3</v>
      </c>
      <c r="I73" s="34">
        <f t="shared" si="50"/>
        <v>-5.700958797616007E-3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1198.5971817742852</v>
      </c>
      <c r="V73" s="50">
        <f t="shared" ref="V73:V74" si="55">$J$51*$J$31*($D$52*G23+$E$52*H23+$F$52*I23)</f>
        <v>1206.9176280306508</v>
      </c>
      <c r="W73" s="50">
        <f t="shared" ref="W73:W74" si="56">$J$51*$J$31*($D$53*G23+$E$53*H23+$F$53*I23)</f>
        <v>641.57953969288644</v>
      </c>
      <c r="X73" s="29">
        <f t="shared" ref="X73:X80" si="57">SUM(U73:W73)</f>
        <v>3047.0943494978223</v>
      </c>
    </row>
    <row r="74" spans="1:24">
      <c r="A74" s="87"/>
      <c r="B74" s="48" t="str">
        <f t="shared" si="46"/>
        <v>X</v>
      </c>
      <c r="C74" s="93"/>
      <c r="D74" s="31">
        <f t="shared" si="51"/>
        <v>578.9</v>
      </c>
      <c r="E74" s="31">
        <f t="shared" si="47"/>
        <v>6328</v>
      </c>
      <c r="F74" s="31">
        <f t="shared" si="48"/>
        <v>577.60274406664735</v>
      </c>
      <c r="G74" s="32">
        <f t="shared" si="49"/>
        <v>6350</v>
      </c>
      <c r="H74" s="33">
        <f t="shared" si="52"/>
        <v>-2.2408981401842443E-3</v>
      </c>
      <c r="I74" s="34">
        <f t="shared" si="50"/>
        <v>3.4766118836915272E-3</v>
      </c>
      <c r="R74" s="78"/>
      <c r="S74" s="46" t="str">
        <f t="shared" si="53"/>
        <v>D65</v>
      </c>
      <c r="T74" s="79"/>
      <c r="U74" s="50">
        <f t="shared" si="54"/>
        <v>510.55851312906213</v>
      </c>
      <c r="V74" s="50">
        <f t="shared" si="55"/>
        <v>577.60274406664735</v>
      </c>
      <c r="W74" s="50">
        <f t="shared" si="56"/>
        <v>533.35626902598119</v>
      </c>
      <c r="X74" s="29">
        <f t="shared" si="57"/>
        <v>1621.5175262216906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519.09999999999991</v>
      </c>
      <c r="E75" s="31">
        <f t="shared" si="47"/>
        <v>2883</v>
      </c>
      <c r="F75" s="31">
        <f t="shared" si="48"/>
        <v>530.71512803792189</v>
      </c>
      <c r="G75" s="32">
        <f t="shared" si="49"/>
        <v>2901</v>
      </c>
      <c r="H75" s="33">
        <f t="shared" si="52"/>
        <v>2.2375511535199344E-2</v>
      </c>
      <c r="I75" s="34">
        <f t="shared" si="50"/>
        <v>6.2434963579605096E-3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570.69398381805979</v>
      </c>
      <c r="V75" s="50">
        <f>$J$51*$J$34*($D$52*G25+$E$52*H25+$F$52*I25)</f>
        <v>530.71512803792189</v>
      </c>
      <c r="W75" s="50">
        <f>$J$51*$J$34*($D$53*G25+$E$53*H25+$F$53*I25)</f>
        <v>163.22852285004799</v>
      </c>
      <c r="X75" s="29">
        <f t="shared" si="57"/>
        <v>1264.6376347060298</v>
      </c>
    </row>
    <row r="76" spans="1:24">
      <c r="A76" s="87"/>
      <c r="B76" s="48" t="str">
        <f t="shared" si="46"/>
        <v>Z</v>
      </c>
      <c r="C76" s="93"/>
      <c r="D76" s="31">
        <f t="shared" si="51"/>
        <v>1213</v>
      </c>
      <c r="E76" s="31">
        <f t="shared" si="47"/>
        <v>3859</v>
      </c>
      <c r="F76" s="31">
        <f t="shared" si="48"/>
        <v>1188.1785633592108</v>
      </c>
      <c r="G76" s="32">
        <f t="shared" si="49"/>
        <v>3906</v>
      </c>
      <c r="H76" s="33">
        <f t="shared" si="52"/>
        <v>-2.0462849662645666E-2</v>
      </c>
      <c r="I76" s="34">
        <f t="shared" si="50"/>
        <v>1.2179321067634197E-2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1175.1077710772679</v>
      </c>
      <c r="V76" s="50">
        <f t="shared" ref="V76:V77" si="59">$J$51*$J$34*($D$52*G26+$E$52*H26+$F$52*I26)</f>
        <v>1188.1785633592108</v>
      </c>
      <c r="W76" s="50">
        <f t="shared" ref="W76:W77" si="60">$J$51*$J$34*($D$53*G26+$E$53*H26+$F$53*I26)</f>
        <v>649.66915179856005</v>
      </c>
      <c r="X76" s="29">
        <f t="shared" si="57"/>
        <v>3012.9554862350387</v>
      </c>
    </row>
    <row r="77" spans="1:24">
      <c r="A77" s="87"/>
      <c r="B77" s="48" t="str">
        <f t="shared" si="46"/>
        <v>X</v>
      </c>
      <c r="C77" s="93"/>
      <c r="D77" s="31">
        <f t="shared" si="51"/>
        <v>578.9</v>
      </c>
      <c r="E77" s="31">
        <f t="shared" si="47"/>
        <v>6328</v>
      </c>
      <c r="F77" s="31">
        <f t="shared" si="48"/>
        <v>587.31817245805416</v>
      </c>
      <c r="G77" s="32">
        <f t="shared" si="49"/>
        <v>6367</v>
      </c>
      <c r="H77" s="33">
        <f t="shared" si="52"/>
        <v>1.4541669473232322E-2</v>
      </c>
      <c r="I77" s="34">
        <f t="shared" si="50"/>
        <v>6.1630847029077174E-3</v>
      </c>
      <c r="R77" s="78"/>
      <c r="S77" s="46" t="str">
        <f t="shared" si="53"/>
        <v>D65</v>
      </c>
      <c r="T77" s="79"/>
      <c r="U77" s="50">
        <f t="shared" si="58"/>
        <v>518.82816150332576</v>
      </c>
      <c r="V77" s="50">
        <f t="shared" si="59"/>
        <v>587.31817245805416</v>
      </c>
      <c r="W77" s="50">
        <f t="shared" si="60"/>
        <v>543.4929510547172</v>
      </c>
      <c r="X77" s="29">
        <f t="shared" si="57"/>
        <v>1649.6392850160971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519.09999999999991</v>
      </c>
      <c r="E78" s="31">
        <f t="shared" si="47"/>
        <v>2883</v>
      </c>
      <c r="F78" s="31">
        <f t="shared" si="48"/>
        <v>513.46881956480922</v>
      </c>
      <c r="G78" s="32">
        <f t="shared" si="49"/>
        <v>2975</v>
      </c>
      <c r="H78" s="33">
        <f t="shared" si="52"/>
        <v>-1.084796847464975E-2</v>
      </c>
      <c r="I78" s="34">
        <f t="shared" si="50"/>
        <v>3.1911203607353444E-2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548.54874053811159</v>
      </c>
      <c r="V78" s="50">
        <f>$J$51*$J$37*($D$52*G28+$E$52*H28+$F$52*I28)</f>
        <v>513.46881956480922</v>
      </c>
      <c r="W78" s="50">
        <f>$J$51*$J$37*($D$53*G28+$E$53*H28+$F$53*I28)</f>
        <v>170.56616304890645</v>
      </c>
      <c r="X78" s="29">
        <f t="shared" si="57"/>
        <v>1232.5837231518274</v>
      </c>
    </row>
    <row r="79" spans="1:24">
      <c r="A79" s="87"/>
      <c r="B79" s="48" t="str">
        <f t="shared" si="46"/>
        <v>Z</v>
      </c>
      <c r="C79" s="93"/>
      <c r="D79" s="31">
        <f t="shared" si="51"/>
        <v>1213</v>
      </c>
      <c r="E79" s="31">
        <f t="shared" si="47"/>
        <v>3859</v>
      </c>
      <c r="F79" s="31">
        <f t="shared" si="48"/>
        <v>1261.8658117290918</v>
      </c>
      <c r="G79" s="32">
        <f t="shared" si="49"/>
        <v>3836</v>
      </c>
      <c r="H79" s="33">
        <f t="shared" si="52"/>
        <v>4.0285087987709689E-2</v>
      </c>
      <c r="I79" s="34">
        <f t="shared" si="50"/>
        <v>-5.9600932884167346E-3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1253.0635876510253</v>
      </c>
      <c r="V79" s="50">
        <f t="shared" ref="V79:V80" si="62">$J$51*$J$37*($D$52*G29+$E$52*H29+$F$52*I29)</f>
        <v>1261.8658117290918</v>
      </c>
      <c r="W79" s="50">
        <f t="shared" ref="W79:W80" si="63">$J$51*$J$37*($D$53*G29+$E$53*H29+$F$53*I29)</f>
        <v>670.16076372136695</v>
      </c>
      <c r="X79" s="29">
        <f t="shared" si="57"/>
        <v>3185.090163101484</v>
      </c>
    </row>
    <row r="80" spans="1:24">
      <c r="A80" s="87"/>
      <c r="B80" s="48" t="str">
        <f t="shared" si="46"/>
        <v>X</v>
      </c>
      <c r="C80" s="93"/>
      <c r="D80" s="31">
        <f t="shared" si="51"/>
        <v>578.9</v>
      </c>
      <c r="E80" s="31">
        <f t="shared" si="47"/>
        <v>6328</v>
      </c>
      <c r="F80" s="31">
        <f t="shared" si="48"/>
        <v>582.73302682239239</v>
      </c>
      <c r="G80" s="32">
        <f t="shared" si="49"/>
        <v>6264</v>
      </c>
      <c r="H80" s="33">
        <f t="shared" si="52"/>
        <v>6.621224429767425E-3</v>
      </c>
      <c r="I80" s="34">
        <f t="shared" si="50"/>
        <v>-1.0113780025284402E-2</v>
      </c>
      <c r="R80" s="78"/>
      <c r="S80" s="46" t="str">
        <f t="shared" si="53"/>
        <v>D65</v>
      </c>
      <c r="T80" s="79"/>
      <c r="U80" s="50">
        <f t="shared" si="61"/>
        <v>516.55865563618772</v>
      </c>
      <c r="V80" s="50">
        <f t="shared" si="62"/>
        <v>582.73302682239239</v>
      </c>
      <c r="W80" s="50">
        <f t="shared" si="63"/>
        <v>532.10597834387295</v>
      </c>
      <c r="X80" s="29">
        <f t="shared" si="57"/>
        <v>1631.3976608024529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4.0285087987709689E-2</v>
      </c>
      <c r="G81" s="47"/>
      <c r="H81" s="36" t="str">
        <f>I71</f>
        <v>CCT</v>
      </c>
      <c r="I81" s="38">
        <f>MAX(MAX(I72:I80,-MIN(I72:I80)))</f>
        <v>4.1970169961845327E-2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519.09999999999991</v>
      </c>
      <c r="E84" s="31">
        <f t="shared" ref="E84:E92" si="67">E72</f>
        <v>2883</v>
      </c>
      <c r="F84" s="31">
        <f t="shared" ref="F84:F92" si="68">V84</f>
        <v>519.10000000000014</v>
      </c>
      <c r="G84" s="32">
        <f t="shared" ref="G84:G92" si="69">getCCTfromXY(U84/X84,V84/X84)</f>
        <v>2883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559.19999999999959</v>
      </c>
      <c r="V84" s="50">
        <f>$J$42*$J$31*($D$43*G22+$E$43*H22+$F$43*I22)</f>
        <v>519.10000000000014</v>
      </c>
      <c r="W84" s="50">
        <f>$J$42*$J$31*($D$44*G22+$E$44*H22+$F$44*I22)</f>
        <v>156.59999999999974</v>
      </c>
      <c r="X84" s="29">
        <f>SUM(U84:W84)</f>
        <v>1234.8999999999994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1213</v>
      </c>
      <c r="E85" s="31">
        <f t="shared" si="67"/>
        <v>3859</v>
      </c>
      <c r="F85" s="31">
        <f t="shared" si="68"/>
        <v>1213.0000000000002</v>
      </c>
      <c r="G85" s="32">
        <f t="shared" si="69"/>
        <v>3859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1203</v>
      </c>
      <c r="V85" s="50">
        <f t="shared" ref="V85:V86" si="75">$J$42*$J$31*($D$43*G23+$E$43*H23+$F$43*I23)</f>
        <v>1213.0000000000002</v>
      </c>
      <c r="W85" s="50">
        <f t="shared" ref="W85:W86" si="76">$J$42*$J$31*($D$44*G23+$E$44*H23+$F$44*I23)</f>
        <v>650.49999999999977</v>
      </c>
      <c r="X85" s="29">
        <f t="shared" ref="X85:X92" si="77">SUM(U85:W85)</f>
        <v>3066.5</v>
      </c>
    </row>
    <row r="86" spans="1:24">
      <c r="A86" s="87"/>
      <c r="B86" s="48">
        <f t="shared" si="66"/>
        <v>0</v>
      </c>
      <c r="C86" s="93"/>
      <c r="D86" s="31">
        <f t="shared" si="71"/>
        <v>578.9</v>
      </c>
      <c r="E86" s="31">
        <f t="shared" si="67"/>
        <v>6328</v>
      </c>
      <c r="F86" s="31">
        <f t="shared" si="68"/>
        <v>578.90000000000009</v>
      </c>
      <c r="G86" s="32">
        <f t="shared" si="69"/>
        <v>6328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512.05000000000007</v>
      </c>
      <c r="V86" s="50">
        <f t="shared" si="75"/>
        <v>578.90000000000009</v>
      </c>
      <c r="W86" s="50">
        <f t="shared" si="76"/>
        <v>533.05000000000007</v>
      </c>
      <c r="X86" s="29">
        <f t="shared" si="77"/>
        <v>1624.0000000000005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519.09999999999991</v>
      </c>
      <c r="E87" s="31">
        <f t="shared" si="67"/>
        <v>2883</v>
      </c>
      <c r="F87" s="31">
        <f t="shared" si="68"/>
        <v>519.1</v>
      </c>
      <c r="G87" s="32">
        <f t="shared" si="69"/>
        <v>2883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559.20000000000005</v>
      </c>
      <c r="V87" s="50">
        <f>$J$45*$J$34*($D$46*G25+$E$46*H25+$F$46*I25)</f>
        <v>519.1</v>
      </c>
      <c r="W87" s="50">
        <f>$J$45*$J$34*($D$47*G25+$E$47*H25+$F$47*I25)</f>
        <v>156.60000000000045</v>
      </c>
      <c r="X87" s="29">
        <f t="shared" si="77"/>
        <v>1234.9000000000005</v>
      </c>
    </row>
    <row r="88" spans="1:24">
      <c r="A88" s="87"/>
      <c r="B88" s="48">
        <f t="shared" si="66"/>
        <v>0</v>
      </c>
      <c r="C88" s="93"/>
      <c r="D88" s="31">
        <f t="shared" si="71"/>
        <v>1213</v>
      </c>
      <c r="E88" s="31">
        <f t="shared" si="67"/>
        <v>3859</v>
      </c>
      <c r="F88" s="31">
        <f t="shared" si="68"/>
        <v>1213</v>
      </c>
      <c r="G88" s="32">
        <f t="shared" si="69"/>
        <v>3859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1203</v>
      </c>
      <c r="V88" s="50">
        <f t="shared" ref="V88:V89" si="79">$J$45*$J$34*($D$46*G26+$E$46*H26+$F$46*I26)</f>
        <v>1213</v>
      </c>
      <c r="W88" s="50">
        <f t="shared" ref="W88:W89" si="80">$J$45*$J$34*($D$47*G26+$E$47*H26+$F$47*I26)</f>
        <v>650.50000000000034</v>
      </c>
      <c r="X88" s="29">
        <f t="shared" si="77"/>
        <v>3066.5000000000005</v>
      </c>
    </row>
    <row r="89" spans="1:24">
      <c r="A89" s="87"/>
      <c r="B89" s="48" t="str">
        <f t="shared" si="66"/>
        <v>A</v>
      </c>
      <c r="C89" s="93"/>
      <c r="D89" s="31">
        <f t="shared" si="71"/>
        <v>578.9</v>
      </c>
      <c r="E89" s="31">
        <f t="shared" si="67"/>
        <v>6328</v>
      </c>
      <c r="F89" s="31">
        <f t="shared" si="68"/>
        <v>578.90000000000009</v>
      </c>
      <c r="G89" s="32">
        <f t="shared" si="69"/>
        <v>6328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512.04999999999995</v>
      </c>
      <c r="V89" s="50">
        <f t="shared" si="79"/>
        <v>578.90000000000009</v>
      </c>
      <c r="W89" s="50">
        <f t="shared" si="80"/>
        <v>533.05000000000007</v>
      </c>
      <c r="X89" s="29">
        <f t="shared" si="77"/>
        <v>1624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519.09999999999991</v>
      </c>
      <c r="E90" s="31">
        <f t="shared" si="67"/>
        <v>2883</v>
      </c>
      <c r="F90" s="31">
        <f t="shared" si="68"/>
        <v>519.0999999999998</v>
      </c>
      <c r="G90" s="32">
        <f t="shared" si="69"/>
        <v>2883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559.20000000000061</v>
      </c>
      <c r="V90" s="50">
        <f>$J$48*$J$37*($D$49*G28+$E$49*H28+$F$49*I28)</f>
        <v>519.0999999999998</v>
      </c>
      <c r="W90" s="50">
        <f>$J$48*$J$37*($D$50*G28+$E$50*H28+$F$50*I28)</f>
        <v>156.5999999999998</v>
      </c>
      <c r="X90" s="29">
        <f t="shared" si="77"/>
        <v>1234.9000000000001</v>
      </c>
    </row>
    <row r="91" spans="1:24">
      <c r="A91" s="87"/>
      <c r="B91" s="48" t="str">
        <f t="shared" si="66"/>
        <v>D65</v>
      </c>
      <c r="C91" s="93"/>
      <c r="D91" s="31">
        <f t="shared" si="71"/>
        <v>1213</v>
      </c>
      <c r="E91" s="31">
        <f t="shared" si="67"/>
        <v>3859</v>
      </c>
      <c r="F91" s="31">
        <f t="shared" si="68"/>
        <v>1213</v>
      </c>
      <c r="G91" s="32">
        <f t="shared" si="69"/>
        <v>3859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1202.9999999999998</v>
      </c>
      <c r="V91" s="50">
        <f t="shared" ref="V91:V92" si="82">$J$48*$J$37*($D$49*G29+$E$49*H29+$F$49*I29)</f>
        <v>1213</v>
      </c>
      <c r="W91" s="50">
        <f t="shared" ref="W91:W92" si="83">$J$48*$J$37*($D$50*G29+$E$50*H29+$F$50*I29)</f>
        <v>650.5</v>
      </c>
      <c r="X91" s="29">
        <f t="shared" si="77"/>
        <v>3066.5</v>
      </c>
    </row>
    <row r="92" spans="1:24">
      <c r="A92" s="87"/>
      <c r="B92" s="48" t="str">
        <f t="shared" si="66"/>
        <v>A</v>
      </c>
      <c r="C92" s="93"/>
      <c r="D92" s="31">
        <f t="shared" si="71"/>
        <v>578.9</v>
      </c>
      <c r="E92" s="31">
        <f t="shared" si="67"/>
        <v>6328</v>
      </c>
      <c r="F92" s="31">
        <f t="shared" si="68"/>
        <v>578.9</v>
      </c>
      <c r="G92" s="32">
        <f t="shared" si="69"/>
        <v>6328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512.04999999999984</v>
      </c>
      <c r="V92" s="50">
        <f t="shared" si="82"/>
        <v>578.9</v>
      </c>
      <c r="W92" s="50">
        <f t="shared" si="83"/>
        <v>533.04999999999984</v>
      </c>
      <c r="X92" s="29">
        <f t="shared" si="77"/>
        <v>1623.9999999999995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6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2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1.1323968640808673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81.749015417946964</v>
      </c>
      <c r="N3" s="46">
        <v>0</v>
      </c>
      <c r="O3" s="50">
        <f>G$5-N3*G$7</f>
        <v>135.96138694858723</v>
      </c>
      <c r="P3" s="50">
        <f>H$5-N3*H$7</f>
        <v>54.212371530640269</v>
      </c>
      <c r="Q3" s="50">
        <f>I$5-N3*I$7</f>
        <v>64.853205907906158</v>
      </c>
    </row>
    <row r="4" spans="1:17">
      <c r="C4" s="46" t="s">
        <v>20</v>
      </c>
      <c r="D4" s="7">
        <v>529.70000000000005</v>
      </c>
      <c r="E4" s="7">
        <v>1213</v>
      </c>
      <c r="F4" s="7">
        <v>575.5</v>
      </c>
      <c r="G4" s="50">
        <f>AVERAGE(D4:F4)</f>
        <v>772.73333333333323</v>
      </c>
      <c r="H4" s="50">
        <f>G4</f>
        <v>772.73333333333323</v>
      </c>
      <c r="I4" s="50">
        <f>H4</f>
        <v>772.73333333333323</v>
      </c>
      <c r="K4" s="13" t="str">
        <f>linefmt("Compensation",B12)</f>
        <v>"Compensation",36,</v>
      </c>
      <c r="M4" s="46">
        <f t="shared" si="0"/>
        <v>79.479626376761701</v>
      </c>
      <c r="N4" s="46">
        <f>N3+1</f>
        <v>1</v>
      </c>
      <c r="O4" s="50">
        <f t="shared" ref="O4:O66" si="1">G$5-N4*G$7</f>
        <v>133.60014517505152</v>
      </c>
      <c r="P4" s="50">
        <f t="shared" ref="P4:P66" si="2">H$5-N4*H$7</f>
        <v>54.120518798289829</v>
      </c>
      <c r="Q4" s="50">
        <f t="shared" ref="Q4:Q66" si="3">I$5-N4*I$7</f>
        <v>64.497229911300579</v>
      </c>
    </row>
    <row r="5" spans="1:17">
      <c r="C5" s="46">
        <v>0</v>
      </c>
      <c r="D5" s="9">
        <v>93.2</v>
      </c>
      <c r="E5" s="9">
        <v>85.1</v>
      </c>
      <c r="F5" s="9">
        <v>48.3</v>
      </c>
      <c r="G5" s="50">
        <f>G$4/D$4*D5</f>
        <v>135.96138694858723</v>
      </c>
      <c r="H5" s="50">
        <f t="shared" ref="H5:I6" si="4">H$4/E$4*E5</f>
        <v>54.212371530640269</v>
      </c>
      <c r="I5" s="50">
        <f t="shared" si="4"/>
        <v>64.853205907906158</v>
      </c>
      <c r="K5" s="14" t="str">
        <f>linefmt("CardGain",J54)</f>
        <v>"CardGain",15.02364,</v>
      </c>
      <c r="M5" s="46">
        <f t="shared" si="0"/>
        <v>77.210237335576466</v>
      </c>
      <c r="N5" s="46">
        <f t="shared" ref="N5:N66" si="5">N4+1</f>
        <v>2</v>
      </c>
      <c r="O5" s="50">
        <f t="shared" si="1"/>
        <v>131.23890340151584</v>
      </c>
      <c r="P5" s="50">
        <f t="shared" si="2"/>
        <v>54.028666065939383</v>
      </c>
      <c r="Q5" s="50">
        <f t="shared" si="3"/>
        <v>64.141253914695</v>
      </c>
    </row>
    <row r="6" spans="1:17">
      <c r="B6" s="50">
        <f>D5/4</f>
        <v>23.3</v>
      </c>
      <c r="C6" s="7">
        <v>43</v>
      </c>
      <c r="D6" s="9">
        <v>23.6</v>
      </c>
      <c r="E6" s="9">
        <v>78.900000000000006</v>
      </c>
      <c r="F6" s="9">
        <v>36.9</v>
      </c>
      <c r="G6" s="50">
        <f>G$4/D$4*D6</f>
        <v>34.427990686552128</v>
      </c>
      <c r="H6" s="50">
        <f t="shared" si="4"/>
        <v>50.262704039571304</v>
      </c>
      <c r="I6" s="50">
        <f t="shared" si="4"/>
        <v>49.546238053866198</v>
      </c>
      <c r="K6" s="14" t="str">
        <f>linefmt("Range",1,J34,J37)</f>
        <v>"Range",1,0.8701447,1.081401,</v>
      </c>
      <c r="M6" s="46">
        <f t="shared" si="0"/>
        <v>74.940848294391188</v>
      </c>
      <c r="N6" s="46">
        <f t="shared" si="5"/>
        <v>3</v>
      </c>
      <c r="O6" s="50">
        <f t="shared" si="1"/>
        <v>128.87766162798013</v>
      </c>
      <c r="P6" s="50">
        <f t="shared" si="2"/>
        <v>53.936813333588944</v>
      </c>
      <c r="Q6" s="50">
        <f t="shared" si="3"/>
        <v>63.78527791808942</v>
      </c>
    </row>
    <row r="7" spans="1:17">
      <c r="C7" s="46">
        <f>C5</f>
        <v>0</v>
      </c>
      <c r="D7" s="46">
        <f t="shared" ref="D7:F8" si="6">D$4/D5</f>
        <v>5.6834763948497855</v>
      </c>
      <c r="E7" s="46">
        <f t="shared" si="6"/>
        <v>14.253819036427734</v>
      </c>
      <c r="F7" s="46">
        <f t="shared" si="6"/>
        <v>11.915113871635612</v>
      </c>
      <c r="G7" s="49">
        <f>(G5-G6)/($C6-$C5)</f>
        <v>2.3612417735357001</v>
      </c>
      <c r="H7" s="49">
        <f t="shared" ref="H7:I7" si="7">(H5-H6)/($C6-$C5)</f>
        <v>9.1852732350441044E-2</v>
      </c>
      <c r="I7" s="49">
        <f t="shared" si="7"/>
        <v>0.35597599660558049</v>
      </c>
      <c r="K7" s="14" t="str">
        <f>linefmt("CCM" )</f>
        <v>"CCM",</v>
      </c>
      <c r="M7" s="46">
        <f t="shared" si="0"/>
        <v>72.671459253205938</v>
      </c>
      <c r="N7" s="46">
        <f t="shared" si="5"/>
        <v>4</v>
      </c>
      <c r="O7" s="50">
        <f t="shared" si="1"/>
        <v>126.51641985444444</v>
      </c>
      <c r="P7" s="50">
        <f t="shared" si="2"/>
        <v>53.844960601238505</v>
      </c>
      <c r="Q7" s="50">
        <f t="shared" si="3"/>
        <v>63.429301921483834</v>
      </c>
    </row>
    <row r="8" spans="1:17">
      <c r="C8" s="46">
        <f>C6</f>
        <v>43</v>
      </c>
      <c r="D8" s="46">
        <f t="shared" si="6"/>
        <v>22.444915254237287</v>
      </c>
      <c r="E8" s="46">
        <f t="shared" si="6"/>
        <v>15.373891001267426</v>
      </c>
      <c r="F8" s="46">
        <f t="shared" si="6"/>
        <v>15.596205962059621</v>
      </c>
      <c r="K8" s="15" t="str">
        <f>linefmt("",D54,E54,F54)</f>
        <v>0.1892763,1.034438,-0.3731807,</v>
      </c>
      <c r="M8" s="46">
        <f t="shared" si="0"/>
        <v>70.402070212020675</v>
      </c>
      <c r="N8" s="46">
        <f t="shared" si="5"/>
        <v>5</v>
      </c>
      <c r="O8" s="50">
        <f t="shared" si="1"/>
        <v>124.15517808090874</v>
      </c>
      <c r="P8" s="50">
        <f t="shared" si="2"/>
        <v>53.753107868888065</v>
      </c>
      <c r="Q8" s="50">
        <f t="shared" si="3"/>
        <v>63.073325924878255</v>
      </c>
    </row>
    <row r="9" spans="1:17">
      <c r="C9" s="46" t="s">
        <v>23</v>
      </c>
      <c r="D9" s="46">
        <f>(D8-D7)/($C8-$C7)</f>
        <v>0.38980090370668613</v>
      </c>
      <c r="E9" s="46">
        <f>(E8-E7)/($C8-$C7)</f>
        <v>2.6048185228830047E-2</v>
      </c>
      <c r="F9" s="46">
        <f>(F8-F7)/($C8-$C7)</f>
        <v>8.5606792800558357E-2</v>
      </c>
      <c r="K9" s="15" t="str">
        <f>linefmt("",D55,E55,F55)</f>
        <v>3.061082E-02,1,-3.980347E-02,</v>
      </c>
      <c r="M9" s="46">
        <f t="shared" si="0"/>
        <v>68.132681170835411</v>
      </c>
      <c r="N9" s="46">
        <f t="shared" si="5"/>
        <v>6</v>
      </c>
      <c r="O9" s="50">
        <f t="shared" si="1"/>
        <v>121.79393630737303</v>
      </c>
      <c r="P9" s="50">
        <f t="shared" si="2"/>
        <v>53.661255136537619</v>
      </c>
      <c r="Q9" s="50">
        <f t="shared" si="3"/>
        <v>62.717349928272675</v>
      </c>
    </row>
    <row r="10" spans="1:17">
      <c r="K10" s="16" t="str">
        <f>linefmt("",D56,E56,F56)</f>
        <v>-0.5167461,0.3465532,1.184485,</v>
      </c>
      <c r="M10" s="46">
        <f t="shared" si="0"/>
        <v>65.863292129650148</v>
      </c>
      <c r="N10" s="46">
        <f t="shared" si="5"/>
        <v>7</v>
      </c>
      <c r="O10" s="50">
        <f t="shared" si="1"/>
        <v>119.43269453383733</v>
      </c>
      <c r="P10" s="50">
        <f t="shared" si="2"/>
        <v>53.56940240418718</v>
      </c>
      <c r="Q10" s="50">
        <f t="shared" si="3"/>
        <v>62.361373931667096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63.593903088464899</v>
      </c>
      <c r="N11" s="46">
        <f t="shared" si="5"/>
        <v>8</v>
      </c>
      <c r="O11" s="50">
        <f t="shared" si="1"/>
        <v>117.07145276030164</v>
      </c>
      <c r="P11" s="50">
        <f t="shared" si="2"/>
        <v>53.477549671836741</v>
      </c>
      <c r="Q11" s="50">
        <f t="shared" si="3"/>
        <v>62.005397935061517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61.324514047279628</v>
      </c>
      <c r="N12" s="46">
        <f t="shared" si="5"/>
        <v>9</v>
      </c>
      <c r="O12" s="50">
        <f t="shared" si="1"/>
        <v>114.71021098676593</v>
      </c>
      <c r="P12" s="50">
        <f t="shared" si="2"/>
        <v>53.385696939486301</v>
      </c>
      <c r="Q12" s="50">
        <f t="shared" si="3"/>
        <v>61.64942193845593</v>
      </c>
    </row>
    <row r="13" spans="1:17">
      <c r="A13" s="78" t="s">
        <v>12</v>
      </c>
      <c r="B13" s="79" t="s">
        <v>0</v>
      </c>
      <c r="C13" s="46">
        <v>0</v>
      </c>
      <c r="D13" s="7">
        <v>549.29999999999995</v>
      </c>
      <c r="E13" s="7">
        <v>510.1</v>
      </c>
      <c r="F13" s="7">
        <v>156.4</v>
      </c>
      <c r="G13" s="8">
        <v>90.8</v>
      </c>
      <c r="H13" s="8">
        <v>33</v>
      </c>
      <c r="I13" s="8">
        <v>39.700000000000003</v>
      </c>
      <c r="M13" s="46">
        <f t="shared" si="0"/>
        <v>59.055125006094379</v>
      </c>
      <c r="N13" s="46">
        <f t="shared" si="5"/>
        <v>10</v>
      </c>
      <c r="O13" s="50">
        <f t="shared" si="1"/>
        <v>112.34896921323023</v>
      </c>
      <c r="P13" s="50">
        <f t="shared" si="2"/>
        <v>53.293844207135855</v>
      </c>
      <c r="Q13" s="50">
        <f t="shared" si="3"/>
        <v>61.293445941850351</v>
      </c>
    </row>
    <row r="14" spans="1:17">
      <c r="A14" s="78"/>
      <c r="B14" s="79"/>
      <c r="C14" s="46">
        <f>C13+1</f>
        <v>1</v>
      </c>
      <c r="D14" s="7">
        <v>554.6</v>
      </c>
      <c r="E14" s="7">
        <v>514.6</v>
      </c>
      <c r="F14" s="7">
        <v>156.1</v>
      </c>
      <c r="G14" s="8">
        <v>102.8</v>
      </c>
      <c r="H14" s="8">
        <v>38.6</v>
      </c>
      <c r="I14" s="8">
        <v>46.1</v>
      </c>
      <c r="M14" s="46">
        <f t="shared" si="0"/>
        <v>56.785735964909122</v>
      </c>
      <c r="N14" s="46">
        <f t="shared" si="5"/>
        <v>11</v>
      </c>
      <c r="O14" s="50">
        <f t="shared" si="1"/>
        <v>109.98772743969454</v>
      </c>
      <c r="P14" s="50">
        <f t="shared" si="2"/>
        <v>53.201991474785416</v>
      </c>
      <c r="Q14" s="50">
        <f t="shared" si="3"/>
        <v>60.937469945244771</v>
      </c>
    </row>
    <row r="15" spans="1:17">
      <c r="A15" s="78"/>
      <c r="B15" s="79"/>
      <c r="C15" s="46">
        <f>C14+1</f>
        <v>2</v>
      </c>
      <c r="D15" s="6">
        <f>2*(D13-D14)/(D13+D14)</f>
        <v>-9.6023190506387673E-3</v>
      </c>
      <c r="E15" s="6">
        <f t="shared" ref="E15:F15" si="8">2*(E13-E14)/(E13+E14)</f>
        <v>-8.7830584561335023E-3</v>
      </c>
      <c r="F15" s="6">
        <f t="shared" si="8"/>
        <v>1.9200000000000727E-3</v>
      </c>
      <c r="G15" s="8">
        <v>90.2</v>
      </c>
      <c r="H15" s="8">
        <v>29.8</v>
      </c>
      <c r="I15" s="8">
        <v>36.4</v>
      </c>
      <c r="M15" s="46">
        <f t="shared" si="0"/>
        <v>54.516346923723852</v>
      </c>
      <c r="N15" s="46">
        <f t="shared" si="5"/>
        <v>12</v>
      </c>
      <c r="O15" s="50">
        <f t="shared" si="1"/>
        <v>107.62648566615883</v>
      </c>
      <c r="P15" s="50">
        <f t="shared" si="2"/>
        <v>53.110138742434977</v>
      </c>
      <c r="Q15" s="50">
        <f t="shared" si="3"/>
        <v>60.581493948639192</v>
      </c>
    </row>
    <row r="16" spans="1:17">
      <c r="A16" s="78"/>
      <c r="B16" s="79" t="s">
        <v>1</v>
      </c>
      <c r="C16" s="46">
        <f>C13</f>
        <v>0</v>
      </c>
      <c r="D16" s="7">
        <v>1202</v>
      </c>
      <c r="E16" s="7">
        <v>1212</v>
      </c>
      <c r="F16" s="7">
        <v>651</v>
      </c>
      <c r="G16" s="8">
        <v>70.599999999999994</v>
      </c>
      <c r="H16" s="8">
        <v>79.900000000000006</v>
      </c>
      <c r="I16" s="8">
        <v>42.8</v>
      </c>
      <c r="M16" s="46">
        <f t="shared" si="0"/>
        <v>52.246957882538595</v>
      </c>
      <c r="N16" s="46">
        <f t="shared" si="5"/>
        <v>13</v>
      </c>
      <c r="O16" s="50">
        <f t="shared" si="1"/>
        <v>105.26524389262313</v>
      </c>
      <c r="P16" s="50">
        <f t="shared" si="2"/>
        <v>53.018286010084537</v>
      </c>
      <c r="Q16" s="50">
        <f t="shared" si="3"/>
        <v>60.225517952033613</v>
      </c>
    </row>
    <row r="17" spans="1:21">
      <c r="A17" s="78"/>
      <c r="B17" s="79"/>
      <c r="C17" s="46">
        <f t="shared" ref="C17:C21" si="9">C14</f>
        <v>1</v>
      </c>
      <c r="D17" s="7">
        <v>1204</v>
      </c>
      <c r="E17" s="7">
        <v>1214</v>
      </c>
      <c r="F17" s="7">
        <v>649</v>
      </c>
      <c r="G17" s="8">
        <v>80.400000000000006</v>
      </c>
      <c r="H17" s="8">
        <v>90.7</v>
      </c>
      <c r="I17" s="8">
        <v>49.6</v>
      </c>
      <c r="M17" s="46">
        <f t="shared" si="0"/>
        <v>49.977568841353346</v>
      </c>
      <c r="N17" s="46">
        <f t="shared" si="5"/>
        <v>14</v>
      </c>
      <c r="O17" s="50">
        <f t="shared" si="1"/>
        <v>102.90400211908744</v>
      </c>
      <c r="P17" s="50">
        <f t="shared" si="2"/>
        <v>52.926433277734091</v>
      </c>
      <c r="Q17" s="50">
        <f t="shared" si="3"/>
        <v>59.869541955428033</v>
      </c>
    </row>
    <row r="18" spans="1:21">
      <c r="A18" s="78"/>
      <c r="B18" s="79"/>
      <c r="C18" s="46">
        <f t="shared" si="9"/>
        <v>2</v>
      </c>
      <c r="D18" s="6">
        <f>2*(D16-D17)/(D16+D17)</f>
        <v>-1.6625103906899418E-3</v>
      </c>
      <c r="E18" s="6">
        <f t="shared" ref="E18:F18" si="10">2*(E16-E17)/(E16+E17)</f>
        <v>-1.6488046166529267E-3</v>
      </c>
      <c r="F18" s="6">
        <f t="shared" si="10"/>
        <v>3.0769230769230769E-3</v>
      </c>
      <c r="G18" s="8">
        <v>60.2</v>
      </c>
      <c r="H18" s="8">
        <v>76</v>
      </c>
      <c r="I18" s="8">
        <v>39.700000000000003</v>
      </c>
      <c r="M18" s="46">
        <f t="shared" si="0"/>
        <v>47.708179800168075</v>
      </c>
      <c r="N18" s="46">
        <f t="shared" si="5"/>
        <v>15</v>
      </c>
      <c r="O18" s="50">
        <f t="shared" si="1"/>
        <v>100.54276034555173</v>
      </c>
      <c r="P18" s="50">
        <f t="shared" si="2"/>
        <v>52.834580545383652</v>
      </c>
      <c r="Q18" s="50">
        <f t="shared" si="3"/>
        <v>59.513565958822454</v>
      </c>
    </row>
    <row r="19" spans="1:21">
      <c r="A19" s="78"/>
      <c r="B19" s="79" t="s">
        <v>2</v>
      </c>
      <c r="C19" s="46">
        <f t="shared" si="9"/>
        <v>0</v>
      </c>
      <c r="D19" s="7">
        <v>509.7</v>
      </c>
      <c r="E19" s="7">
        <v>576.5</v>
      </c>
      <c r="F19" s="7">
        <v>531.20000000000005</v>
      </c>
      <c r="G19" s="8">
        <v>30.1</v>
      </c>
      <c r="H19" s="8">
        <v>38.700000000000003</v>
      </c>
      <c r="I19" s="8">
        <v>31.4</v>
      </c>
      <c r="M19" s="46">
        <f t="shared" si="0"/>
        <v>45.438790758982819</v>
      </c>
      <c r="N19" s="46">
        <f t="shared" si="5"/>
        <v>16</v>
      </c>
      <c r="O19" s="50">
        <f t="shared" si="1"/>
        <v>98.181518572016031</v>
      </c>
      <c r="P19" s="50">
        <f t="shared" si="2"/>
        <v>52.742727813033213</v>
      </c>
      <c r="Q19" s="50">
        <f t="shared" si="3"/>
        <v>59.157589962216868</v>
      </c>
    </row>
    <row r="20" spans="1:21">
      <c r="A20" s="78"/>
      <c r="B20" s="79"/>
      <c r="C20" s="46">
        <f t="shared" si="9"/>
        <v>1</v>
      </c>
      <c r="D20" s="7">
        <v>510.8</v>
      </c>
      <c r="E20" s="7">
        <v>577.70000000000005</v>
      </c>
      <c r="F20" s="7">
        <v>531.5</v>
      </c>
      <c r="G20" s="8">
        <v>35.200000000000003</v>
      </c>
      <c r="H20" s="8">
        <v>45</v>
      </c>
      <c r="I20" s="8">
        <v>36.799999999999997</v>
      </c>
      <c r="M20" s="46">
        <f t="shared" si="0"/>
        <v>43.169401717797562</v>
      </c>
      <c r="N20" s="46">
        <f t="shared" si="5"/>
        <v>17</v>
      </c>
      <c r="O20" s="50">
        <f t="shared" si="1"/>
        <v>95.820276798480336</v>
      </c>
      <c r="P20" s="50">
        <f t="shared" si="2"/>
        <v>52.650875080682773</v>
      </c>
      <c r="Q20" s="50">
        <f t="shared" si="3"/>
        <v>58.801613965611288</v>
      </c>
    </row>
    <row r="21" spans="1:21">
      <c r="A21" s="78"/>
      <c r="B21" s="79"/>
      <c r="C21" s="46">
        <f t="shared" si="9"/>
        <v>2</v>
      </c>
      <c r="D21" s="6">
        <f>2*(D19-D20)/(D19+D20)</f>
        <v>-2.1558059774620729E-3</v>
      </c>
      <c r="E21" s="6">
        <f t="shared" ref="E21:F21" si="11">2*(E19-E20)/(E19+E20)</f>
        <v>-2.0793623288858872E-3</v>
      </c>
      <c r="F21" s="6">
        <f t="shared" si="11"/>
        <v>-5.6459960478019103E-4</v>
      </c>
      <c r="G21" s="8">
        <v>26.9</v>
      </c>
      <c r="H21" s="8">
        <v>35.200000000000003</v>
      </c>
      <c r="I21" s="8">
        <v>28.2</v>
      </c>
      <c r="M21" s="46">
        <f t="shared" si="0"/>
        <v>40.900012676612299</v>
      </c>
      <c r="N21" s="46">
        <f t="shared" si="5"/>
        <v>18</v>
      </c>
      <c r="O21" s="50">
        <f t="shared" si="1"/>
        <v>93.459035024944626</v>
      </c>
      <c r="P21" s="50">
        <f t="shared" si="2"/>
        <v>52.559022348332327</v>
      </c>
      <c r="Q21" s="50">
        <f t="shared" si="3"/>
        <v>58.445637969005709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551.95000000000005</v>
      </c>
      <c r="E22" s="46">
        <f t="shared" ref="E22:F22" si="12">(E13+E14)/2</f>
        <v>512.35</v>
      </c>
      <c r="F22" s="46">
        <f t="shared" si="12"/>
        <v>156.25</v>
      </c>
      <c r="G22" s="5">
        <f>G13</f>
        <v>90.8</v>
      </c>
      <c r="H22" s="5">
        <f t="shared" ref="H22:I22" si="13">H13</f>
        <v>33</v>
      </c>
      <c r="I22" s="5">
        <f t="shared" si="13"/>
        <v>39.700000000000003</v>
      </c>
      <c r="J22" s="99">
        <f>AVERAGE(G22:I24)</f>
        <v>50.777777777777779</v>
      </c>
      <c r="M22" s="46">
        <f t="shared" si="0"/>
        <v>38.630623635427042</v>
      </c>
      <c r="N22" s="46">
        <f t="shared" si="5"/>
        <v>19</v>
      </c>
      <c r="O22" s="50">
        <f t="shared" si="1"/>
        <v>91.09779325140893</v>
      </c>
      <c r="P22" s="50">
        <f t="shared" si="2"/>
        <v>52.467169615981888</v>
      </c>
      <c r="Q22" s="50">
        <f t="shared" si="3"/>
        <v>58.08966197240013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1203</v>
      </c>
      <c r="E23" s="46">
        <f>(E16+E17)/2</f>
        <v>1213</v>
      </c>
      <c r="F23" s="46">
        <f>(F16+F17)/2</f>
        <v>650</v>
      </c>
      <c r="G23" s="5">
        <f>G16</f>
        <v>70.599999999999994</v>
      </c>
      <c r="H23" s="5">
        <f>H16</f>
        <v>79.900000000000006</v>
      </c>
      <c r="I23" s="5">
        <f>I16</f>
        <v>42.8</v>
      </c>
      <c r="J23" s="99"/>
      <c r="M23" s="46">
        <f t="shared" si="0"/>
        <v>36.361234594241786</v>
      </c>
      <c r="N23" s="46">
        <f t="shared" si="5"/>
        <v>20</v>
      </c>
      <c r="O23" s="50">
        <f t="shared" si="1"/>
        <v>88.736551477873235</v>
      </c>
      <c r="P23" s="50">
        <f t="shared" si="2"/>
        <v>52.375316883631449</v>
      </c>
      <c r="Q23" s="50">
        <f t="shared" si="3"/>
        <v>57.73368597579455</v>
      </c>
    </row>
    <row r="24" spans="1:21">
      <c r="A24" s="78"/>
      <c r="B24" s="46" t="str">
        <f>B19</f>
        <v>D65</v>
      </c>
      <c r="C24" s="79"/>
      <c r="D24" s="46">
        <f>(D19+D20)/2</f>
        <v>510.25</v>
      </c>
      <c r="E24" s="46">
        <f>(E19+E20)/2</f>
        <v>577.1</v>
      </c>
      <c r="F24" s="46">
        <f>(F19+F20)/2</f>
        <v>531.35</v>
      </c>
      <c r="G24" s="5">
        <f>G19</f>
        <v>30.1</v>
      </c>
      <c r="H24" s="5">
        <f>H19</f>
        <v>38.700000000000003</v>
      </c>
      <c r="I24" s="5">
        <f>I19</f>
        <v>31.4</v>
      </c>
      <c r="J24" s="99"/>
      <c r="M24" s="46">
        <f t="shared" si="0"/>
        <v>34.091845553056515</v>
      </c>
      <c r="N24" s="46">
        <f t="shared" si="5"/>
        <v>21</v>
      </c>
      <c r="O24" s="50">
        <f t="shared" si="1"/>
        <v>86.375309704337525</v>
      </c>
      <c r="P24" s="50">
        <f t="shared" si="2"/>
        <v>52.283464151281009</v>
      </c>
      <c r="Q24" s="50">
        <f t="shared" si="3"/>
        <v>57.377709979188964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551.95000000000005</v>
      </c>
      <c r="E25" s="46">
        <f t="shared" ref="E25:F25" si="15">(E13+E14)/2</f>
        <v>512.35</v>
      </c>
      <c r="F25" s="46">
        <f t="shared" si="15"/>
        <v>156.25</v>
      </c>
      <c r="G25" s="5">
        <f t="shared" ref="G25:I25" si="16">G14</f>
        <v>102.8</v>
      </c>
      <c r="H25" s="5">
        <f t="shared" si="16"/>
        <v>38.6</v>
      </c>
      <c r="I25" s="5">
        <f t="shared" si="16"/>
        <v>46.1</v>
      </c>
      <c r="J25" s="99">
        <f>AVERAGE(G25:I27)</f>
        <v>58.355555555555547</v>
      </c>
      <c r="M25" s="46">
        <f t="shared" si="0"/>
        <v>31.822456511871266</v>
      </c>
      <c r="N25" s="46">
        <f t="shared" si="5"/>
        <v>22</v>
      </c>
      <c r="O25" s="50">
        <f t="shared" si="1"/>
        <v>84.014067930801829</v>
      </c>
      <c r="P25" s="50">
        <f t="shared" si="2"/>
        <v>52.191611418930563</v>
      </c>
      <c r="Q25" s="50">
        <f t="shared" si="3"/>
        <v>57.021733982583385</v>
      </c>
    </row>
    <row r="26" spans="1:21">
      <c r="A26" s="78"/>
      <c r="B26" s="46" t="str">
        <f>B16</f>
        <v>CWF</v>
      </c>
      <c r="C26" s="79"/>
      <c r="D26" s="46">
        <f>(D16+D17)/2</f>
        <v>1203</v>
      </c>
      <c r="E26" s="46">
        <f>(E16+E17)/2</f>
        <v>1213</v>
      </c>
      <c r="F26" s="46">
        <f>(F16+F17)/2</f>
        <v>650</v>
      </c>
      <c r="G26" s="5">
        <f>G17</f>
        <v>80.400000000000006</v>
      </c>
      <c r="H26" s="5">
        <f>H17</f>
        <v>90.7</v>
      </c>
      <c r="I26" s="5">
        <f>I17</f>
        <v>49.6</v>
      </c>
      <c r="J26" s="99"/>
      <c r="M26" s="46">
        <f t="shared" si="0"/>
        <v>29.55306747068601</v>
      </c>
      <c r="N26" s="46">
        <f t="shared" si="5"/>
        <v>23</v>
      </c>
      <c r="O26" s="50">
        <f t="shared" si="1"/>
        <v>81.652826157266134</v>
      </c>
      <c r="P26" s="50">
        <f t="shared" si="2"/>
        <v>52.099758686580124</v>
      </c>
      <c r="Q26" s="50">
        <f t="shared" si="3"/>
        <v>56.665757985977805</v>
      </c>
    </row>
    <row r="27" spans="1:21">
      <c r="A27" s="78"/>
      <c r="B27" s="46" t="str">
        <f>B19</f>
        <v>D65</v>
      </c>
      <c r="C27" s="79"/>
      <c r="D27" s="46">
        <f>(D19+D20)/2</f>
        <v>510.25</v>
      </c>
      <c r="E27" s="46">
        <f>(E19+E20)/2</f>
        <v>577.1</v>
      </c>
      <c r="F27" s="46">
        <f>(F19+F20)/2</f>
        <v>531.35</v>
      </c>
      <c r="G27" s="5">
        <f>G20</f>
        <v>35.200000000000003</v>
      </c>
      <c r="H27" s="5">
        <f>H20</f>
        <v>45</v>
      </c>
      <c r="I27" s="5">
        <f>I20</f>
        <v>36.799999999999997</v>
      </c>
      <c r="J27" s="99"/>
      <c r="M27" s="46">
        <f t="shared" si="0"/>
        <v>27.283678429500739</v>
      </c>
      <c r="N27" s="46">
        <f t="shared" si="5"/>
        <v>24</v>
      </c>
      <c r="O27" s="50">
        <f t="shared" si="1"/>
        <v>79.291584383730424</v>
      </c>
      <c r="P27" s="50">
        <f t="shared" si="2"/>
        <v>52.007905954229685</v>
      </c>
      <c r="Q27" s="50">
        <f t="shared" si="3"/>
        <v>56.309781989372226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551.95000000000005</v>
      </c>
      <c r="E28" s="46">
        <f t="shared" ref="E28:F28" si="17">(E13+E14)/2</f>
        <v>512.35</v>
      </c>
      <c r="F28" s="46">
        <f t="shared" si="17"/>
        <v>156.25</v>
      </c>
      <c r="G28" s="5">
        <f t="shared" ref="G28:I28" si="18">G15</f>
        <v>90.2</v>
      </c>
      <c r="H28" s="5">
        <f t="shared" si="18"/>
        <v>29.8</v>
      </c>
      <c r="I28" s="5">
        <f t="shared" si="18"/>
        <v>36.4</v>
      </c>
      <c r="J28" s="99">
        <f>AVERAGE(G28:I30)</f>
        <v>46.955555555555549</v>
      </c>
      <c r="M28" s="46">
        <f t="shared" si="0"/>
        <v>25.014289388315483</v>
      </c>
      <c r="N28" s="46">
        <f t="shared" si="5"/>
        <v>25</v>
      </c>
      <c r="O28" s="50">
        <f t="shared" si="1"/>
        <v>76.930342610194728</v>
      </c>
      <c r="P28" s="50">
        <f t="shared" si="2"/>
        <v>51.916053221879245</v>
      </c>
      <c r="Q28" s="50">
        <f t="shared" si="3"/>
        <v>55.953805992766647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1203</v>
      </c>
      <c r="E29" s="46">
        <f t="shared" si="20"/>
        <v>1213</v>
      </c>
      <c r="F29" s="46">
        <f t="shared" si="20"/>
        <v>650</v>
      </c>
      <c r="G29" s="5">
        <f t="shared" ref="G29:I29" si="21">G18</f>
        <v>60.2</v>
      </c>
      <c r="H29" s="5">
        <f t="shared" si="21"/>
        <v>76</v>
      </c>
      <c r="I29" s="5">
        <f t="shared" si="21"/>
        <v>39.700000000000003</v>
      </c>
      <c r="J29" s="99"/>
      <c r="M29" s="46">
        <f t="shared" si="0"/>
        <v>22.744900347130233</v>
      </c>
      <c r="N29" s="46">
        <f t="shared" si="5"/>
        <v>26</v>
      </c>
      <c r="O29" s="50">
        <f t="shared" si="1"/>
        <v>74.569100836659032</v>
      </c>
      <c r="P29" s="50">
        <f t="shared" si="2"/>
        <v>51.824200489528799</v>
      </c>
      <c r="Q29" s="50">
        <f t="shared" si="3"/>
        <v>55.597829996161067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510.25</v>
      </c>
      <c r="E30" s="46">
        <f t="shared" si="23"/>
        <v>577.1</v>
      </c>
      <c r="F30" s="46">
        <f t="shared" si="23"/>
        <v>531.35</v>
      </c>
      <c r="G30" s="5">
        <f t="shared" ref="G30:I30" si="24">G21</f>
        <v>26.9</v>
      </c>
      <c r="H30" s="5">
        <f t="shared" si="24"/>
        <v>35.200000000000003</v>
      </c>
      <c r="I30" s="5">
        <f t="shared" si="24"/>
        <v>28.2</v>
      </c>
      <c r="J30" s="99"/>
      <c r="M30" s="46">
        <f t="shared" si="0"/>
        <v>20.475511305944963</v>
      </c>
      <c r="N30" s="46">
        <f t="shared" si="5"/>
        <v>27</v>
      </c>
      <c r="O30" s="50">
        <f t="shared" si="1"/>
        <v>72.207859063123323</v>
      </c>
      <c r="P30" s="50">
        <f t="shared" si="2"/>
        <v>51.73234775717836</v>
      </c>
      <c r="Q30" s="50">
        <f t="shared" si="3"/>
        <v>55.241853999555488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551.95000000000005</v>
      </c>
      <c r="E31" s="46">
        <f t="shared" si="25"/>
        <v>512.35</v>
      </c>
      <c r="F31" s="46">
        <f t="shared" si="25"/>
        <v>156.25</v>
      </c>
      <c r="G31" s="5">
        <f t="shared" ref="G31:I33" si="26">G22*$J$31</f>
        <v>90.8</v>
      </c>
      <c r="H31" s="5">
        <f t="shared" si="26"/>
        <v>33</v>
      </c>
      <c r="I31" s="5">
        <f t="shared" si="26"/>
        <v>39.700000000000003</v>
      </c>
      <c r="J31" s="96">
        <f>J$22/J22</f>
        <v>1</v>
      </c>
      <c r="M31" s="46">
        <f t="shared" si="0"/>
        <v>18.206122264759706</v>
      </c>
      <c r="N31" s="46">
        <f t="shared" si="5"/>
        <v>28</v>
      </c>
      <c r="O31" s="50">
        <f t="shared" si="1"/>
        <v>69.846617289587627</v>
      </c>
      <c r="P31" s="50">
        <f t="shared" si="2"/>
        <v>51.640495024827921</v>
      </c>
      <c r="Q31" s="50">
        <f t="shared" si="3"/>
        <v>54.885878002949909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1203</v>
      </c>
      <c r="E32" s="46">
        <f t="shared" si="27"/>
        <v>1213</v>
      </c>
      <c r="F32" s="46">
        <f t="shared" si="27"/>
        <v>650</v>
      </c>
      <c r="G32" s="5">
        <f t="shared" si="26"/>
        <v>70.599999999999994</v>
      </c>
      <c r="H32" s="5">
        <f t="shared" si="26"/>
        <v>79.900000000000006</v>
      </c>
      <c r="I32" s="5">
        <f t="shared" si="26"/>
        <v>42.8</v>
      </c>
      <c r="J32" s="96"/>
      <c r="M32" s="46">
        <f t="shared" si="0"/>
        <v>15.93673322357445</v>
      </c>
      <c r="N32" s="46">
        <f t="shared" si="5"/>
        <v>29</v>
      </c>
      <c r="O32" s="50">
        <f t="shared" si="1"/>
        <v>67.485375516051931</v>
      </c>
      <c r="P32" s="50">
        <f t="shared" si="2"/>
        <v>51.548642292477481</v>
      </c>
      <c r="Q32" s="50">
        <f t="shared" si="3"/>
        <v>54.529902006344322</v>
      </c>
    </row>
    <row r="33" spans="1:17">
      <c r="A33" s="78"/>
      <c r="B33" s="46" t="str">
        <f t="shared" si="27"/>
        <v>D65</v>
      </c>
      <c r="C33" s="79"/>
      <c r="D33" s="46">
        <f t="shared" si="27"/>
        <v>510.25</v>
      </c>
      <c r="E33" s="46">
        <f t="shared" si="27"/>
        <v>577.1</v>
      </c>
      <c r="F33" s="46">
        <f t="shared" si="27"/>
        <v>531.35</v>
      </c>
      <c r="G33" s="5">
        <f t="shared" si="26"/>
        <v>30.1</v>
      </c>
      <c r="H33" s="5">
        <f t="shared" si="26"/>
        <v>38.700000000000003</v>
      </c>
      <c r="I33" s="5">
        <f t="shared" si="26"/>
        <v>31.4</v>
      </c>
      <c r="J33" s="96"/>
      <c r="M33" s="46">
        <f t="shared" si="0"/>
        <v>13.667344182389201</v>
      </c>
      <c r="N33" s="46">
        <f t="shared" si="5"/>
        <v>30</v>
      </c>
      <c r="O33" s="50">
        <f t="shared" si="1"/>
        <v>65.124133742516236</v>
      </c>
      <c r="P33" s="50">
        <f t="shared" si="2"/>
        <v>51.456789560127035</v>
      </c>
      <c r="Q33" s="50">
        <f t="shared" si="3"/>
        <v>54.173926009738743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551.95000000000005</v>
      </c>
      <c r="E34" s="46">
        <f t="shared" si="27"/>
        <v>512.35</v>
      </c>
      <c r="F34" s="46">
        <f t="shared" si="27"/>
        <v>156.25</v>
      </c>
      <c r="G34" s="5">
        <f t="shared" ref="G34:I36" si="28">G25*$J$34</f>
        <v>89.450875856816467</v>
      </c>
      <c r="H34" s="5">
        <f t="shared" si="28"/>
        <v>33.587585681645095</v>
      </c>
      <c r="I34" s="5">
        <f t="shared" si="28"/>
        <v>40.113670982482873</v>
      </c>
      <c r="J34" s="96">
        <f>J$22/J25</f>
        <v>0.8701447067783703</v>
      </c>
      <c r="M34" s="46">
        <f t="shared" si="0"/>
        <v>11.39795514120393</v>
      </c>
      <c r="N34" s="46">
        <f t="shared" si="5"/>
        <v>31</v>
      </c>
      <c r="O34" s="50">
        <f t="shared" si="1"/>
        <v>62.762891968980526</v>
      </c>
      <c r="P34" s="50">
        <f t="shared" si="2"/>
        <v>51.364936827776596</v>
      </c>
      <c r="Q34" s="50">
        <f t="shared" si="3"/>
        <v>53.817950013133164</v>
      </c>
    </row>
    <row r="35" spans="1:17">
      <c r="A35" s="78"/>
      <c r="B35" s="46" t="str">
        <f t="shared" si="27"/>
        <v>CWF</v>
      </c>
      <c r="C35" s="79"/>
      <c r="D35" s="46">
        <f t="shared" si="27"/>
        <v>1203</v>
      </c>
      <c r="E35" s="46">
        <f t="shared" si="27"/>
        <v>1213</v>
      </c>
      <c r="F35" s="46">
        <f t="shared" si="27"/>
        <v>650</v>
      </c>
      <c r="G35" s="5">
        <f t="shared" si="28"/>
        <v>69.959634424980976</v>
      </c>
      <c r="H35" s="5">
        <f t="shared" si="28"/>
        <v>78.922124904798196</v>
      </c>
      <c r="I35" s="5">
        <f t="shared" si="28"/>
        <v>43.159177456207168</v>
      </c>
      <c r="J35" s="96"/>
      <c r="M35" s="46">
        <f t="shared" si="0"/>
        <v>9.1285661000186735</v>
      </c>
      <c r="N35" s="46">
        <f t="shared" si="5"/>
        <v>32</v>
      </c>
      <c r="O35" s="50">
        <f t="shared" si="1"/>
        <v>60.40165019544483</v>
      </c>
      <c r="P35" s="50">
        <f t="shared" si="2"/>
        <v>51.273084095426157</v>
      </c>
      <c r="Q35" s="50">
        <f t="shared" si="3"/>
        <v>53.461974016527584</v>
      </c>
    </row>
    <row r="36" spans="1:17">
      <c r="A36" s="78"/>
      <c r="B36" s="46" t="str">
        <f t="shared" si="27"/>
        <v>D65</v>
      </c>
      <c r="C36" s="79"/>
      <c r="D36" s="46">
        <f t="shared" si="27"/>
        <v>510.25</v>
      </c>
      <c r="E36" s="46">
        <f t="shared" si="27"/>
        <v>577.1</v>
      </c>
      <c r="F36" s="46">
        <f t="shared" si="27"/>
        <v>531.35</v>
      </c>
      <c r="G36" s="5">
        <f t="shared" si="28"/>
        <v>30.629093678598636</v>
      </c>
      <c r="H36" s="5">
        <f t="shared" si="28"/>
        <v>39.156511805026661</v>
      </c>
      <c r="I36" s="5">
        <f t="shared" si="28"/>
        <v>32.021325209444022</v>
      </c>
      <c r="J36" s="96"/>
      <c r="M36" s="46">
        <f t="shared" si="0"/>
        <v>6.8591770588334171</v>
      </c>
      <c r="N36" s="46">
        <f t="shared" si="5"/>
        <v>33</v>
      </c>
      <c r="O36" s="50">
        <f t="shared" si="1"/>
        <v>58.040408421909135</v>
      </c>
      <c r="P36" s="50">
        <f t="shared" si="2"/>
        <v>51.181231363075717</v>
      </c>
      <c r="Q36" s="50">
        <f t="shared" si="3"/>
        <v>53.105998019921998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551.95000000000005</v>
      </c>
      <c r="E37" s="46">
        <f t="shared" si="27"/>
        <v>512.35</v>
      </c>
      <c r="F37" s="46">
        <f t="shared" si="27"/>
        <v>156.25</v>
      </c>
      <c r="G37" s="5">
        <f t="shared" ref="G37:I39" si="29">G28*$J$37</f>
        <v>97.542356838618105</v>
      </c>
      <c r="H37" s="5">
        <f t="shared" si="29"/>
        <v>32.225745385707533</v>
      </c>
      <c r="I37" s="5">
        <f t="shared" si="29"/>
        <v>39.362991008045441</v>
      </c>
      <c r="J37" s="96">
        <f>J$22/J28</f>
        <v>1.0814008518693803</v>
      </c>
      <c r="K37" s="51" t="str">
        <f>CHAR(34) &amp; "EEpromVersion" &amp;CHAR(34)  &amp; ",3,"</f>
        <v>"EEpromVersion",3,</v>
      </c>
      <c r="M37" s="46">
        <f t="shared" si="0"/>
        <v>4.5897880176481536</v>
      </c>
      <c r="N37" s="46">
        <f t="shared" si="5"/>
        <v>34</v>
      </c>
      <c r="O37" s="50">
        <f t="shared" si="1"/>
        <v>55.679166648373425</v>
      </c>
      <c r="P37" s="50">
        <f t="shared" si="2"/>
        <v>51.089378630725271</v>
      </c>
      <c r="Q37" s="50">
        <f t="shared" si="3"/>
        <v>52.750022023316419</v>
      </c>
    </row>
    <row r="38" spans="1:17">
      <c r="A38" s="78"/>
      <c r="B38" s="46" t="str">
        <f t="shared" si="27"/>
        <v>CWF</v>
      </c>
      <c r="C38" s="79"/>
      <c r="D38" s="46">
        <f t="shared" si="27"/>
        <v>1203</v>
      </c>
      <c r="E38" s="46">
        <f t="shared" si="27"/>
        <v>1213</v>
      </c>
      <c r="F38" s="46">
        <f t="shared" si="27"/>
        <v>650</v>
      </c>
      <c r="G38" s="5">
        <f t="shared" si="29"/>
        <v>65.1003312825367</v>
      </c>
      <c r="H38" s="5">
        <f t="shared" si="29"/>
        <v>82.1864647420729</v>
      </c>
      <c r="I38" s="5">
        <f t="shared" si="29"/>
        <v>42.931613819214398</v>
      </c>
      <c r="J38" s="96"/>
      <c r="K38" s="52" t="str">
        <f>K4</f>
        <v>"Compensation",36,</v>
      </c>
      <c r="M38" s="46">
        <f t="shared" si="0"/>
        <v>2.3203989764628972</v>
      </c>
      <c r="N38" s="46">
        <f t="shared" si="5"/>
        <v>35</v>
      </c>
      <c r="O38" s="50">
        <f t="shared" si="1"/>
        <v>53.317924874837729</v>
      </c>
      <c r="P38" s="50">
        <f t="shared" si="2"/>
        <v>50.997525898374832</v>
      </c>
      <c r="Q38" s="50">
        <f t="shared" si="3"/>
        <v>52.394046026710839</v>
      </c>
    </row>
    <row r="39" spans="1:17">
      <c r="A39" s="78"/>
      <c r="B39" s="46" t="str">
        <f t="shared" si="27"/>
        <v>D65</v>
      </c>
      <c r="C39" s="79"/>
      <c r="D39" s="46">
        <f t="shared" si="27"/>
        <v>510.25</v>
      </c>
      <c r="E39" s="46">
        <f t="shared" si="27"/>
        <v>577.1</v>
      </c>
      <c r="F39" s="46">
        <f t="shared" si="27"/>
        <v>531.35</v>
      </c>
      <c r="G39" s="5">
        <f t="shared" si="29"/>
        <v>29.089682915286328</v>
      </c>
      <c r="H39" s="5">
        <f t="shared" si="29"/>
        <v>38.065309985802187</v>
      </c>
      <c r="I39" s="5">
        <f t="shared" si="29"/>
        <v>30.495504022716524</v>
      </c>
      <c r="J39" s="96"/>
      <c r="K39" s="53" t="str">
        <f>linefmt("CardGain",J42,J45,J48)</f>
        <v>"CardGain",15.19391,15.88955,13.95798,</v>
      </c>
      <c r="M39" s="46">
        <f t="shared" si="0"/>
        <v>1.1323968640808673</v>
      </c>
      <c r="N39" s="46">
        <f t="shared" si="5"/>
        <v>36</v>
      </c>
      <c r="O39" s="50">
        <f t="shared" si="1"/>
        <v>50.956683101302033</v>
      </c>
      <c r="P39" s="50">
        <f t="shared" si="2"/>
        <v>50.905673166024393</v>
      </c>
      <c r="Q39" s="50">
        <f t="shared" si="3"/>
        <v>52.03807003010526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"Range",1,0.8701447,1.081401,</v>
      </c>
      <c r="M40" s="46">
        <f t="shared" si="0"/>
        <v>3.086652705733357</v>
      </c>
      <c r="N40" s="46">
        <f t="shared" si="5"/>
        <v>37</v>
      </c>
      <c r="O40" s="50">
        <f t="shared" si="1"/>
        <v>48.595441327766324</v>
      </c>
      <c r="P40" s="50">
        <f t="shared" si="2"/>
        <v>50.813820433673953</v>
      </c>
      <c r="Q40" s="50">
        <f t="shared" si="3"/>
        <v>51.682094033499681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5.0919184826634734</v>
      </c>
      <c r="N41" s="46">
        <f t="shared" si="5"/>
        <v>38</v>
      </c>
      <c r="O41" s="50">
        <f t="shared" si="1"/>
        <v>46.234199554230628</v>
      </c>
      <c r="P41" s="50">
        <f t="shared" si="2"/>
        <v>50.721967701323507</v>
      </c>
      <c r="Q41" s="50">
        <f t="shared" si="3"/>
        <v>51.326118036894101</v>
      </c>
    </row>
    <row r="42" spans="1:17">
      <c r="A42" s="4"/>
      <c r="B42" s="46" t="s">
        <v>3</v>
      </c>
      <c r="C42" s="79">
        <f>C31</f>
        <v>0</v>
      </c>
      <c r="D42" s="46">
        <f>I42/$H$43</f>
        <v>0.19210352394357957</v>
      </c>
      <c r="E42" s="46">
        <f>H42/$H$43</f>
        <v>1.0210306407955394</v>
      </c>
      <c r="F42" s="46">
        <f>G42/$H$43</f>
        <v>-0.37304684947808081</v>
      </c>
      <c r="G42" s="46">
        <f t="array" ref="G42:I42">LINEST($D31:$D33,$G31:$I33,FALSE)</f>
        <v>-5.6680408067863022</v>
      </c>
      <c r="H42" s="46">
        <v>15.513449168931599</v>
      </c>
      <c r="I42" s="46">
        <v>2.9188039367254763</v>
      </c>
      <c r="J42" s="97">
        <f>H43</f>
        <v>15.193911474433563</v>
      </c>
      <c r="K42" s="53" t="str">
        <f t="shared" ref="K42:K50" si="30">linefmt("",D42,E42,F42)</f>
        <v>0.1921035,1.021031,-0.3730468,</v>
      </c>
      <c r="M42" s="46">
        <f t="shared" si="0"/>
        <v>7.0971842595935897</v>
      </c>
      <c r="N42" s="46">
        <f t="shared" si="5"/>
        <v>39</v>
      </c>
      <c r="O42" s="50">
        <f t="shared" si="1"/>
        <v>43.872957780694932</v>
      </c>
      <c r="P42" s="50">
        <f t="shared" si="2"/>
        <v>50.630114968973068</v>
      </c>
      <c r="Q42" s="50">
        <f t="shared" si="3"/>
        <v>50.970142040288522</v>
      </c>
    </row>
    <row r="43" spans="1:17">
      <c r="A43" s="4"/>
      <c r="B43" s="46" t="s">
        <v>4</v>
      </c>
      <c r="C43" s="79"/>
      <c r="D43" s="46">
        <f>I43/$H$43</f>
        <v>3.08687494057296E-2</v>
      </c>
      <c r="E43" s="46">
        <f>H43/$H$43</f>
        <v>1</v>
      </c>
      <c r="F43" s="46">
        <f>G43/$H$43</f>
        <v>-5.2446810896731214E-2</v>
      </c>
      <c r="G43" s="46">
        <f t="array" ref="G43:I43">LINEST($E31:$E33,$G31:$I33,FALSE)</f>
        <v>-0.7968722018812916</v>
      </c>
      <c r="H43" s="46">
        <v>15.193911474433563</v>
      </c>
      <c r="I43" s="46">
        <v>0.46901704579712916</v>
      </c>
      <c r="J43" s="97"/>
      <c r="K43" s="53" t="str">
        <f t="shared" si="30"/>
        <v>3.086875E-02,1,-5.244681E-02,</v>
      </c>
      <c r="M43" s="46">
        <f t="shared" si="0"/>
        <v>9.102450036523706</v>
      </c>
      <c r="N43" s="46">
        <f t="shared" si="5"/>
        <v>40</v>
      </c>
      <c r="O43" s="50">
        <f t="shared" si="1"/>
        <v>41.511716007159237</v>
      </c>
      <c r="P43" s="50">
        <f t="shared" si="2"/>
        <v>50.538262236622629</v>
      </c>
      <c r="Q43" s="50">
        <f t="shared" si="3"/>
        <v>50.614166043682943</v>
      </c>
    </row>
    <row r="44" spans="1:17">
      <c r="A44" s="4"/>
      <c r="B44" s="46" t="s">
        <v>5</v>
      </c>
      <c r="C44" s="79"/>
      <c r="D44" s="46">
        <f>I44/$H$43</f>
        <v>-0.52499392645095633</v>
      </c>
      <c r="E44" s="46">
        <f>H44/$H$43</f>
        <v>0.3918126781207607</v>
      </c>
      <c r="F44" s="46">
        <f>G44/$H$43</f>
        <v>1.1340895381559779</v>
      </c>
      <c r="G44" s="46">
        <f t="array" ref="G44:I44">LINEST($F$31:$F$33,$G31:$I33,FALSE)</f>
        <v>17.231256046823173</v>
      </c>
      <c r="H44" s="46">
        <v>5.9531671459275701</v>
      </c>
      <c r="I44" s="46">
        <v>-7.9767112431111151</v>
      </c>
      <c r="J44" s="97"/>
      <c r="K44" s="53" t="str">
        <f t="shared" si="30"/>
        <v>-0.524994,0.3918127,1.13409,</v>
      </c>
      <c r="M44" s="46">
        <f t="shared" si="0"/>
        <v>11.295935270648656</v>
      </c>
      <c r="N44" s="46">
        <f t="shared" si="5"/>
        <v>41</v>
      </c>
      <c r="O44" s="50">
        <f t="shared" si="1"/>
        <v>39.150474233623527</v>
      </c>
      <c r="P44" s="50">
        <f t="shared" si="2"/>
        <v>50.446409504272182</v>
      </c>
      <c r="Q44" s="50">
        <f t="shared" si="3"/>
        <v>50.258190047077356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0.20118687404672472</v>
      </c>
      <c r="E45" s="46">
        <f>H45/$H$46</f>
        <v>1.0196188036961766</v>
      </c>
      <c r="F45" s="46">
        <f>G45/$H$46</f>
        <v>-0.43641522693795004</v>
      </c>
      <c r="G45" s="46">
        <f t="array" ref="G45:I45">LINEST($D34:$D36,$G34:$I36,FALSE)</f>
        <v>-6.934443036521321</v>
      </c>
      <c r="H45" s="46">
        <v>16.201287390465964</v>
      </c>
      <c r="I45" s="46">
        <v>3.1967695709461617</v>
      </c>
      <c r="J45" s="97">
        <f>H46</f>
        <v>15.889553362232402</v>
      </c>
      <c r="K45" s="53" t="str">
        <f t="shared" si="30"/>
        <v>0.2011869,1.019619,-0.4364152,</v>
      </c>
      <c r="M45" s="46">
        <f t="shared" si="0"/>
        <v>13.565324311833912</v>
      </c>
      <c r="N45" s="46">
        <f t="shared" si="5"/>
        <v>42</v>
      </c>
      <c r="O45" s="50">
        <f t="shared" si="1"/>
        <v>36.789232460087831</v>
      </c>
      <c r="P45" s="50">
        <f t="shared" si="2"/>
        <v>50.354556771921743</v>
      </c>
      <c r="Q45" s="50">
        <f t="shared" si="3"/>
        <v>49.902214050471777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4.3281885604257372E-2</v>
      </c>
      <c r="E46" s="46">
        <f>H46/$H$46</f>
        <v>1</v>
      </c>
      <c r="F46" s="46">
        <f>G46/$H$46</f>
        <v>-0.12999888559969683</v>
      </c>
      <c r="G46" s="46">
        <f t="array" ref="G46:I46">LINEST($E34:$E36,$G34:$I36,FALSE)</f>
        <v>-2.0656242297671281</v>
      </c>
      <c r="H46" s="46">
        <v>15.889553362232402</v>
      </c>
      <c r="I46" s="46">
        <v>0.68772983092688589</v>
      </c>
      <c r="J46" s="97"/>
      <c r="K46" s="53" t="str">
        <f t="shared" si="30"/>
        <v>4.328189E-02,1,-0.1299989,</v>
      </c>
      <c r="M46" s="46">
        <f t="shared" si="0"/>
        <v>15.834713353019168</v>
      </c>
      <c r="N46" s="46">
        <f t="shared" si="5"/>
        <v>43</v>
      </c>
      <c r="O46" s="50">
        <f t="shared" si="1"/>
        <v>34.427990686552135</v>
      </c>
      <c r="P46" s="50">
        <f t="shared" si="2"/>
        <v>50.262704039571304</v>
      </c>
      <c r="Q46" s="50">
        <f t="shared" si="3"/>
        <v>49.546238053866198</v>
      </c>
    </row>
    <row r="47" spans="1:17">
      <c r="A47" s="4"/>
      <c r="B47" s="46" t="str">
        <f t="shared" si="31"/>
        <v>Z</v>
      </c>
      <c r="C47" s="79"/>
      <c r="D47" s="46">
        <f>I47/$H$46</f>
        <v>-0.50733733620867638</v>
      </c>
      <c r="E47" s="46">
        <f>H47/$H$46</f>
        <v>0.39718097877309833</v>
      </c>
      <c r="F47" s="46">
        <f>G47/$H$46</f>
        <v>1.0439065471742166</v>
      </c>
      <c r="G47" s="46">
        <f t="array" ref="G47:I47">LINEST($F$31:$F$33,$G34:$I36,FALSE)</f>
        <v>16.587208786508491</v>
      </c>
      <c r="H47" s="46">
        <v>6.3110283566788405</v>
      </c>
      <c r="I47" s="46">
        <v>-8.0613636763406049</v>
      </c>
      <c r="J47" s="97"/>
      <c r="K47" s="53" t="str">
        <f t="shared" si="30"/>
        <v>-0.5073373,0.397181,1.043907,</v>
      </c>
      <c r="M47" s="46">
        <f t="shared" si="0"/>
        <v>18.104102394204439</v>
      </c>
      <c r="N47" s="46">
        <f t="shared" si="5"/>
        <v>44</v>
      </c>
      <c r="O47" s="50">
        <f t="shared" si="1"/>
        <v>32.066748913016426</v>
      </c>
      <c r="P47" s="50">
        <f t="shared" si="2"/>
        <v>50.170851307220865</v>
      </c>
      <c r="Q47" s="50">
        <f t="shared" si="3"/>
        <v>49.190262057260618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0.17351972888711067</v>
      </c>
      <c r="E48" s="46">
        <f>H48/$H$49</f>
        <v>1.0676714651645891</v>
      </c>
      <c r="F48" s="46">
        <f>G48/$H$49</f>
        <v>-0.29947761781292925</v>
      </c>
      <c r="G48" s="46">
        <f t="array" ref="G48:I48">LINEST($D37:$D39,$G37:$I39,FALSE)</f>
        <v>-4.1801015665908761</v>
      </c>
      <c r="H48" s="46">
        <v>14.902533273544012</v>
      </c>
      <c r="I48" s="46">
        <v>2.4219843067154283</v>
      </c>
      <c r="J48" s="97">
        <f>H49</f>
        <v>13.95797654969329</v>
      </c>
      <c r="K48" s="53" t="str">
        <f t="shared" si="30"/>
        <v>0.1735197,1.067671,-0.2994776,</v>
      </c>
      <c r="M48" s="46">
        <f t="shared" si="0"/>
        <v>20.373491435389695</v>
      </c>
      <c r="N48" s="46">
        <f t="shared" si="5"/>
        <v>45</v>
      </c>
      <c r="O48" s="50">
        <f t="shared" si="1"/>
        <v>29.70550713948073</v>
      </c>
      <c r="P48" s="50">
        <f t="shared" si="2"/>
        <v>50.078998574870425</v>
      </c>
      <c r="Q48" s="50">
        <f t="shared" si="3"/>
        <v>48.834286060655032</v>
      </c>
    </row>
    <row r="49" spans="1:24">
      <c r="A49" s="4"/>
      <c r="B49" s="46" t="str">
        <f t="shared" si="31"/>
        <v>Y</v>
      </c>
      <c r="C49" s="79"/>
      <c r="D49" s="46">
        <f>I49/$H$49</f>
        <v>4.1140121211196944E-3</v>
      </c>
      <c r="E49" s="46">
        <f>H49/$H$49</f>
        <v>1</v>
      </c>
      <c r="F49" s="46">
        <f>G49/$H$49</f>
        <v>0.10363983927346034</v>
      </c>
      <c r="G49" s="46">
        <f t="array" ref="G49:I49">LINEST($E37:$E39,$G37:$I39,FALSE)</f>
        <v>1.446602446192941</v>
      </c>
      <c r="H49" s="46">
        <v>13.95797654969329</v>
      </c>
      <c r="I49" s="46">
        <v>5.7423284711742642E-2</v>
      </c>
      <c r="J49" s="97"/>
      <c r="K49" s="53" t="str">
        <f t="shared" si="30"/>
        <v>4.114012E-03,1,0.1036398,</v>
      </c>
      <c r="M49" s="46">
        <f t="shared" si="0"/>
        <v>22.642880476574945</v>
      </c>
      <c r="N49" s="46">
        <f t="shared" si="5"/>
        <v>46</v>
      </c>
      <c r="O49" s="50">
        <f t="shared" si="1"/>
        <v>27.344265365945034</v>
      </c>
      <c r="P49" s="50">
        <f t="shared" si="2"/>
        <v>49.987145842519979</v>
      </c>
      <c r="Q49" s="50">
        <f t="shared" si="3"/>
        <v>48.478310064049452</v>
      </c>
    </row>
    <row r="50" spans="1:24">
      <c r="A50" s="4"/>
      <c r="B50" s="46" t="str">
        <f t="shared" si="31"/>
        <v>Z</v>
      </c>
      <c r="C50" s="79"/>
      <c r="D50" s="46">
        <f>I50/$H$49</f>
        <v>-0.56678218141056613</v>
      </c>
      <c r="E50" s="46">
        <f>H50/$H$49</f>
        <v>0.23298635345831853</v>
      </c>
      <c r="F50" s="46">
        <f>G50/$H$49</f>
        <v>1.4981439509097871</v>
      </c>
      <c r="G50" s="46">
        <f t="array" ref="G50:I50">LINEST($F$31:$F$33,$G37:$I39,FALSE)</f>
        <v>20.911058134863666</v>
      </c>
      <c r="H50" s="46">
        <v>3.2520180579697624</v>
      </c>
      <c r="I50" s="46">
        <v>-7.9111323969126905</v>
      </c>
      <c r="J50" s="97"/>
      <c r="K50" s="54" t="str">
        <f t="shared" si="30"/>
        <v>-0.5667822,0.2329864,1.498144,</v>
      </c>
      <c r="M50" s="46">
        <f t="shared" si="0"/>
        <v>24.912269517760215</v>
      </c>
      <c r="N50" s="46">
        <f t="shared" si="5"/>
        <v>47</v>
      </c>
      <c r="O50" s="50">
        <f t="shared" si="1"/>
        <v>24.983023592409324</v>
      </c>
      <c r="P50" s="50">
        <f t="shared" si="2"/>
        <v>49.89529311016954</v>
      </c>
      <c r="Q50" s="50">
        <f t="shared" si="3"/>
        <v>48.122334067443873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0.18893670895913831</v>
      </c>
      <c r="E51" s="46">
        <f t="shared" ref="E51:F51" si="32">(E42+E45+E48)/3</f>
        <v>1.036106969885435</v>
      </c>
      <c r="F51" s="46">
        <f t="shared" si="32"/>
        <v>-0.36964656474298668</v>
      </c>
      <c r="J51" s="97">
        <f>(J42+J45+J48)/3</f>
        <v>15.013813795453084</v>
      </c>
      <c r="M51" s="46">
        <f t="shared" si="0"/>
        <v>27.181658558945472</v>
      </c>
      <c r="N51" s="46">
        <f t="shared" si="5"/>
        <v>48</v>
      </c>
      <c r="O51" s="50">
        <f t="shared" si="1"/>
        <v>22.621781818873629</v>
      </c>
      <c r="P51" s="50">
        <f t="shared" si="2"/>
        <v>49.803440377819101</v>
      </c>
      <c r="Q51" s="50">
        <f t="shared" si="3"/>
        <v>47.766358070838294</v>
      </c>
    </row>
    <row r="52" spans="1:24">
      <c r="B52" s="46" t="str">
        <f t="shared" si="31"/>
        <v>Y</v>
      </c>
      <c r="C52" s="79"/>
      <c r="D52" s="46">
        <f t="shared" ref="D52:F53" si="33">(D43+D46+D49)/3</f>
        <v>2.608821571036889E-2</v>
      </c>
      <c r="E52" s="46">
        <f t="shared" si="33"/>
        <v>1</v>
      </c>
      <c r="F52" s="46">
        <f t="shared" si="33"/>
        <v>-2.6268619074322572E-2</v>
      </c>
      <c r="J52" s="97"/>
      <c r="M52" s="46">
        <f t="shared" si="0"/>
        <v>29.451047600130721</v>
      </c>
      <c r="N52" s="46">
        <f t="shared" si="5"/>
        <v>49</v>
      </c>
      <c r="O52" s="50">
        <f t="shared" si="1"/>
        <v>20.260540045337933</v>
      </c>
      <c r="P52" s="50">
        <f t="shared" si="2"/>
        <v>49.711587645468654</v>
      </c>
      <c r="Q52" s="50">
        <f t="shared" si="3"/>
        <v>47.410382074232714</v>
      </c>
    </row>
    <row r="53" spans="1:24" ht="15.75" thickBot="1">
      <c r="B53" s="46" t="str">
        <f t="shared" si="31"/>
        <v>Z</v>
      </c>
      <c r="C53" s="79"/>
      <c r="D53" s="46">
        <f t="shared" si="33"/>
        <v>-0.53303781469006628</v>
      </c>
      <c r="E53" s="46">
        <f t="shared" si="33"/>
        <v>0.34066000345072583</v>
      </c>
      <c r="F53" s="46">
        <f t="shared" si="33"/>
        <v>1.225380012079994</v>
      </c>
      <c r="J53" s="100"/>
      <c r="M53" s="46">
        <f t="shared" si="0"/>
        <v>31.720436641315992</v>
      </c>
      <c r="N53" s="46">
        <f t="shared" si="5"/>
        <v>50</v>
      </c>
      <c r="O53" s="50">
        <f t="shared" si="1"/>
        <v>17.899298271802223</v>
      </c>
      <c r="P53" s="50">
        <f t="shared" si="2"/>
        <v>49.619734913118215</v>
      </c>
      <c r="Q53" s="50">
        <f t="shared" si="3"/>
        <v>47.054406077627135</v>
      </c>
    </row>
    <row r="54" spans="1:24">
      <c r="B54" s="79" t="s">
        <v>14</v>
      </c>
      <c r="C54" s="79"/>
      <c r="D54" s="19">
        <f>I54/$H$55</f>
        <v>0.18927625981754334</v>
      </c>
      <c r="E54" s="20">
        <f>H54/$H$55</f>
        <v>1.0344383218218784</v>
      </c>
      <c r="F54" s="21">
        <f>G54/$H$55</f>
        <v>-0.37318074138650775</v>
      </c>
      <c r="G54" s="46">
        <f t="array" ref="G54:I54">LINEST(D$31:D$39,$G$31:$I$39,FALSE)</f>
        <v>-5.6065324665577112</v>
      </c>
      <c r="H54" s="46">
        <v>15.541027155897922</v>
      </c>
      <c r="I54" s="46">
        <v>2.8436180599056935</v>
      </c>
      <c r="J54" s="98">
        <f>H55</f>
        <v>15.023638266346008</v>
      </c>
      <c r="M54" s="46">
        <f t="shared" si="0"/>
        <v>33.989825682501248</v>
      </c>
      <c r="N54" s="46">
        <f t="shared" si="5"/>
        <v>51</v>
      </c>
      <c r="O54" s="50">
        <f t="shared" si="1"/>
        <v>15.538056498266528</v>
      </c>
      <c r="P54" s="50">
        <f t="shared" si="2"/>
        <v>49.527882180767776</v>
      </c>
      <c r="Q54" s="50">
        <f t="shared" si="3"/>
        <v>46.698430081021556</v>
      </c>
    </row>
    <row r="55" spans="1:24" ht="15" customHeight="1">
      <c r="B55" s="79"/>
      <c r="C55" s="79"/>
      <c r="D55" s="22">
        <f>I55/$H$55</f>
        <v>3.0610822229971617E-2</v>
      </c>
      <c r="E55" s="18">
        <f>H55/$H$55</f>
        <v>1</v>
      </c>
      <c r="F55" s="23">
        <f>G55/$H$55</f>
        <v>-3.9803466670888001E-2</v>
      </c>
      <c r="G55" s="46">
        <f t="array" ref="G55:I55">LINEST(E$31:E$39,$G$31:$I$39,FALSE)</f>
        <v>-0.59799288500998093</v>
      </c>
      <c r="H55" s="46">
        <v>15.023638266346008</v>
      </c>
      <c r="I55" s="46">
        <v>0.45988592021851665</v>
      </c>
      <c r="J55" s="98"/>
      <c r="M55" s="46">
        <f t="shared" si="0"/>
        <v>36.259214723686505</v>
      </c>
      <c r="N55" s="46">
        <f t="shared" si="5"/>
        <v>52</v>
      </c>
      <c r="O55" s="50">
        <f t="shared" si="1"/>
        <v>13.176814724730832</v>
      </c>
      <c r="P55" s="50">
        <f t="shared" si="2"/>
        <v>49.436029448417337</v>
      </c>
      <c r="Q55" s="50">
        <f t="shared" si="3"/>
        <v>46.342454084415976</v>
      </c>
    </row>
    <row r="56" spans="1:24" ht="15" customHeight="1" thickBot="1">
      <c r="B56" s="79"/>
      <c r="C56" s="79"/>
      <c r="D56" s="24">
        <f>I56/$H$55</f>
        <v>-0.51674613232278443</v>
      </c>
      <c r="E56" s="25">
        <f>H56/$H$55</f>
        <v>0.34655316749671417</v>
      </c>
      <c r="F56" s="26">
        <f>G56/$H$55</f>
        <v>1.1844849630594445</v>
      </c>
      <c r="G56" s="46">
        <f t="array" ref="G56:I56">LINEST(F$31:F$39,$G$31:$I$39,FALSE)</f>
        <v>17.795273616931308</v>
      </c>
      <c r="H56" s="46">
        <v>5.2064894285270524</v>
      </c>
      <c r="I56" s="46">
        <v>-7.7634069675508819</v>
      </c>
      <c r="J56" s="98"/>
      <c r="M56" s="46">
        <f t="shared" si="0"/>
        <v>38.528603764871775</v>
      </c>
      <c r="N56" s="46">
        <f t="shared" si="5"/>
        <v>53</v>
      </c>
      <c r="O56" s="50">
        <f t="shared" si="1"/>
        <v>10.815572951195122</v>
      </c>
      <c r="P56" s="50">
        <f t="shared" si="2"/>
        <v>49.344176716066897</v>
      </c>
      <c r="Q56" s="50">
        <f t="shared" si="3"/>
        <v>45.986478087810397</v>
      </c>
    </row>
    <row r="57" spans="1:24">
      <c r="M57" s="46">
        <f t="shared" si="0"/>
        <v>40.797992806057024</v>
      </c>
      <c r="N57" s="46">
        <f t="shared" si="5"/>
        <v>54</v>
      </c>
      <c r="O57" s="50">
        <f t="shared" si="1"/>
        <v>8.4543311776594265</v>
      </c>
      <c r="P57" s="50">
        <f t="shared" si="2"/>
        <v>49.252323983716451</v>
      </c>
      <c r="Q57" s="50">
        <f t="shared" si="3"/>
        <v>45.630502091204811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43.067381847242281</v>
      </c>
      <c r="N58" s="46">
        <f t="shared" si="5"/>
        <v>55</v>
      </c>
      <c r="O58" s="50">
        <f t="shared" si="1"/>
        <v>6.0930894041237309</v>
      </c>
      <c r="P58" s="50">
        <f t="shared" si="2"/>
        <v>49.160471251366012</v>
      </c>
      <c r="Q58" s="50">
        <f t="shared" si="3"/>
        <v>45.274526094599231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45.336770888427552</v>
      </c>
      <c r="N59" s="46">
        <f t="shared" si="5"/>
        <v>56</v>
      </c>
      <c r="O59" s="50">
        <f t="shared" si="1"/>
        <v>3.731847630588021</v>
      </c>
      <c r="P59" s="50">
        <f t="shared" si="2"/>
        <v>49.068618519015573</v>
      </c>
      <c r="Q59" s="50">
        <f t="shared" si="3"/>
        <v>44.918550097993652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512.35</v>
      </c>
      <c r="E60" s="32">
        <f t="shared" ref="E60:E68" si="37">getCCTfromXY(D22/SUM(D22:F22),E22/SUM(D22:F22))</f>
        <v>2888</v>
      </c>
      <c r="F60" s="31">
        <f t="shared" ref="F60:F68" si="38">V60</f>
        <v>513.79738681036326</v>
      </c>
      <c r="G60" s="32">
        <f t="shared" ref="G60:G68" si="39">getCCTfromXY(U60/X60,V60/X60)</f>
        <v>2987</v>
      </c>
      <c r="H60" s="33">
        <f>F60/D60-1</f>
        <v>2.8249962142348206E-3</v>
      </c>
      <c r="I60" s="34">
        <f t="shared" ref="I60:I68" si="40">G60/E60-1</f>
        <v>3.4279778393351723E-2</v>
      </c>
      <c r="M60" s="46">
        <f t="shared" si="0"/>
        <v>47.606159929612787</v>
      </c>
      <c r="N60" s="46">
        <f t="shared" si="5"/>
        <v>57</v>
      </c>
      <c r="O60" s="50">
        <f t="shared" si="1"/>
        <v>1.3706058570523396</v>
      </c>
      <c r="P60" s="50">
        <f t="shared" si="2"/>
        <v>48.976765786665126</v>
      </c>
      <c r="Q60" s="50">
        <f t="shared" si="3"/>
        <v>44.562574101388066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548.47507706172723</v>
      </c>
      <c r="V60" s="50">
        <f>$J$54*$J$31*($D$55*G22+$E$55*H22+$F$55*I22)</f>
        <v>513.79738681036326</v>
      </c>
      <c r="W60" s="50">
        <f>$J$54*$J$31*($D$56*G22+$E$56*H22+$F$56*I22)</f>
        <v>173.36916107994566</v>
      </c>
      <c r="X60" s="29">
        <f>SUM(U60:W60)</f>
        <v>1235.6416249520362</v>
      </c>
    </row>
    <row r="61" spans="1:24">
      <c r="A61" s="87"/>
      <c r="B61" s="48" t="str">
        <f t="shared" si="35"/>
        <v>CWF</v>
      </c>
      <c r="C61" s="93"/>
      <c r="D61" s="31">
        <f t="shared" si="36"/>
        <v>1213</v>
      </c>
      <c r="E61" s="32">
        <f t="shared" si="37"/>
        <v>3858</v>
      </c>
      <c r="F61" s="31">
        <f t="shared" si="38"/>
        <v>1207.2625479700462</v>
      </c>
      <c r="G61" s="32">
        <f t="shared" si="39"/>
        <v>3791</v>
      </c>
      <c r="H61" s="33">
        <f t="shared" ref="H61:H68" si="41">F61/D61-1</f>
        <v>-4.7299686974062727E-3</v>
      </c>
      <c r="I61" s="34">
        <f t="shared" si="40"/>
        <v>-1.7366511145671337E-2</v>
      </c>
      <c r="M61" s="46">
        <f t="shared" si="0"/>
        <v>49.875548970798057</v>
      </c>
      <c r="N61" s="46">
        <f t="shared" si="5"/>
        <v>58</v>
      </c>
      <c r="O61" s="50">
        <f t="shared" si="1"/>
        <v>-0.99063591648337024</v>
      </c>
      <c r="P61" s="50">
        <f t="shared" si="2"/>
        <v>48.884913054314687</v>
      </c>
      <c r="Q61" s="50">
        <f t="shared" si="3"/>
        <v>44.206598104782486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1202.5279152169157</v>
      </c>
      <c r="V61" s="50">
        <f>$J$54*$J$31*($D$55*G23+$E$55*H23+$F$55*I23)</f>
        <v>1207.2625479700462</v>
      </c>
      <c r="W61" s="50">
        <f>$J$54*$J$31*($D$56*G23+$E$56*H23+$F$56*I23)</f>
        <v>629.53968423487925</v>
      </c>
      <c r="X61" s="29">
        <f t="shared" ref="X61:X68" si="43">SUM(U61:W61)</f>
        <v>3039.330147421841</v>
      </c>
    </row>
    <row r="62" spans="1:24">
      <c r="A62" s="87"/>
      <c r="B62" s="48" t="str">
        <f t="shared" si="35"/>
        <v>D65</v>
      </c>
      <c r="C62" s="93"/>
      <c r="D62" s="31">
        <f t="shared" si="36"/>
        <v>577.1</v>
      </c>
      <c r="E62" s="32">
        <f t="shared" si="37"/>
        <v>6332</v>
      </c>
      <c r="F62" s="31">
        <f t="shared" si="38"/>
        <v>576.48039051685441</v>
      </c>
      <c r="G62" s="32">
        <f t="shared" si="39"/>
        <v>6267</v>
      </c>
      <c r="H62" s="33">
        <f t="shared" si="41"/>
        <v>-1.0736605148944367E-3</v>
      </c>
      <c r="I62" s="34">
        <f t="shared" si="40"/>
        <v>-1.0265319014529428E-2</v>
      </c>
      <c r="M62" s="46">
        <f t="shared" si="0"/>
        <v>52.144938011983328</v>
      </c>
      <c r="N62" s="46">
        <f t="shared" si="5"/>
        <v>59</v>
      </c>
      <c r="O62" s="50">
        <f t="shared" si="1"/>
        <v>-3.3518776900190801</v>
      </c>
      <c r="P62" s="50">
        <f t="shared" si="2"/>
        <v>48.793060321964248</v>
      </c>
      <c r="Q62" s="50">
        <f t="shared" si="3"/>
        <v>43.850622108176907</v>
      </c>
      <c r="R62" s="78"/>
      <c r="S62" s="46" t="str">
        <f t="shared" si="42"/>
        <v>D65</v>
      </c>
      <c r="T62" s="79"/>
      <c r="U62" s="50">
        <f>$J$54*$J$31*($D$54*G24+$E$54*H24+$F$54*I24)</f>
        <v>510.98553508649888</v>
      </c>
      <c r="V62" s="50">
        <f>$J$54*$J$31*($D$55*G24+$E$55*H24+$F$55*I24)</f>
        <v>576.48039051685441</v>
      </c>
      <c r="W62" s="50">
        <f>$J$54*$J$31*($D$56*G24+$E$56*H24+$F$56*I24)</f>
        <v>526.5841827323585</v>
      </c>
      <c r="X62" s="29">
        <f t="shared" si="43"/>
        <v>1614.0501083357117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512.35</v>
      </c>
      <c r="E63" s="32">
        <f t="shared" si="37"/>
        <v>2888</v>
      </c>
      <c r="F63" s="31">
        <f t="shared" si="38"/>
        <v>521.75724603954677</v>
      </c>
      <c r="G63" s="32">
        <f t="shared" si="39"/>
        <v>3102</v>
      </c>
      <c r="H63" s="33">
        <f t="shared" si="41"/>
        <v>1.8360975972570914E-2</v>
      </c>
      <c r="I63" s="34">
        <f t="shared" si="40"/>
        <v>7.4099722991689765E-2</v>
      </c>
      <c r="M63" s="46">
        <f t="shared" si="0"/>
        <v>54.41432705316857</v>
      </c>
      <c r="N63" s="46">
        <f t="shared" si="5"/>
        <v>60</v>
      </c>
      <c r="O63" s="50">
        <f t="shared" si="1"/>
        <v>-5.7131194635547615</v>
      </c>
      <c r="P63" s="50">
        <f t="shared" si="2"/>
        <v>48.701207589613809</v>
      </c>
      <c r="Q63" s="50">
        <f t="shared" si="3"/>
        <v>43.494646111571328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551.45110852421578</v>
      </c>
      <c r="V63" s="50">
        <f>$J$54*$J$34*($D$55*G25+$E$55*H25+$F$55*I25)</f>
        <v>521.75724603954677</v>
      </c>
      <c r="W63" s="50">
        <f>$J$54*$J$34*($D$56*G25+$E$56*H25+$F$56*I25)</f>
        <v>194.26360781373432</v>
      </c>
      <c r="X63" s="29">
        <f t="shared" si="43"/>
        <v>1267.4719623774968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1213</v>
      </c>
      <c r="E64" s="32">
        <f t="shared" si="37"/>
        <v>3858</v>
      </c>
      <c r="F64" s="31">
        <f t="shared" si="38"/>
        <v>1192.0620255950537</v>
      </c>
      <c r="G64" s="32">
        <f t="shared" si="39"/>
        <v>3844</v>
      </c>
      <c r="H64" s="33">
        <f t="shared" si="41"/>
        <v>-1.7261314431118113E-2</v>
      </c>
      <c r="I64" s="34">
        <f t="shared" si="40"/>
        <v>-3.6288232244686691E-3</v>
      </c>
      <c r="M64" s="46">
        <f t="shared" si="0"/>
        <v>56.683716094353834</v>
      </c>
      <c r="N64" s="46">
        <f t="shared" si="5"/>
        <v>61</v>
      </c>
      <c r="O64" s="50">
        <f t="shared" si="1"/>
        <v>-8.0743612370904714</v>
      </c>
      <c r="P64" s="50">
        <f t="shared" si="2"/>
        <v>48.609354857263362</v>
      </c>
      <c r="Q64" s="50">
        <f t="shared" si="3"/>
        <v>43.138670114965748</v>
      </c>
      <c r="R64" s="78"/>
      <c r="S64" s="46" t="str">
        <f t="shared" si="42"/>
        <v>CWF</v>
      </c>
      <c r="T64" s="79"/>
      <c r="U64" s="50">
        <f>$J$54*$J$34*($D$54*G26+$E$54*H26+$F$54*I26)</f>
        <v>1183.496036623761</v>
      </c>
      <c r="V64" s="50">
        <f>$J$54*$J$34*($D$55*G26+$E$55*H26+$F$55*I26)</f>
        <v>1192.0620255950537</v>
      </c>
      <c r="W64" s="50">
        <f>$J$54*$J$34*($D$56*G26+$E$56*H26+$F$56*I26)</f>
        <v>635.8114675664134</v>
      </c>
      <c r="X64" s="29">
        <f t="shared" si="43"/>
        <v>3011.3695297852278</v>
      </c>
    </row>
    <row r="65" spans="1:24">
      <c r="A65" s="87"/>
      <c r="B65" s="48" t="str">
        <f t="shared" si="35"/>
        <v>D65</v>
      </c>
      <c r="C65" s="93"/>
      <c r="D65" s="31">
        <f t="shared" si="36"/>
        <v>577.1</v>
      </c>
      <c r="E65" s="32">
        <f t="shared" si="37"/>
        <v>6332</v>
      </c>
      <c r="F65" s="31">
        <f t="shared" si="38"/>
        <v>583.21063341863101</v>
      </c>
      <c r="G65" s="32">
        <f t="shared" si="39"/>
        <v>6313</v>
      </c>
      <c r="H65" s="33">
        <f t="shared" si="41"/>
        <v>1.0588517446943335E-2</v>
      </c>
      <c r="I65" s="34">
        <f t="shared" si="40"/>
        <v>-3.0006317119393167E-3</v>
      </c>
      <c r="M65" s="46">
        <f t="shared" si="0"/>
        <v>58.953105135539104</v>
      </c>
      <c r="N65" s="46">
        <f t="shared" si="5"/>
        <v>62</v>
      </c>
      <c r="O65" s="50">
        <f t="shared" si="1"/>
        <v>-10.435603010626181</v>
      </c>
      <c r="P65" s="50">
        <f t="shared" si="2"/>
        <v>48.517502124912923</v>
      </c>
      <c r="Q65" s="50">
        <f t="shared" si="3"/>
        <v>42.782694118360169</v>
      </c>
      <c r="R65" s="78"/>
      <c r="S65" s="46" t="str">
        <f t="shared" si="42"/>
        <v>D65</v>
      </c>
      <c r="T65" s="79"/>
      <c r="U65" s="50">
        <f>$J$54*$J$34*($D$54*G27+$E$54*H27+$F$54*I27)</f>
        <v>516.10125782621242</v>
      </c>
      <c r="V65" s="50">
        <f>$J$54*$J$34*($D$55*G27+$E$55*H27+$F$55*I27)</f>
        <v>583.21063341863101</v>
      </c>
      <c r="W65" s="50">
        <f>$J$54*$J$34*($D$56*G27+$E$56*H27+$F$56*I27)</f>
        <v>535.91008917546139</v>
      </c>
      <c r="X65" s="29">
        <f t="shared" si="43"/>
        <v>1635.221980420305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512.35</v>
      </c>
      <c r="E66" s="32">
        <f t="shared" si="37"/>
        <v>2888</v>
      </c>
      <c r="F66" s="31">
        <f t="shared" si="38"/>
        <v>505.4675095177268</v>
      </c>
      <c r="G66" s="32">
        <f t="shared" si="39"/>
        <v>2654</v>
      </c>
      <c r="H66" s="33">
        <f t="shared" si="41"/>
        <v>-1.3433181384352899E-2</v>
      </c>
      <c r="I66" s="34">
        <f t="shared" si="40"/>
        <v>-8.1024930747922386E-2</v>
      </c>
      <c r="M66" s="46">
        <f t="shared" si="0"/>
        <v>61.222494176724346</v>
      </c>
      <c r="N66" s="46">
        <f t="shared" si="5"/>
        <v>63</v>
      </c>
      <c r="O66" s="50">
        <f t="shared" si="1"/>
        <v>-12.796844784161863</v>
      </c>
      <c r="P66" s="50">
        <f t="shared" si="2"/>
        <v>48.425649392562484</v>
      </c>
      <c r="Q66" s="50">
        <f t="shared" si="3"/>
        <v>42.42671812175459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557.50450460296702</v>
      </c>
      <c r="V66" s="50">
        <f>$J$54*$J$37*($D$55*G28+$E$55*H28+$F$55*I28)</f>
        <v>505.4675095177268</v>
      </c>
      <c r="W66" s="50">
        <f>$J$54*$J$37*($D$56*G28+$E$56*H28+$F$56*I28)</f>
        <v>110.9971853338038</v>
      </c>
      <c r="X66" s="29">
        <f t="shared" si="43"/>
        <v>1173.9691994544976</v>
      </c>
    </row>
    <row r="67" spans="1:24">
      <c r="A67" s="87"/>
      <c r="B67" s="48" t="str">
        <f t="shared" si="35"/>
        <v>CWF</v>
      </c>
      <c r="C67" s="93"/>
      <c r="D67" s="31">
        <f t="shared" si="36"/>
        <v>1213</v>
      </c>
      <c r="E67" s="32">
        <f t="shared" si="37"/>
        <v>3858</v>
      </c>
      <c r="F67" s="31">
        <f t="shared" si="38"/>
        <v>1239.0056428272169</v>
      </c>
      <c r="G67" s="32">
        <f t="shared" si="39"/>
        <v>3947</v>
      </c>
      <c r="H67" s="33">
        <f t="shared" si="41"/>
        <v>2.143911197627113E-2</v>
      </c>
      <c r="I67" s="34">
        <f t="shared" si="40"/>
        <v>2.3068947641264881E-2</v>
      </c>
      <c r="R67" s="78"/>
      <c r="S67" s="46" t="str">
        <f t="shared" si="42"/>
        <v>CWF</v>
      </c>
      <c r="T67" s="79"/>
      <c r="U67" s="50">
        <f>$J$54*$J$37*($D$54*G29+$E$54*H29+$F$54*I29)</f>
        <v>1221.6850714255236</v>
      </c>
      <c r="V67" s="50">
        <f>$J$54*$J$37*($D$55*G29+$E$55*H29+$F$55*I29)</f>
        <v>1239.0056428272169</v>
      </c>
      <c r="W67" s="50">
        <f>$J$54*$J$37*($D$56*G29+$E$56*H29+$F$56*I29)</f>
        <v>686.48240910824734</v>
      </c>
      <c r="X67" s="29">
        <f t="shared" si="43"/>
        <v>3147.173123360988</v>
      </c>
    </row>
    <row r="68" spans="1:24">
      <c r="A68" s="87"/>
      <c r="B68" s="48" t="str">
        <f t="shared" si="35"/>
        <v>D65</v>
      </c>
      <c r="C68" s="93"/>
      <c r="D68" s="31">
        <f t="shared" si="36"/>
        <v>577.1</v>
      </c>
      <c r="E68" s="32">
        <f t="shared" si="37"/>
        <v>6332</v>
      </c>
      <c r="F68" s="31">
        <f t="shared" si="38"/>
        <v>567.02128888900427</v>
      </c>
      <c r="G68" s="32">
        <f t="shared" si="39"/>
        <v>6225</v>
      </c>
      <c r="H68" s="33">
        <f t="shared" si="41"/>
        <v>-1.7464410173272826E-2</v>
      </c>
      <c r="I68" s="34">
        <f t="shared" si="40"/>
        <v>-1.689829437776369E-2</v>
      </c>
      <c r="R68" s="78"/>
      <c r="S68" s="46" t="str">
        <f t="shared" si="42"/>
        <v>D65</v>
      </c>
      <c r="T68" s="79"/>
      <c r="U68" s="50">
        <f>$J$54*$J$37*($D$54*G30+$E$54*H30+$F$54*I30)</f>
        <v>503.319930494461</v>
      </c>
      <c r="V68" s="50">
        <f>$J$54*$J$37*($D$55*G30+$E$55*H30+$F$55*I30)</f>
        <v>567.02128888900427</v>
      </c>
      <c r="W68" s="50">
        <f>$J$54*$J$37*($D$56*G30+$E$56*H30+$F$56*I30)</f>
        <v>515.0274251767745</v>
      </c>
      <c r="X68" s="29">
        <f t="shared" si="43"/>
        <v>1585.3686445602398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2.143911197627113E-2</v>
      </c>
      <c r="G69" s="47"/>
      <c r="H69" s="36" t="str">
        <f>I59</f>
        <v>CCT</v>
      </c>
      <c r="I69" s="38">
        <f>MAX(MAX(I60:I68,-MIN(I60:I68)))</f>
        <v>8.1024930747922386E-2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512.35</v>
      </c>
      <c r="E72" s="31">
        <f t="shared" ref="E72:E80" si="47">E60</f>
        <v>2888</v>
      </c>
      <c r="F72" s="31">
        <f t="shared" ref="F72:F80" si="48">V72</f>
        <v>515.36335873290602</v>
      </c>
      <c r="G72" s="32">
        <f t="shared" ref="G72:G80" si="49">getCCTfromXY(U72/X72,V72/X72)</f>
        <v>2979</v>
      </c>
      <c r="H72" s="33">
        <f>F72/D72-1</f>
        <v>5.8814457556475297E-3</v>
      </c>
      <c r="I72" s="34">
        <f t="shared" ref="I72:I80" si="50">G72/E72-1</f>
        <v>3.1509695290858675E-2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550.5867980991643</v>
      </c>
      <c r="V72" s="50">
        <f>$J$51*$J$31*($D$52*G22+$E$52*H22+$F$52*I22)</f>
        <v>515.36335873290602</v>
      </c>
      <c r="W72" s="50">
        <f>$J$51*$J$31*($D$53*G22+$E$53*H22+$F$53*I22)</f>
        <v>172.50170935285954</v>
      </c>
      <c r="X72" s="29">
        <f>SUM(U72:W72)</f>
        <v>1238.4518661849297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1213</v>
      </c>
      <c r="E73" s="31">
        <f t="shared" si="47"/>
        <v>3858</v>
      </c>
      <c r="F73" s="31">
        <f t="shared" si="48"/>
        <v>1210.3766010765662</v>
      </c>
      <c r="G73" s="32">
        <f t="shared" si="49"/>
        <v>3790</v>
      </c>
      <c r="H73" s="33">
        <f t="shared" ref="H73:H80" si="52">F73/D73-1</f>
        <v>-2.162736128139997E-3</v>
      </c>
      <c r="I73" s="34">
        <f t="shared" si="50"/>
        <v>-1.7625712804561933E-2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1205.6543729237098</v>
      </c>
      <c r="V73" s="50">
        <f t="shared" ref="V73:V74" si="55">$J$51*$J$31*($D$52*G23+$E$52*H23+$F$52*I23)</f>
        <v>1210.3766010765662</v>
      </c>
      <c r="W73" s="50">
        <f t="shared" ref="W73:W74" si="56">$J$51*$J$31*($D$53*G23+$E$53*H23+$F$53*I23)</f>
        <v>631.06856489329732</v>
      </c>
      <c r="X73" s="29">
        <f t="shared" ref="X73:X80" si="57">SUM(U73:W73)</f>
        <v>3047.099538893573</v>
      </c>
    </row>
    <row r="74" spans="1:24">
      <c r="A74" s="87"/>
      <c r="B74" s="48" t="str">
        <f t="shared" si="46"/>
        <v>X</v>
      </c>
      <c r="C74" s="93"/>
      <c r="D74" s="31">
        <f t="shared" si="51"/>
        <v>577.1</v>
      </c>
      <c r="E74" s="31">
        <f t="shared" si="47"/>
        <v>6332</v>
      </c>
      <c r="F74" s="31">
        <f t="shared" si="48"/>
        <v>580.44035695226944</v>
      </c>
      <c r="G74" s="32">
        <f t="shared" si="49"/>
        <v>6336</v>
      </c>
      <c r="H74" s="33">
        <f t="shared" si="52"/>
        <v>5.7881770096506191E-3</v>
      </c>
      <c r="I74" s="34">
        <f t="shared" si="50"/>
        <v>6.317119393557391E-4</v>
      </c>
      <c r="R74" s="78"/>
      <c r="S74" s="46" t="str">
        <f t="shared" si="53"/>
        <v>D65</v>
      </c>
      <c r="T74" s="79"/>
      <c r="U74" s="50">
        <f t="shared" si="54"/>
        <v>513.13360818183651</v>
      </c>
      <c r="V74" s="50">
        <f t="shared" si="55"/>
        <v>580.44035695226944</v>
      </c>
      <c r="W74" s="50">
        <f t="shared" si="56"/>
        <v>534.73253700042778</v>
      </c>
      <c r="X74" s="29">
        <f t="shared" si="57"/>
        <v>1628.3065021345337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512.35</v>
      </c>
      <c r="E75" s="31">
        <f t="shared" si="47"/>
        <v>2888</v>
      </c>
      <c r="F75" s="31">
        <f t="shared" si="48"/>
        <v>523.49368233687846</v>
      </c>
      <c r="G75" s="32">
        <f t="shared" si="49"/>
        <v>3095</v>
      </c>
      <c r="H75" s="33">
        <f t="shared" si="52"/>
        <v>2.1750136306974532E-2</v>
      </c>
      <c r="I75" s="34">
        <f t="shared" si="50"/>
        <v>7.1675900277008209E-2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553.60443184501378</v>
      </c>
      <c r="V75" s="50">
        <f>$J$51*$J$34*($D$52*G25+$E$52*H25+$F$52*I25)</f>
        <v>523.49368233687846</v>
      </c>
      <c r="W75" s="50">
        <f>$J$51*$J$34*($D$53*G25+$E$53*H25+$F$53*I25)</f>
        <v>193.9144898440108</v>
      </c>
      <c r="X75" s="29">
        <f t="shared" si="57"/>
        <v>1271.0126040259031</v>
      </c>
    </row>
    <row r="76" spans="1:24">
      <c r="A76" s="87"/>
      <c r="B76" s="48" t="str">
        <f t="shared" si="46"/>
        <v>Z</v>
      </c>
      <c r="C76" s="93"/>
      <c r="D76" s="31">
        <f t="shared" si="51"/>
        <v>1213</v>
      </c>
      <c r="E76" s="31">
        <f t="shared" si="47"/>
        <v>3858</v>
      </c>
      <c r="F76" s="31">
        <f t="shared" si="48"/>
        <v>1195.3024890088341</v>
      </c>
      <c r="G76" s="32">
        <f t="shared" si="49"/>
        <v>3845</v>
      </c>
      <c r="H76" s="33">
        <f t="shared" si="52"/>
        <v>-1.4589868912750159E-2</v>
      </c>
      <c r="I76" s="34">
        <f t="shared" si="50"/>
        <v>-3.3696215655780737E-3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1186.6327644834194</v>
      </c>
      <c r="V76" s="50">
        <f t="shared" ref="V76:V77" si="59">$J$51*$J$34*($D$52*G26+$E$52*H26+$F$52*I26)</f>
        <v>1195.3024890088341</v>
      </c>
      <c r="W76" s="50">
        <f t="shared" ref="W76:W77" si="60">$J$51*$J$34*($D$53*G26+$E$53*H26+$F$53*I26)</f>
        <v>637.79993337501026</v>
      </c>
      <c r="X76" s="29">
        <f t="shared" si="57"/>
        <v>3019.735186867264</v>
      </c>
    </row>
    <row r="77" spans="1:24">
      <c r="A77" s="87"/>
      <c r="B77" s="48" t="str">
        <f t="shared" si="46"/>
        <v>X</v>
      </c>
      <c r="C77" s="93"/>
      <c r="D77" s="31">
        <f t="shared" si="51"/>
        <v>577.1</v>
      </c>
      <c r="E77" s="31">
        <f t="shared" si="47"/>
        <v>6332</v>
      </c>
      <c r="F77" s="31">
        <f t="shared" si="48"/>
        <v>587.25653172339321</v>
      </c>
      <c r="G77" s="32">
        <f t="shared" si="49"/>
        <v>6384</v>
      </c>
      <c r="H77" s="33">
        <f t="shared" si="52"/>
        <v>1.7599257881464547E-2</v>
      </c>
      <c r="I77" s="34">
        <f t="shared" si="50"/>
        <v>8.2122552116234981E-3</v>
      </c>
      <c r="R77" s="78"/>
      <c r="S77" s="46" t="str">
        <f t="shared" si="53"/>
        <v>D65</v>
      </c>
      <c r="T77" s="79"/>
      <c r="U77" s="50">
        <f t="shared" si="58"/>
        <v>518.28769359543196</v>
      </c>
      <c r="V77" s="50">
        <f t="shared" si="59"/>
        <v>587.25653172339321</v>
      </c>
      <c r="W77" s="50">
        <f t="shared" si="60"/>
        <v>544.26402467186233</v>
      </c>
      <c r="X77" s="29">
        <f t="shared" si="57"/>
        <v>1649.8082499906877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512.35</v>
      </c>
      <c r="E78" s="31">
        <f t="shared" si="47"/>
        <v>2888</v>
      </c>
      <c r="F78" s="31">
        <f t="shared" si="48"/>
        <v>506.5126285126106</v>
      </c>
      <c r="G78" s="32">
        <f t="shared" si="49"/>
        <v>2639</v>
      </c>
      <c r="H78" s="33">
        <f t="shared" si="52"/>
        <v>-1.1393327778646323E-2</v>
      </c>
      <c r="I78" s="34">
        <f t="shared" si="50"/>
        <v>-8.621883656509699E-2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559.53866935187636</v>
      </c>
      <c r="V78" s="50">
        <f>$J$51*$J$37*($D$52*G28+$E$52*H28+$F$52*I28)</f>
        <v>506.5126285126106</v>
      </c>
      <c r="W78" s="50">
        <f>$J$51*$J$37*($D$53*G28+$E$53*H28+$F$53*I28)</f>
        <v>108.38292316849116</v>
      </c>
      <c r="X78" s="29">
        <f t="shared" si="57"/>
        <v>1174.434221032978</v>
      </c>
    </row>
    <row r="79" spans="1:24">
      <c r="A79" s="87"/>
      <c r="B79" s="48" t="str">
        <f t="shared" si="46"/>
        <v>Z</v>
      </c>
      <c r="C79" s="93"/>
      <c r="D79" s="31">
        <f t="shared" si="51"/>
        <v>1213</v>
      </c>
      <c r="E79" s="31">
        <f t="shared" si="47"/>
        <v>3858</v>
      </c>
      <c r="F79" s="31">
        <f t="shared" si="48"/>
        <v>1242.4991193928911</v>
      </c>
      <c r="G79" s="32">
        <f t="shared" si="49"/>
        <v>3950</v>
      </c>
      <c r="H79" s="33">
        <f t="shared" si="52"/>
        <v>2.4319142121097315E-2</v>
      </c>
      <c r="I79" s="34">
        <f t="shared" si="50"/>
        <v>2.3846552617936778E-2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1224.8913045683312</v>
      </c>
      <c r="V79" s="50">
        <f t="shared" ref="V79:V80" si="62">$J$51*$J$37*($D$52*G29+$E$52*H29+$F$52*I29)</f>
        <v>1242.4991193928911</v>
      </c>
      <c r="W79" s="50">
        <f t="shared" ref="W79:W80" si="63">$J$51*$J$37*($D$53*G29+$E$53*H29+$F$53*I29)</f>
        <v>689.19777935292018</v>
      </c>
      <c r="X79" s="29">
        <f t="shared" si="57"/>
        <v>3156.5882033141424</v>
      </c>
    </row>
    <row r="80" spans="1:24">
      <c r="A80" s="87"/>
      <c r="B80" s="48" t="str">
        <f t="shared" si="46"/>
        <v>X</v>
      </c>
      <c r="C80" s="93"/>
      <c r="D80" s="31">
        <f t="shared" si="51"/>
        <v>577.1</v>
      </c>
      <c r="E80" s="31">
        <f t="shared" si="47"/>
        <v>6332</v>
      </c>
      <c r="F80" s="31">
        <f t="shared" si="48"/>
        <v>570.8722407333961</v>
      </c>
      <c r="G80" s="32">
        <f t="shared" si="49"/>
        <v>6293</v>
      </c>
      <c r="H80" s="33">
        <f t="shared" si="52"/>
        <v>-1.0791473343621405E-2</v>
      </c>
      <c r="I80" s="34">
        <f t="shared" si="50"/>
        <v>-6.1591914087176791E-3</v>
      </c>
      <c r="R80" s="78"/>
      <c r="S80" s="46" t="str">
        <f t="shared" si="53"/>
        <v>D65</v>
      </c>
      <c r="T80" s="79"/>
      <c r="U80" s="50">
        <f t="shared" si="61"/>
        <v>505.4142723102072</v>
      </c>
      <c r="V80" s="50">
        <f t="shared" si="62"/>
        <v>570.8722407333961</v>
      </c>
      <c r="W80" s="50">
        <f t="shared" si="63"/>
        <v>522.93126523092212</v>
      </c>
      <c r="X80" s="29">
        <f t="shared" si="57"/>
        <v>1599.2177782745252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2.4319142121097315E-2</v>
      </c>
      <c r="G81" s="47"/>
      <c r="H81" s="36" t="str">
        <f>I71</f>
        <v>CCT</v>
      </c>
      <c r="I81" s="38">
        <f>MAX(MAX(I72:I80,-MIN(I72:I80)))</f>
        <v>8.621883656509699E-2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512.35</v>
      </c>
      <c r="E84" s="31">
        <f t="shared" ref="E84:E92" si="67">E72</f>
        <v>2888</v>
      </c>
      <c r="F84" s="31">
        <f t="shared" ref="F84:F92" si="68">V84</f>
        <v>512.34999999999968</v>
      </c>
      <c r="G84" s="32">
        <f t="shared" ref="G84:G92" si="69">getCCTfromXY(U84/X84,V84/X84)</f>
        <v>2888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551.94999999999982</v>
      </c>
      <c r="V84" s="50">
        <f>$J$42*$J$31*($D$43*G22+$E$43*H22+$F$43*I22)</f>
        <v>512.34999999999968</v>
      </c>
      <c r="W84" s="50">
        <f>$J$42*$J$31*($D$44*G22+$E$44*H22+$F$44*I22)</f>
        <v>156.25000000000063</v>
      </c>
      <c r="X84" s="29">
        <f>SUM(U84:W84)</f>
        <v>1220.5500000000002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1213</v>
      </c>
      <c r="E85" s="31">
        <f t="shared" si="67"/>
        <v>3858</v>
      </c>
      <c r="F85" s="31">
        <f t="shared" si="68"/>
        <v>1212.9999999999998</v>
      </c>
      <c r="G85" s="32">
        <f t="shared" si="69"/>
        <v>3858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1202.9999999999998</v>
      </c>
      <c r="V85" s="50">
        <f t="shared" ref="V85:V86" si="75">$J$42*$J$31*($D$43*G23+$E$43*H23+$F$43*I23)</f>
        <v>1212.9999999999998</v>
      </c>
      <c r="W85" s="50">
        <f t="shared" ref="W85:W86" si="76">$J$42*$J$31*($D$44*G23+$E$44*H23+$F$44*I23)</f>
        <v>649.99999999999989</v>
      </c>
      <c r="X85" s="29">
        <f t="shared" ref="X85:X92" si="77">SUM(U85:W85)</f>
        <v>3065.9999999999995</v>
      </c>
    </row>
    <row r="86" spans="1:24">
      <c r="A86" s="87"/>
      <c r="B86" s="48">
        <f t="shared" si="66"/>
        <v>0</v>
      </c>
      <c r="C86" s="93"/>
      <c r="D86" s="31">
        <f t="shared" si="71"/>
        <v>577.1</v>
      </c>
      <c r="E86" s="31">
        <f t="shared" si="67"/>
        <v>6332</v>
      </c>
      <c r="F86" s="31">
        <f t="shared" si="68"/>
        <v>577.09999999999991</v>
      </c>
      <c r="G86" s="32">
        <f t="shared" si="69"/>
        <v>6332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510.24999999999994</v>
      </c>
      <c r="V86" s="50">
        <f t="shared" si="75"/>
        <v>577.09999999999991</v>
      </c>
      <c r="W86" s="50">
        <f t="shared" si="76"/>
        <v>531.34999999999991</v>
      </c>
      <c r="X86" s="29">
        <f t="shared" si="77"/>
        <v>1618.6999999999998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512.35</v>
      </c>
      <c r="E87" s="31">
        <f t="shared" si="67"/>
        <v>2888</v>
      </c>
      <c r="F87" s="31">
        <f t="shared" si="68"/>
        <v>512.3499999999998</v>
      </c>
      <c r="G87" s="32">
        <f t="shared" si="69"/>
        <v>2888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551.94999999999959</v>
      </c>
      <c r="V87" s="50">
        <f>$J$45*$J$34*($D$46*G25+$E$46*H25+$F$46*I25)</f>
        <v>512.3499999999998</v>
      </c>
      <c r="W87" s="50">
        <f>$J$45*$J$34*($D$47*G25+$E$47*H25+$F$47*I25)</f>
        <v>156.25000000000009</v>
      </c>
      <c r="X87" s="29">
        <f t="shared" si="77"/>
        <v>1220.5499999999993</v>
      </c>
    </row>
    <row r="88" spans="1:24">
      <c r="A88" s="87"/>
      <c r="B88" s="48">
        <f t="shared" si="66"/>
        <v>0</v>
      </c>
      <c r="C88" s="93"/>
      <c r="D88" s="31">
        <f t="shared" si="71"/>
        <v>1213</v>
      </c>
      <c r="E88" s="31">
        <f t="shared" si="67"/>
        <v>3858</v>
      </c>
      <c r="F88" s="31">
        <f t="shared" si="68"/>
        <v>1213</v>
      </c>
      <c r="G88" s="32">
        <f t="shared" si="69"/>
        <v>3858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1202.9999999999995</v>
      </c>
      <c r="V88" s="50">
        <f t="shared" ref="V88:V89" si="79">$J$45*$J$34*($D$46*G26+$E$46*H26+$F$46*I26)</f>
        <v>1213</v>
      </c>
      <c r="W88" s="50">
        <f t="shared" ref="W88:W89" si="80">$J$45*$J$34*($D$47*G26+$E$47*H26+$F$47*I26)</f>
        <v>650.00000000000011</v>
      </c>
      <c r="X88" s="29">
        <f t="shared" si="77"/>
        <v>3065.9999999999995</v>
      </c>
    </row>
    <row r="89" spans="1:24">
      <c r="A89" s="87"/>
      <c r="B89" s="48" t="str">
        <f t="shared" si="66"/>
        <v>A</v>
      </c>
      <c r="C89" s="93"/>
      <c r="D89" s="31">
        <f t="shared" si="71"/>
        <v>577.1</v>
      </c>
      <c r="E89" s="31">
        <f t="shared" si="67"/>
        <v>6332</v>
      </c>
      <c r="F89" s="31">
        <f t="shared" si="68"/>
        <v>577.1</v>
      </c>
      <c r="G89" s="32">
        <f t="shared" si="69"/>
        <v>6332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510.24999999999994</v>
      </c>
      <c r="V89" s="50">
        <f t="shared" si="79"/>
        <v>577.1</v>
      </c>
      <c r="W89" s="50">
        <f t="shared" si="80"/>
        <v>531.35000000000014</v>
      </c>
      <c r="X89" s="29">
        <f t="shared" si="77"/>
        <v>1618.7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512.35</v>
      </c>
      <c r="E90" s="31">
        <f t="shared" si="67"/>
        <v>2888</v>
      </c>
      <c r="F90" s="31">
        <f t="shared" si="68"/>
        <v>512.35000000000014</v>
      </c>
      <c r="G90" s="32">
        <f t="shared" si="69"/>
        <v>2888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551.95000000000005</v>
      </c>
      <c r="V90" s="50">
        <f>$J$48*$J$37*($D$49*G28+$E$49*H28+$F$49*I28)</f>
        <v>512.35000000000014</v>
      </c>
      <c r="W90" s="50">
        <f>$J$48*$J$37*($D$50*G28+$E$50*H28+$F$50*I28)</f>
        <v>156.25000000000077</v>
      </c>
      <c r="X90" s="29">
        <f t="shared" si="77"/>
        <v>1220.5500000000009</v>
      </c>
    </row>
    <row r="91" spans="1:24">
      <c r="A91" s="87"/>
      <c r="B91" s="48" t="str">
        <f t="shared" si="66"/>
        <v>D65</v>
      </c>
      <c r="C91" s="93"/>
      <c r="D91" s="31">
        <f t="shared" si="71"/>
        <v>1213</v>
      </c>
      <c r="E91" s="31">
        <f t="shared" si="67"/>
        <v>3858</v>
      </c>
      <c r="F91" s="31">
        <f t="shared" si="68"/>
        <v>1213</v>
      </c>
      <c r="G91" s="32">
        <f t="shared" si="69"/>
        <v>3858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1202.9999999999998</v>
      </c>
      <c r="V91" s="50">
        <f t="shared" ref="V91:V92" si="82">$J$48*$J$37*($D$49*G29+$E$49*H29+$F$49*I29)</f>
        <v>1213</v>
      </c>
      <c r="W91" s="50">
        <f t="shared" ref="W91:W92" si="83">$J$48*$J$37*($D$50*G29+$E$50*H29+$F$50*I29)</f>
        <v>650.00000000000011</v>
      </c>
      <c r="X91" s="29">
        <f t="shared" si="77"/>
        <v>3066</v>
      </c>
    </row>
    <row r="92" spans="1:24">
      <c r="A92" s="87"/>
      <c r="B92" s="48" t="str">
        <f t="shared" si="66"/>
        <v>A</v>
      </c>
      <c r="C92" s="93"/>
      <c r="D92" s="31">
        <f t="shared" si="71"/>
        <v>577.1</v>
      </c>
      <c r="E92" s="31">
        <f t="shared" si="67"/>
        <v>6332</v>
      </c>
      <c r="F92" s="31">
        <f t="shared" si="68"/>
        <v>577.10000000000014</v>
      </c>
      <c r="G92" s="32">
        <f t="shared" si="69"/>
        <v>6332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510.24999999999989</v>
      </c>
      <c r="V92" s="50">
        <f t="shared" si="82"/>
        <v>577.10000000000014</v>
      </c>
      <c r="W92" s="50">
        <f t="shared" si="83"/>
        <v>531.35</v>
      </c>
      <c r="X92" s="29">
        <f t="shared" si="77"/>
        <v>1618.6999999999998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5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4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1.482669846639368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70.976236809656228</v>
      </c>
      <c r="N3" s="46">
        <v>0</v>
      </c>
      <c r="O3" s="50">
        <f>G$5-N3*G$7</f>
        <v>122.6767188693659</v>
      </c>
      <c r="P3" s="50">
        <f>H$5-N3*H$7</f>
        <v>51.700482059709671</v>
      </c>
      <c r="Q3" s="50">
        <f>I$5-N3*I$7</f>
        <v>61.08348031586835</v>
      </c>
    </row>
    <row r="4" spans="1:17">
      <c r="C4" s="46" t="s">
        <v>20</v>
      </c>
      <c r="D4" s="7">
        <v>523.6</v>
      </c>
      <c r="E4" s="7">
        <v>1217</v>
      </c>
      <c r="F4" s="7">
        <v>578.29999999999995</v>
      </c>
      <c r="G4" s="50">
        <f>AVERAGE(D4:F4)</f>
        <v>772.96666666666658</v>
      </c>
      <c r="H4" s="50">
        <f>G4</f>
        <v>772.96666666666658</v>
      </c>
      <c r="I4" s="50">
        <f>H4</f>
        <v>772.96666666666658</v>
      </c>
      <c r="K4" s="13" t="str">
        <f>linefmt("Compensation",B12)</f>
        <v>"Compensation",35,</v>
      </c>
      <c r="M4" s="46">
        <f t="shared" si="0"/>
        <v>68.943694026282316</v>
      </c>
      <c r="N4" s="46">
        <f>N3+1</f>
        <v>1</v>
      </c>
      <c r="O4" s="50">
        <f t="shared" ref="O4:O66" si="1">G$5-N4*G$7</f>
        <v>120.54816639129221</v>
      </c>
      <c r="P4" s="50">
        <f t="shared" ref="P4:P66" si="2">H$5-N4*H$7</f>
        <v>51.604472365009904</v>
      </c>
      <c r="Q4" s="50">
        <f t="shared" ref="Q4:Q66" si="3">I$5-N4*I$7</f>
        <v>60.757096649227151</v>
      </c>
    </row>
    <row r="5" spans="1:17">
      <c r="C5" s="46">
        <v>0</v>
      </c>
      <c r="D5" s="9">
        <v>83.1</v>
      </c>
      <c r="E5" s="9">
        <v>81.400000000000006</v>
      </c>
      <c r="F5" s="9">
        <v>45.7</v>
      </c>
      <c r="G5" s="50">
        <f>G$4/D$4*D5</f>
        <v>122.6767188693659</v>
      </c>
      <c r="H5" s="50">
        <f t="shared" ref="H5:I6" si="4">H$4/E$4*E5</f>
        <v>51.700482059709671</v>
      </c>
      <c r="I5" s="50">
        <f t="shared" si="4"/>
        <v>61.08348031586835</v>
      </c>
      <c r="K5" s="14" t="str">
        <f>linefmt("CardGain",J54)</f>
        <v>"CardGain",16.00697,</v>
      </c>
      <c r="M5" s="46">
        <f t="shared" si="0"/>
        <v>66.911151242908403</v>
      </c>
      <c r="N5" s="46">
        <f t="shared" ref="N5:N66" si="5">N4+1</f>
        <v>2</v>
      </c>
      <c r="O5" s="50">
        <f t="shared" si="1"/>
        <v>118.41961391321854</v>
      </c>
      <c r="P5" s="50">
        <f t="shared" si="2"/>
        <v>51.508462670310145</v>
      </c>
      <c r="Q5" s="50">
        <f t="shared" si="3"/>
        <v>60.430712982585952</v>
      </c>
    </row>
    <row r="6" spans="1:17">
      <c r="B6" s="50">
        <f>D5/4</f>
        <v>20.774999999999999</v>
      </c>
      <c r="C6" s="7">
        <v>43</v>
      </c>
      <c r="D6" s="9">
        <v>21.1</v>
      </c>
      <c r="E6" s="9">
        <v>74.900000000000006</v>
      </c>
      <c r="F6" s="9">
        <v>35.200000000000003</v>
      </c>
      <c r="G6" s="50">
        <f>G$4/D$4*D6</f>
        <v>31.148962312197604</v>
      </c>
      <c r="H6" s="50">
        <f t="shared" si="4"/>
        <v>47.572065187619827</v>
      </c>
      <c r="I6" s="50">
        <f t="shared" si="4"/>
        <v>47.04898265029685</v>
      </c>
      <c r="K6" s="14" t="str">
        <f>linefmt("Range",1,J34,J37)</f>
        <v>"Range",1,0.9276953,1.023018,</v>
      </c>
      <c r="M6" s="46">
        <f t="shared" si="0"/>
        <v>64.878608459534476</v>
      </c>
      <c r="N6" s="46">
        <f t="shared" si="5"/>
        <v>3</v>
      </c>
      <c r="O6" s="50">
        <f t="shared" si="1"/>
        <v>116.29106143514485</v>
      </c>
      <c r="P6" s="50">
        <f t="shared" si="2"/>
        <v>51.412452975610378</v>
      </c>
      <c r="Q6" s="50">
        <f t="shared" si="3"/>
        <v>60.10432931594476</v>
      </c>
    </row>
    <row r="7" spans="1:17">
      <c r="C7" s="46">
        <f>C5</f>
        <v>0</v>
      </c>
      <c r="D7" s="46">
        <f t="shared" ref="D7:F8" si="6">D$4/D5</f>
        <v>6.3008423586040925</v>
      </c>
      <c r="E7" s="46">
        <f t="shared" si="6"/>
        <v>14.95085995085995</v>
      </c>
      <c r="F7" s="46">
        <f t="shared" si="6"/>
        <v>12.654266958424506</v>
      </c>
      <c r="G7" s="49">
        <f>(G5-G6)/($C6-$C5)</f>
        <v>2.1285524780736811</v>
      </c>
      <c r="H7" s="49">
        <f t="shared" ref="H7:I7" si="7">(H5-H6)/($C6-$C5)</f>
        <v>9.6009694699763809E-2</v>
      </c>
      <c r="I7" s="49">
        <f t="shared" si="7"/>
        <v>0.32638366664119767</v>
      </c>
      <c r="K7" s="14" t="str">
        <f>linefmt("CCM" )</f>
        <v>"CCM",</v>
      </c>
      <c r="M7" s="46">
        <f t="shared" si="0"/>
        <v>62.846065676160549</v>
      </c>
      <c r="N7" s="46">
        <f t="shared" si="5"/>
        <v>4</v>
      </c>
      <c r="O7" s="50">
        <f t="shared" si="1"/>
        <v>114.16250895707117</v>
      </c>
      <c r="P7" s="50">
        <f t="shared" si="2"/>
        <v>51.316443280910619</v>
      </c>
      <c r="Q7" s="50">
        <f t="shared" si="3"/>
        <v>59.777945649303561</v>
      </c>
    </row>
    <row r="8" spans="1:17">
      <c r="C8" s="46">
        <f>C6</f>
        <v>43</v>
      </c>
      <c r="D8" s="46">
        <f t="shared" si="6"/>
        <v>24.81516587677725</v>
      </c>
      <c r="E8" s="46">
        <f t="shared" si="6"/>
        <v>16.248331108144193</v>
      </c>
      <c r="F8" s="46">
        <f t="shared" si="6"/>
        <v>16.42897727272727</v>
      </c>
      <c r="K8" s="15" t="str">
        <f>linefmt("",D54,E54,F54)</f>
        <v>0.2007284,1.053626,-0.4162892,</v>
      </c>
      <c r="M8" s="46">
        <f t="shared" si="0"/>
        <v>60.813522892786644</v>
      </c>
      <c r="N8" s="46">
        <f t="shared" si="5"/>
        <v>5</v>
      </c>
      <c r="O8" s="50">
        <f t="shared" si="1"/>
        <v>112.0339564789975</v>
      </c>
      <c r="P8" s="50">
        <f t="shared" si="2"/>
        <v>51.220433586210852</v>
      </c>
      <c r="Q8" s="50">
        <f t="shared" si="3"/>
        <v>59.451561982662362</v>
      </c>
    </row>
    <row r="9" spans="1:17">
      <c r="C9" s="46" t="s">
        <v>23</v>
      </c>
      <c r="D9" s="46">
        <f>(D8-D7)/($C8-$C7)</f>
        <v>0.43056566321332923</v>
      </c>
      <c r="E9" s="46">
        <f>(E8-E7)/($C8-$C7)</f>
        <v>3.0173747843819588E-2</v>
      </c>
      <c r="F9" s="46">
        <f>(F8-F7)/($C8-$C7)</f>
        <v>8.7783960797738703E-2</v>
      </c>
      <c r="K9" s="15" t="str">
        <f>linefmt("",D55,E55,F55)</f>
        <v>0.0388207,1,-7.506543E-02,</v>
      </c>
      <c r="M9" s="46">
        <f t="shared" si="0"/>
        <v>58.780980109412724</v>
      </c>
      <c r="N9" s="46">
        <f t="shared" si="5"/>
        <v>6</v>
      </c>
      <c r="O9" s="50">
        <f t="shared" si="1"/>
        <v>109.90540400092381</v>
      </c>
      <c r="P9" s="50">
        <f t="shared" si="2"/>
        <v>51.124423891511086</v>
      </c>
      <c r="Q9" s="50">
        <f t="shared" si="3"/>
        <v>59.125178316021163</v>
      </c>
    </row>
    <row r="10" spans="1:17">
      <c r="K10" s="16" t="str">
        <f>linefmt("",D56,E56,F56)</f>
        <v>-0.5227433,0.2742301,1.200441,</v>
      </c>
      <c r="M10" s="46">
        <f t="shared" si="0"/>
        <v>56.748437326038811</v>
      </c>
      <c r="N10" s="46">
        <f t="shared" si="5"/>
        <v>7</v>
      </c>
      <c r="O10" s="50">
        <f t="shared" si="1"/>
        <v>107.77685152285014</v>
      </c>
      <c r="P10" s="50">
        <f t="shared" si="2"/>
        <v>51.028414196811326</v>
      </c>
      <c r="Q10" s="50">
        <f t="shared" si="3"/>
        <v>58.798794649379964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54.715894542664891</v>
      </c>
      <c r="N11" s="46">
        <f t="shared" si="5"/>
        <v>8</v>
      </c>
      <c r="O11" s="50">
        <f t="shared" si="1"/>
        <v>105.64829904477645</v>
      </c>
      <c r="P11" s="50">
        <f t="shared" si="2"/>
        <v>50.932404502111559</v>
      </c>
      <c r="Q11" s="50">
        <f t="shared" si="3"/>
        <v>58.472410982738765</v>
      </c>
    </row>
    <row r="12" spans="1:17">
      <c r="A12" s="46" t="s">
        <v>16</v>
      </c>
      <c r="B12" s="10">
        <f>MATCH(M2,M3:M66,0)-1</f>
        <v>35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Compensation=35</v>
      </c>
      <c r="M12" s="46">
        <f t="shared" si="0"/>
        <v>52.683351759290964</v>
      </c>
      <c r="N12" s="46">
        <f t="shared" si="5"/>
        <v>9</v>
      </c>
      <c r="O12" s="50">
        <f t="shared" si="1"/>
        <v>103.51974656670276</v>
      </c>
      <c r="P12" s="50">
        <f t="shared" si="2"/>
        <v>50.8363948074118</v>
      </c>
      <c r="Q12" s="50">
        <f t="shared" si="3"/>
        <v>58.146027316097573</v>
      </c>
    </row>
    <row r="13" spans="1:17">
      <c r="A13" s="78" t="s">
        <v>12</v>
      </c>
      <c r="B13" s="79" t="s">
        <v>0</v>
      </c>
      <c r="C13" s="46">
        <v>0</v>
      </c>
      <c r="D13" s="7">
        <v>550.1</v>
      </c>
      <c r="E13" s="7">
        <v>510.6</v>
      </c>
      <c r="F13" s="7">
        <v>156</v>
      </c>
      <c r="G13" s="8">
        <v>81.400000000000006</v>
      </c>
      <c r="H13" s="8">
        <v>31.7</v>
      </c>
      <c r="I13" s="8">
        <v>36.6</v>
      </c>
      <c r="M13" s="46">
        <f t="shared" si="0"/>
        <v>50.650808975917059</v>
      </c>
      <c r="N13" s="46">
        <f t="shared" si="5"/>
        <v>10</v>
      </c>
      <c r="O13" s="50">
        <f t="shared" si="1"/>
        <v>101.39119408862909</v>
      </c>
      <c r="P13" s="50">
        <f t="shared" si="2"/>
        <v>50.740385112712033</v>
      </c>
      <c r="Q13" s="50">
        <f t="shared" si="3"/>
        <v>57.819643649456374</v>
      </c>
    </row>
    <row r="14" spans="1:17">
      <c r="A14" s="78"/>
      <c r="B14" s="79"/>
      <c r="C14" s="46">
        <f>C13+1</f>
        <v>1</v>
      </c>
      <c r="D14" s="7">
        <v>555.4</v>
      </c>
      <c r="E14" s="7">
        <v>515.29999999999995</v>
      </c>
      <c r="F14" s="7">
        <v>155.80000000000001</v>
      </c>
      <c r="G14" s="8">
        <v>86.6</v>
      </c>
      <c r="H14" s="8">
        <v>34.700000000000003</v>
      </c>
      <c r="I14" s="8">
        <v>39.9</v>
      </c>
      <c r="M14" s="46">
        <f t="shared" si="0"/>
        <v>48.618266192543139</v>
      </c>
      <c r="N14" s="46">
        <f t="shared" si="5"/>
        <v>11</v>
      </c>
      <c r="O14" s="50">
        <f t="shared" si="1"/>
        <v>99.262641610555406</v>
      </c>
      <c r="P14" s="50">
        <f t="shared" si="2"/>
        <v>50.644375418012267</v>
      </c>
      <c r="Q14" s="50">
        <f t="shared" si="3"/>
        <v>57.493259982815175</v>
      </c>
    </row>
    <row r="15" spans="1:17">
      <c r="A15" s="78"/>
      <c r="B15" s="79"/>
      <c r="C15" s="46">
        <f>C14+1</f>
        <v>2</v>
      </c>
      <c r="D15" s="6">
        <f>2*(D13-D14)/(D13+D14)</f>
        <v>-9.5884215287199547E-3</v>
      </c>
      <c r="E15" s="6">
        <f t="shared" ref="E15:F15" si="8">2*(E13-E14)/(E13+E14)</f>
        <v>-9.1626864216783916E-3</v>
      </c>
      <c r="F15" s="6">
        <f t="shared" si="8"/>
        <v>1.2828736369466878E-3</v>
      </c>
      <c r="G15" s="8">
        <v>82.7</v>
      </c>
      <c r="H15" s="8">
        <v>30.5</v>
      </c>
      <c r="I15" s="8">
        <v>35.799999999999997</v>
      </c>
      <c r="M15" s="46">
        <f t="shared" si="0"/>
        <v>46.585723409169226</v>
      </c>
      <c r="N15" s="46">
        <f t="shared" si="5"/>
        <v>12</v>
      </c>
      <c r="O15" s="50">
        <f t="shared" si="1"/>
        <v>97.134089132481733</v>
      </c>
      <c r="P15" s="50">
        <f t="shared" si="2"/>
        <v>50.548365723312507</v>
      </c>
      <c r="Q15" s="50">
        <f t="shared" si="3"/>
        <v>57.166876316173976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1211</v>
      </c>
      <c r="F16" s="7">
        <v>650</v>
      </c>
      <c r="G16" s="8">
        <v>65.400000000000006</v>
      </c>
      <c r="H16" s="8">
        <v>75.900000000000006</v>
      </c>
      <c r="I16" s="8">
        <v>43.8</v>
      </c>
      <c r="M16" s="46">
        <f t="shared" si="0"/>
        <v>44.553180625795306</v>
      </c>
      <c r="N16" s="46">
        <f t="shared" si="5"/>
        <v>13</v>
      </c>
      <c r="O16" s="50">
        <f t="shared" si="1"/>
        <v>95.005536654408047</v>
      </c>
      <c r="P16" s="50">
        <f t="shared" si="2"/>
        <v>50.452356028612741</v>
      </c>
      <c r="Q16" s="50">
        <f t="shared" si="3"/>
        <v>56.840492649532777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1212</v>
      </c>
      <c r="F17" s="7">
        <v>650</v>
      </c>
      <c r="G17" s="8">
        <v>70.2</v>
      </c>
      <c r="H17" s="8">
        <v>81</v>
      </c>
      <c r="I17" s="8">
        <v>47.4</v>
      </c>
      <c r="M17" s="46">
        <f t="shared" si="0"/>
        <v>42.52063784242138</v>
      </c>
      <c r="N17" s="46">
        <f t="shared" si="5"/>
        <v>14</v>
      </c>
      <c r="O17" s="50">
        <f t="shared" si="1"/>
        <v>92.876984176334361</v>
      </c>
      <c r="P17" s="50">
        <f t="shared" si="2"/>
        <v>50.356346333912981</v>
      </c>
      <c r="Q17" s="50">
        <f t="shared" si="3"/>
        <v>56.514108982891585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-8.2542302930251759E-4</v>
      </c>
      <c r="F18" s="6">
        <f t="shared" si="10"/>
        <v>0</v>
      </c>
      <c r="G18" s="8">
        <v>59.5</v>
      </c>
      <c r="H18" s="8">
        <v>76.7</v>
      </c>
      <c r="I18" s="8">
        <v>43.6</v>
      </c>
      <c r="M18" s="46">
        <f t="shared" si="0"/>
        <v>40.48809505904746</v>
      </c>
      <c r="N18" s="46">
        <f t="shared" si="5"/>
        <v>15</v>
      </c>
      <c r="O18" s="50">
        <f t="shared" si="1"/>
        <v>90.748431698260674</v>
      </c>
      <c r="P18" s="50">
        <f t="shared" si="2"/>
        <v>50.260336639213214</v>
      </c>
      <c r="Q18" s="50">
        <f t="shared" si="3"/>
        <v>56.187725316250386</v>
      </c>
    </row>
    <row r="19" spans="1:21">
      <c r="A19" s="78"/>
      <c r="B19" s="79" t="s">
        <v>2</v>
      </c>
      <c r="C19" s="46">
        <f t="shared" si="9"/>
        <v>0</v>
      </c>
      <c r="D19" s="7">
        <v>511.4</v>
      </c>
      <c r="E19" s="7">
        <v>578.6</v>
      </c>
      <c r="F19" s="7">
        <v>534.29999999999995</v>
      </c>
      <c r="G19" s="8">
        <v>27.8</v>
      </c>
      <c r="H19" s="8">
        <v>37.200000000000003</v>
      </c>
      <c r="I19" s="8">
        <v>31.3</v>
      </c>
      <c r="M19" s="46">
        <f t="shared" si="0"/>
        <v>38.455552275673554</v>
      </c>
      <c r="N19" s="46">
        <f t="shared" si="5"/>
        <v>16</v>
      </c>
      <c r="O19" s="50">
        <f t="shared" si="1"/>
        <v>88.619879220187002</v>
      </c>
      <c r="P19" s="50">
        <f t="shared" si="2"/>
        <v>50.164326944513448</v>
      </c>
      <c r="Q19" s="50">
        <f t="shared" si="3"/>
        <v>55.861341649609187</v>
      </c>
    </row>
    <row r="20" spans="1:21">
      <c r="A20" s="78"/>
      <c r="B20" s="79"/>
      <c r="C20" s="46">
        <f t="shared" si="9"/>
        <v>1</v>
      </c>
      <c r="D20" s="7">
        <v>512.9</v>
      </c>
      <c r="E20" s="7">
        <v>580</v>
      </c>
      <c r="F20" s="7">
        <v>534.5</v>
      </c>
      <c r="G20" s="8">
        <v>30.3</v>
      </c>
      <c r="H20" s="8">
        <v>40.5</v>
      </c>
      <c r="I20" s="8">
        <v>34.1</v>
      </c>
      <c r="M20" s="46">
        <f t="shared" si="0"/>
        <v>36.423009492299641</v>
      </c>
      <c r="N20" s="46">
        <f t="shared" si="5"/>
        <v>17</v>
      </c>
      <c r="O20" s="50">
        <f t="shared" si="1"/>
        <v>86.49132674211333</v>
      </c>
      <c r="P20" s="50">
        <f t="shared" si="2"/>
        <v>50.068317249813688</v>
      </c>
      <c r="Q20" s="50">
        <f t="shared" si="3"/>
        <v>55.534957982967988</v>
      </c>
    </row>
    <row r="21" spans="1:21">
      <c r="A21" s="78"/>
      <c r="B21" s="79"/>
      <c r="C21" s="46">
        <f t="shared" si="9"/>
        <v>2</v>
      </c>
      <c r="D21" s="6">
        <f>2*(D19-D20)/(D19+D20)</f>
        <v>-2.9288294444986822E-3</v>
      </c>
      <c r="E21" s="6">
        <f t="shared" ref="E21:F21" si="11">2*(E19-E20)/(E19+E20)</f>
        <v>-2.4167098221991668E-3</v>
      </c>
      <c r="F21" s="6">
        <f t="shared" si="11"/>
        <v>-3.7425149700607316E-4</v>
      </c>
      <c r="G21" s="8">
        <v>26.3</v>
      </c>
      <c r="H21" s="8">
        <v>36.5</v>
      </c>
      <c r="I21" s="8">
        <v>29.8</v>
      </c>
      <c r="M21" s="46">
        <f t="shared" si="0"/>
        <v>34.390466708925722</v>
      </c>
      <c r="N21" s="46">
        <f t="shared" si="5"/>
        <v>18</v>
      </c>
      <c r="O21" s="50">
        <f t="shared" si="1"/>
        <v>84.362774264039643</v>
      </c>
      <c r="P21" s="50">
        <f t="shared" si="2"/>
        <v>49.972307555113922</v>
      </c>
      <c r="Q21" s="50">
        <f t="shared" si="3"/>
        <v>55.208574316326789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552.75</v>
      </c>
      <c r="E22" s="46">
        <f t="shared" ref="E22:F22" si="12">(E13+E14)/2</f>
        <v>512.95000000000005</v>
      </c>
      <c r="F22" s="46">
        <f t="shared" si="12"/>
        <v>155.9</v>
      </c>
      <c r="G22" s="5">
        <f>G13</f>
        <v>81.400000000000006</v>
      </c>
      <c r="H22" s="5">
        <f t="shared" ref="H22:I22" si="13">H13</f>
        <v>31.7</v>
      </c>
      <c r="I22" s="5">
        <f t="shared" si="13"/>
        <v>36.6</v>
      </c>
      <c r="J22" s="99">
        <f>AVERAGE(G22:I24)</f>
        <v>47.900000000000006</v>
      </c>
      <c r="M22" s="46">
        <f t="shared" si="0"/>
        <v>32.357923925551802</v>
      </c>
      <c r="N22" s="46">
        <f t="shared" si="5"/>
        <v>19</v>
      </c>
      <c r="O22" s="50">
        <f t="shared" si="1"/>
        <v>82.234221785965957</v>
      </c>
      <c r="P22" s="50">
        <f t="shared" si="2"/>
        <v>49.876297860414155</v>
      </c>
      <c r="Q22" s="50">
        <f t="shared" si="3"/>
        <v>54.882190649685597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1211.5</v>
      </c>
      <c r="F23" s="46">
        <f>(F16+F17)/2</f>
        <v>650</v>
      </c>
      <c r="G23" s="5">
        <f>G16</f>
        <v>65.400000000000006</v>
      </c>
      <c r="H23" s="5">
        <f>H16</f>
        <v>75.900000000000006</v>
      </c>
      <c r="I23" s="5">
        <f>I16</f>
        <v>43.8</v>
      </c>
      <c r="J23" s="99"/>
      <c r="M23" s="46">
        <f t="shared" si="0"/>
        <v>30.325381142177875</v>
      </c>
      <c r="N23" s="46">
        <f t="shared" si="5"/>
        <v>20</v>
      </c>
      <c r="O23" s="50">
        <f t="shared" si="1"/>
        <v>80.105669307892271</v>
      </c>
      <c r="P23" s="50">
        <f t="shared" si="2"/>
        <v>49.780288165714396</v>
      </c>
      <c r="Q23" s="50">
        <f t="shared" si="3"/>
        <v>54.555806983044398</v>
      </c>
    </row>
    <row r="24" spans="1:21">
      <c r="A24" s="78"/>
      <c r="B24" s="46" t="str">
        <f>B19</f>
        <v>D65</v>
      </c>
      <c r="C24" s="79"/>
      <c r="D24" s="46">
        <f>(D19+D20)/2</f>
        <v>512.15</v>
      </c>
      <c r="E24" s="46">
        <f>(E19+E20)/2</f>
        <v>579.29999999999995</v>
      </c>
      <c r="F24" s="46">
        <f>(F19+F20)/2</f>
        <v>534.4</v>
      </c>
      <c r="G24" s="5">
        <f>G19</f>
        <v>27.8</v>
      </c>
      <c r="H24" s="5">
        <f>H19</f>
        <v>37.200000000000003</v>
      </c>
      <c r="I24" s="5">
        <f>I19</f>
        <v>31.3</v>
      </c>
      <c r="J24" s="99"/>
      <c r="M24" s="46">
        <f t="shared" si="0"/>
        <v>28.292838358803969</v>
      </c>
      <c r="N24" s="46">
        <f t="shared" si="5"/>
        <v>21</v>
      </c>
      <c r="O24" s="50">
        <f t="shared" si="1"/>
        <v>77.977116829818598</v>
      </c>
      <c r="P24" s="50">
        <f t="shared" si="2"/>
        <v>49.684278471014629</v>
      </c>
      <c r="Q24" s="50">
        <f t="shared" si="3"/>
        <v>54.229423316403199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552.75</v>
      </c>
      <c r="E25" s="46">
        <f t="shared" ref="E25:F25" si="15">(E13+E14)/2</f>
        <v>512.95000000000005</v>
      </c>
      <c r="F25" s="46">
        <f t="shared" si="15"/>
        <v>155.9</v>
      </c>
      <c r="G25" s="5">
        <f t="shared" ref="G25:I25" si="16">G14</f>
        <v>86.6</v>
      </c>
      <c r="H25" s="5">
        <f t="shared" si="16"/>
        <v>34.700000000000003</v>
      </c>
      <c r="I25" s="5">
        <f t="shared" si="16"/>
        <v>39.9</v>
      </c>
      <c r="J25" s="99">
        <f>AVERAGE(G25:I27)</f>
        <v>51.633333333333333</v>
      </c>
      <c r="M25" s="46">
        <f t="shared" si="0"/>
        <v>26.260295575430042</v>
      </c>
      <c r="N25" s="46">
        <f t="shared" si="5"/>
        <v>22</v>
      </c>
      <c r="O25" s="50">
        <f t="shared" si="1"/>
        <v>75.848564351744912</v>
      </c>
      <c r="P25" s="50">
        <f t="shared" si="2"/>
        <v>49.58826877631487</v>
      </c>
      <c r="Q25" s="50">
        <f t="shared" si="3"/>
        <v>53.903039649762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1211.5</v>
      </c>
      <c r="F26" s="46">
        <f>(F16+F17)/2</f>
        <v>650</v>
      </c>
      <c r="G26" s="5">
        <f>G17</f>
        <v>70.2</v>
      </c>
      <c r="H26" s="5">
        <f>H17</f>
        <v>81</v>
      </c>
      <c r="I26" s="5">
        <f>I17</f>
        <v>47.4</v>
      </c>
      <c r="J26" s="99"/>
      <c r="M26" s="46">
        <f t="shared" si="0"/>
        <v>24.227752792056137</v>
      </c>
      <c r="N26" s="46">
        <f t="shared" si="5"/>
        <v>23</v>
      </c>
      <c r="O26" s="50">
        <f t="shared" si="1"/>
        <v>73.72001187367124</v>
      </c>
      <c r="P26" s="50">
        <f t="shared" si="2"/>
        <v>49.492259081615103</v>
      </c>
      <c r="Q26" s="50">
        <f t="shared" si="3"/>
        <v>53.576655983120801</v>
      </c>
    </row>
    <row r="27" spans="1:21">
      <c r="A27" s="78"/>
      <c r="B27" s="46" t="str">
        <f>B19</f>
        <v>D65</v>
      </c>
      <c r="C27" s="79"/>
      <c r="D27" s="46">
        <f>(D19+D20)/2</f>
        <v>512.15</v>
      </c>
      <c r="E27" s="46">
        <f>(E19+E20)/2</f>
        <v>579.29999999999995</v>
      </c>
      <c r="F27" s="46">
        <f>(F19+F20)/2</f>
        <v>534.4</v>
      </c>
      <c r="G27" s="5">
        <f>G20</f>
        <v>30.3</v>
      </c>
      <c r="H27" s="5">
        <f>H20</f>
        <v>40.5</v>
      </c>
      <c r="I27" s="5">
        <f>I20</f>
        <v>34.1</v>
      </c>
      <c r="J27" s="99"/>
      <c r="M27" s="46">
        <f t="shared" si="0"/>
        <v>22.19521000868221</v>
      </c>
      <c r="N27" s="46">
        <f t="shared" si="5"/>
        <v>24</v>
      </c>
      <c r="O27" s="50">
        <f t="shared" si="1"/>
        <v>71.591459395597553</v>
      </c>
      <c r="P27" s="50">
        <f t="shared" si="2"/>
        <v>49.396249386915343</v>
      </c>
      <c r="Q27" s="50">
        <f t="shared" si="3"/>
        <v>53.250272316479609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552.75</v>
      </c>
      <c r="E28" s="46">
        <f t="shared" ref="E28:F28" si="17">(E13+E14)/2</f>
        <v>512.95000000000005</v>
      </c>
      <c r="F28" s="46">
        <f t="shared" si="17"/>
        <v>155.9</v>
      </c>
      <c r="G28" s="5">
        <f t="shared" ref="G28:I28" si="18">G15</f>
        <v>82.7</v>
      </c>
      <c r="H28" s="5">
        <f t="shared" si="18"/>
        <v>30.5</v>
      </c>
      <c r="I28" s="5">
        <f t="shared" si="18"/>
        <v>35.799999999999997</v>
      </c>
      <c r="J28" s="99">
        <f>AVERAGE(G28:I30)</f>
        <v>46.822222222222223</v>
      </c>
      <c r="M28" s="46">
        <f t="shared" si="0"/>
        <v>20.16266722530829</v>
      </c>
      <c r="N28" s="46">
        <f t="shared" si="5"/>
        <v>25</v>
      </c>
      <c r="O28" s="50">
        <f t="shared" si="1"/>
        <v>69.462906917523867</v>
      </c>
      <c r="P28" s="50">
        <f t="shared" si="2"/>
        <v>49.300239692215577</v>
      </c>
      <c r="Q28" s="50">
        <f t="shared" si="3"/>
        <v>52.92388864983841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1211.5</v>
      </c>
      <c r="F29" s="46">
        <f t="shared" si="20"/>
        <v>650</v>
      </c>
      <c r="G29" s="5">
        <f t="shared" ref="G29:I29" si="21">G18</f>
        <v>59.5</v>
      </c>
      <c r="H29" s="5">
        <f t="shared" si="21"/>
        <v>76.7</v>
      </c>
      <c r="I29" s="5">
        <f t="shared" si="21"/>
        <v>43.6</v>
      </c>
      <c r="J29" s="99"/>
      <c r="M29" s="46">
        <f t="shared" si="0"/>
        <v>18.130124441934385</v>
      </c>
      <c r="N29" s="46">
        <f t="shared" si="5"/>
        <v>26</v>
      </c>
      <c r="O29" s="50">
        <f t="shared" si="1"/>
        <v>67.334354439450195</v>
      </c>
      <c r="P29" s="50">
        <f t="shared" si="2"/>
        <v>49.20422999751581</v>
      </c>
      <c r="Q29" s="50">
        <f t="shared" si="3"/>
        <v>52.597504983197211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512.15</v>
      </c>
      <c r="E30" s="46">
        <f t="shared" si="23"/>
        <v>579.29999999999995</v>
      </c>
      <c r="F30" s="46">
        <f t="shared" si="23"/>
        <v>534.4</v>
      </c>
      <c r="G30" s="5">
        <f t="shared" ref="G30:I30" si="24">G21</f>
        <v>26.3</v>
      </c>
      <c r="H30" s="5">
        <f t="shared" si="24"/>
        <v>36.5</v>
      </c>
      <c r="I30" s="5">
        <f t="shared" si="24"/>
        <v>29.8</v>
      </c>
      <c r="J30" s="99"/>
      <c r="M30" s="46">
        <f t="shared" si="0"/>
        <v>16.097581658560458</v>
      </c>
      <c r="N30" s="46">
        <f t="shared" si="5"/>
        <v>27</v>
      </c>
      <c r="O30" s="50">
        <f t="shared" si="1"/>
        <v>65.205801961376508</v>
      </c>
      <c r="P30" s="50">
        <f t="shared" si="2"/>
        <v>49.108220302816051</v>
      </c>
      <c r="Q30" s="50">
        <f t="shared" si="3"/>
        <v>52.271121316556012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552.75</v>
      </c>
      <c r="E31" s="46">
        <f t="shared" si="25"/>
        <v>512.95000000000005</v>
      </c>
      <c r="F31" s="46">
        <f t="shared" si="25"/>
        <v>155.9</v>
      </c>
      <c r="G31" s="5">
        <f t="shared" ref="G31:I33" si="26">G22*$J$31</f>
        <v>81.400000000000006</v>
      </c>
      <c r="H31" s="5">
        <f t="shared" si="26"/>
        <v>31.7</v>
      </c>
      <c r="I31" s="5">
        <f t="shared" si="26"/>
        <v>36.6</v>
      </c>
      <c r="J31" s="96">
        <f>J$22/J22</f>
        <v>1</v>
      </c>
      <c r="M31" s="46">
        <f t="shared" si="0"/>
        <v>14.065038875186545</v>
      </c>
      <c r="N31" s="46">
        <f t="shared" si="5"/>
        <v>28</v>
      </c>
      <c r="O31" s="50">
        <f t="shared" si="1"/>
        <v>63.077249483302829</v>
      </c>
      <c r="P31" s="50">
        <f t="shared" si="2"/>
        <v>49.012210608116284</v>
      </c>
      <c r="Q31" s="50">
        <f t="shared" si="3"/>
        <v>51.944737649914813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1211.5</v>
      </c>
      <c r="F32" s="46">
        <f t="shared" si="27"/>
        <v>650</v>
      </c>
      <c r="G32" s="5">
        <f t="shared" si="26"/>
        <v>65.400000000000006</v>
      </c>
      <c r="H32" s="5">
        <f t="shared" si="26"/>
        <v>75.900000000000006</v>
      </c>
      <c r="I32" s="5">
        <f t="shared" si="26"/>
        <v>43.8</v>
      </c>
      <c r="J32" s="96"/>
      <c r="M32" s="46">
        <f t="shared" si="0"/>
        <v>12.032496091812632</v>
      </c>
      <c r="N32" s="46">
        <f t="shared" si="5"/>
        <v>29</v>
      </c>
      <c r="O32" s="50">
        <f t="shared" si="1"/>
        <v>60.94869700522915</v>
      </c>
      <c r="P32" s="50">
        <f t="shared" si="2"/>
        <v>48.916200913416517</v>
      </c>
      <c r="Q32" s="50">
        <f t="shared" si="3"/>
        <v>51.618353983273622</v>
      </c>
    </row>
    <row r="33" spans="1:17">
      <c r="A33" s="78"/>
      <c r="B33" s="46" t="str">
        <f t="shared" si="27"/>
        <v>D65</v>
      </c>
      <c r="C33" s="79"/>
      <c r="D33" s="46">
        <f t="shared" si="27"/>
        <v>512.15</v>
      </c>
      <c r="E33" s="46">
        <f t="shared" si="27"/>
        <v>579.29999999999995</v>
      </c>
      <c r="F33" s="46">
        <f t="shared" si="27"/>
        <v>534.4</v>
      </c>
      <c r="G33" s="5">
        <f t="shared" si="26"/>
        <v>27.8</v>
      </c>
      <c r="H33" s="5">
        <f t="shared" si="26"/>
        <v>37.200000000000003</v>
      </c>
      <c r="I33" s="5">
        <f t="shared" si="26"/>
        <v>31.3</v>
      </c>
      <c r="J33" s="96"/>
      <c r="M33" s="46">
        <f t="shared" si="0"/>
        <v>9.9999533084387053</v>
      </c>
      <c r="N33" s="46">
        <f t="shared" si="5"/>
        <v>30</v>
      </c>
      <c r="O33" s="50">
        <f t="shared" si="1"/>
        <v>58.820144527155463</v>
      </c>
      <c r="P33" s="50">
        <f t="shared" si="2"/>
        <v>48.820191218716758</v>
      </c>
      <c r="Q33" s="50">
        <f t="shared" si="3"/>
        <v>51.291970316632415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552.75</v>
      </c>
      <c r="E34" s="46">
        <f t="shared" si="27"/>
        <v>512.95000000000005</v>
      </c>
      <c r="F34" s="46">
        <f t="shared" si="27"/>
        <v>155.9</v>
      </c>
      <c r="G34" s="5">
        <f t="shared" ref="G34:I36" si="28">G25*$J$34</f>
        <v>80.338411878631376</v>
      </c>
      <c r="H34" s="5">
        <f t="shared" si="28"/>
        <v>32.191026468689486</v>
      </c>
      <c r="I34" s="5">
        <f t="shared" si="28"/>
        <v>37.015041962556488</v>
      </c>
      <c r="J34" s="96">
        <f>J$22/J25</f>
        <v>0.92769528728211759</v>
      </c>
      <c r="M34" s="46">
        <f t="shared" si="0"/>
        <v>7.9674105250647997</v>
      </c>
      <c r="N34" s="46">
        <f t="shared" si="5"/>
        <v>31</v>
      </c>
      <c r="O34" s="50">
        <f t="shared" si="1"/>
        <v>56.691592049081791</v>
      </c>
      <c r="P34" s="50">
        <f t="shared" si="2"/>
        <v>48.724181524016991</v>
      </c>
      <c r="Q34" s="50">
        <f t="shared" si="3"/>
        <v>50.965586649991224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1211.5</v>
      </c>
      <c r="F35" s="46">
        <f t="shared" si="27"/>
        <v>650</v>
      </c>
      <c r="G35" s="5">
        <f t="shared" si="28"/>
        <v>65.124209167204654</v>
      </c>
      <c r="H35" s="5">
        <f t="shared" si="28"/>
        <v>75.14331826985152</v>
      </c>
      <c r="I35" s="5">
        <f t="shared" si="28"/>
        <v>43.972756617172372</v>
      </c>
      <c r="J35" s="96"/>
      <c r="M35" s="46">
        <f t="shared" si="0"/>
        <v>5.9348677416908728</v>
      </c>
      <c r="N35" s="46">
        <f t="shared" si="5"/>
        <v>32</v>
      </c>
      <c r="O35" s="50">
        <f t="shared" si="1"/>
        <v>54.563039571008105</v>
      </c>
      <c r="P35" s="50">
        <f t="shared" si="2"/>
        <v>48.628171829317232</v>
      </c>
      <c r="Q35" s="50">
        <f t="shared" si="3"/>
        <v>50.639202983350025</v>
      </c>
    </row>
    <row r="36" spans="1:17">
      <c r="A36" s="78"/>
      <c r="B36" s="46" t="str">
        <f t="shared" si="27"/>
        <v>D65</v>
      </c>
      <c r="C36" s="79"/>
      <c r="D36" s="46">
        <f t="shared" si="27"/>
        <v>512.15</v>
      </c>
      <c r="E36" s="46">
        <f t="shared" si="27"/>
        <v>579.29999999999995</v>
      </c>
      <c r="F36" s="46">
        <f t="shared" si="27"/>
        <v>534.4</v>
      </c>
      <c r="G36" s="5">
        <f t="shared" si="28"/>
        <v>28.109167204648163</v>
      </c>
      <c r="H36" s="5">
        <f t="shared" si="28"/>
        <v>37.57165913492576</v>
      </c>
      <c r="I36" s="5">
        <f t="shared" si="28"/>
        <v>31.634409296320211</v>
      </c>
      <c r="J36" s="96"/>
      <c r="M36" s="46">
        <f t="shared" si="0"/>
        <v>3.902324958316953</v>
      </c>
      <c r="N36" s="46">
        <f t="shared" si="5"/>
        <v>33</v>
      </c>
      <c r="O36" s="50">
        <f t="shared" si="1"/>
        <v>52.434487092934418</v>
      </c>
      <c r="P36" s="50">
        <f t="shared" si="2"/>
        <v>48.532162134617465</v>
      </c>
      <c r="Q36" s="50">
        <f t="shared" si="3"/>
        <v>50.312819316708826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552.75</v>
      </c>
      <c r="E37" s="46">
        <f t="shared" si="27"/>
        <v>512.95000000000005</v>
      </c>
      <c r="F37" s="46">
        <f t="shared" si="27"/>
        <v>155.9</v>
      </c>
      <c r="G37" s="5">
        <f t="shared" ref="G37:I39" si="29">G28*$J$37</f>
        <v>84.603630754627446</v>
      </c>
      <c r="H37" s="5">
        <f t="shared" si="29"/>
        <v>31.202064546748936</v>
      </c>
      <c r="I37" s="5">
        <f t="shared" si="29"/>
        <v>36.624062648315139</v>
      </c>
      <c r="J37" s="96">
        <f>J$22/J28</f>
        <v>1.0230185097294733</v>
      </c>
      <c r="K37" s="51" t="str">
        <f>CHAR(34) &amp; "EEpromVersion" &amp;CHAR(34)  &amp; ",3,"</f>
        <v>"EEpromVersion",3,</v>
      </c>
      <c r="M37" s="46">
        <f t="shared" si="0"/>
        <v>1.8697821749430474</v>
      </c>
      <c r="N37" s="46">
        <f t="shared" si="5"/>
        <v>34</v>
      </c>
      <c r="O37" s="50">
        <f t="shared" si="1"/>
        <v>50.305934614860746</v>
      </c>
      <c r="P37" s="50">
        <f t="shared" si="2"/>
        <v>48.436152439917699</v>
      </c>
      <c r="Q37" s="50">
        <f t="shared" si="3"/>
        <v>49.986435650067634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1211.5</v>
      </c>
      <c r="F38" s="46">
        <f t="shared" si="27"/>
        <v>650</v>
      </c>
      <c r="G38" s="5">
        <f t="shared" si="29"/>
        <v>60.869601328903663</v>
      </c>
      <c r="H38" s="5">
        <f t="shared" si="29"/>
        <v>78.46551969625061</v>
      </c>
      <c r="I38" s="5">
        <f t="shared" si="29"/>
        <v>44.60360702420504</v>
      </c>
      <c r="J38" s="96"/>
      <c r="K38" s="52" t="str">
        <f>K4</f>
        <v>"Compensation",35,</v>
      </c>
      <c r="M38" s="46">
        <f t="shared" si="0"/>
        <v>1.482669846639368</v>
      </c>
      <c r="N38" s="46">
        <f t="shared" si="5"/>
        <v>35</v>
      </c>
      <c r="O38" s="50">
        <f t="shared" si="1"/>
        <v>48.17738213678706</v>
      </c>
      <c r="P38" s="50">
        <f t="shared" si="2"/>
        <v>48.340142745217939</v>
      </c>
      <c r="Q38" s="50">
        <f t="shared" si="3"/>
        <v>49.660051983426428</v>
      </c>
    </row>
    <row r="39" spans="1:17">
      <c r="A39" s="78"/>
      <c r="B39" s="46" t="str">
        <f t="shared" si="27"/>
        <v>D65</v>
      </c>
      <c r="C39" s="79"/>
      <c r="D39" s="46">
        <f t="shared" si="27"/>
        <v>512.15</v>
      </c>
      <c r="E39" s="46">
        <f t="shared" si="27"/>
        <v>579.29999999999995</v>
      </c>
      <c r="F39" s="46">
        <f t="shared" si="27"/>
        <v>534.4</v>
      </c>
      <c r="G39" s="5">
        <f t="shared" si="29"/>
        <v>26.905386805885147</v>
      </c>
      <c r="H39" s="5">
        <f t="shared" si="29"/>
        <v>37.340175605125772</v>
      </c>
      <c r="I39" s="5">
        <f t="shared" si="29"/>
        <v>30.485951589938306</v>
      </c>
      <c r="J39" s="96"/>
      <c r="K39" s="53" t="str">
        <f>linefmt("CardGain",J42,J45,J48)</f>
        <v>"CardGain",16.20363,16.90862,14.91306,</v>
      </c>
      <c r="M39" s="46">
        <f t="shared" si="0"/>
        <v>3.2848386580718483</v>
      </c>
      <c r="N39" s="46">
        <f t="shared" si="5"/>
        <v>36</v>
      </c>
      <c r="O39" s="50">
        <f t="shared" si="1"/>
        <v>46.048829658713387</v>
      </c>
      <c r="P39" s="50">
        <f t="shared" si="2"/>
        <v>48.244133050518172</v>
      </c>
      <c r="Q39" s="50">
        <f t="shared" si="3"/>
        <v>49.333668316785236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"Range",1,0.9276953,1.023018,</v>
      </c>
      <c r="M40" s="46">
        <f t="shared" si="0"/>
        <v>5.0870074695043357</v>
      </c>
      <c r="N40" s="46">
        <f t="shared" si="5"/>
        <v>37</v>
      </c>
      <c r="O40" s="50">
        <f t="shared" si="1"/>
        <v>43.920277180639701</v>
      </c>
      <c r="P40" s="50">
        <f t="shared" si="2"/>
        <v>48.148123355818413</v>
      </c>
      <c r="Q40" s="50">
        <f t="shared" si="3"/>
        <v>49.007284650144037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6.8891762809368231</v>
      </c>
      <c r="N41" s="46">
        <f t="shared" si="5"/>
        <v>38</v>
      </c>
      <c r="O41" s="50">
        <f t="shared" si="1"/>
        <v>41.791724702566015</v>
      </c>
      <c r="P41" s="50">
        <f t="shared" si="2"/>
        <v>48.052113661118646</v>
      </c>
      <c r="Q41" s="50">
        <f t="shared" si="3"/>
        <v>48.680900983502838</v>
      </c>
    </row>
    <row r="42" spans="1:17">
      <c r="A42" s="4"/>
      <c r="B42" s="46" t="s">
        <v>3</v>
      </c>
      <c r="C42" s="79">
        <f>C31</f>
        <v>0</v>
      </c>
      <c r="D42" s="46">
        <f>I42/$H$43</f>
        <v>0.19288123585402159</v>
      </c>
      <c r="E42" s="46">
        <f>H42/$H$43</f>
        <v>1.0404970503574642</v>
      </c>
      <c r="F42" s="46">
        <f>G42/$H$43</f>
        <v>-0.3981298993655451</v>
      </c>
      <c r="G42" s="46">
        <f t="array" ref="G42:I42">LINEST($D31:$D33,$G31:$I33,FALSE)</f>
        <v>-6.4511480333080327</v>
      </c>
      <c r="H42" s="46">
        <v>16.859825174580365</v>
      </c>
      <c r="I42" s="46">
        <v>3.1253754297896337</v>
      </c>
      <c r="J42" s="97">
        <f>H43</f>
        <v>16.203626111951156</v>
      </c>
      <c r="K42" s="53" t="str">
        <f t="shared" ref="K42:K50" si="30">linefmt("",D42,E42,F42)</f>
        <v>0.1928812,1.040497,-0.3981299,</v>
      </c>
      <c r="M42" s="46">
        <f t="shared" si="0"/>
        <v>8.6913450923692963</v>
      </c>
      <c r="N42" s="46">
        <f t="shared" si="5"/>
        <v>39</v>
      </c>
      <c r="O42" s="50">
        <f t="shared" si="1"/>
        <v>39.663172224492342</v>
      </c>
      <c r="P42" s="50">
        <f t="shared" si="2"/>
        <v>47.95610396641888</v>
      </c>
      <c r="Q42" s="50">
        <f t="shared" si="3"/>
        <v>48.354517316861639</v>
      </c>
    </row>
    <row r="43" spans="1:17">
      <c r="A43" s="4"/>
      <c r="B43" s="46" t="s">
        <v>4</v>
      </c>
      <c r="C43" s="79"/>
      <c r="D43" s="46">
        <f>I43/$H$43</f>
        <v>3.375868971820252E-2</v>
      </c>
      <c r="E43" s="46">
        <f>H43/$H$43</f>
        <v>1</v>
      </c>
      <c r="F43" s="46">
        <f>G43/$H$43</f>
        <v>-7.6269478092216847E-2</v>
      </c>
      <c r="G43" s="46">
        <f t="array" ref="G43:I43">LINEST($E31:$E33,$G31:$I33,FALSE)</f>
        <v>-1.2358421067599314</v>
      </c>
      <c r="H43" s="46">
        <v>16.203626111951156</v>
      </c>
      <c r="I43" s="46">
        <v>0.54701318622312334</v>
      </c>
      <c r="J43" s="97"/>
      <c r="K43" s="53" t="str">
        <f t="shared" si="30"/>
        <v>3.375869E-02,1,-7.626948E-02,</v>
      </c>
      <c r="M43" s="46">
        <f t="shared" si="0"/>
        <v>10.493513903801784</v>
      </c>
      <c r="N43" s="46">
        <f t="shared" si="5"/>
        <v>40</v>
      </c>
      <c r="O43" s="50">
        <f t="shared" si="1"/>
        <v>37.534619746418656</v>
      </c>
      <c r="P43" s="50">
        <f t="shared" si="2"/>
        <v>47.86009427171912</v>
      </c>
      <c r="Q43" s="50">
        <f t="shared" si="3"/>
        <v>48.02813365022044</v>
      </c>
    </row>
    <row r="44" spans="1:17">
      <c r="A44" s="4"/>
      <c r="B44" s="46" t="s">
        <v>5</v>
      </c>
      <c r="C44" s="79"/>
      <c r="D44" s="46">
        <f>I44/$H$43</f>
        <v>-0.51497124955146856</v>
      </c>
      <c r="E44" s="46">
        <f>H44/$H$43</f>
        <v>0.31910879834361838</v>
      </c>
      <c r="F44" s="46">
        <f>G44/$H$43</f>
        <v>1.1318091262473464</v>
      </c>
      <c r="G44" s="46">
        <f t="array" ref="G44:I44">LINEST($F$31:$F$33,$G31:$I33,FALSE)</f>
        <v>18.339411911806124</v>
      </c>
      <c r="H44" s="46">
        <v>5.1707196573940104</v>
      </c>
      <c r="I44" s="46">
        <v>-8.344401586136291</v>
      </c>
      <c r="J44" s="97"/>
      <c r="K44" s="53" t="str">
        <f t="shared" si="30"/>
        <v>-0.5149713,0.3191088,1.131809,</v>
      </c>
      <c r="M44" s="46">
        <f t="shared" si="0"/>
        <v>12.358017308674384</v>
      </c>
      <c r="N44" s="46">
        <f t="shared" si="5"/>
        <v>41</v>
      </c>
      <c r="O44" s="50">
        <f t="shared" si="1"/>
        <v>35.40606726834497</v>
      </c>
      <c r="P44" s="50">
        <f t="shared" si="2"/>
        <v>47.764084577019354</v>
      </c>
      <c r="Q44" s="50">
        <f t="shared" si="3"/>
        <v>47.701749983579248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0.19927347209188689</v>
      </c>
      <c r="E45" s="46">
        <f>H45/$H$46</f>
        <v>1.0369337660307214</v>
      </c>
      <c r="F45" s="46">
        <f>G45/$H$46</f>
        <v>-0.45113661719670345</v>
      </c>
      <c r="G45" s="46">
        <f t="array" ref="G45:I45">LINEST($D34:$D36,$G34:$I36,FALSE)</f>
        <v>-7.6280954745613174</v>
      </c>
      <c r="H45" s="46">
        <v>17.533114064713452</v>
      </c>
      <c r="I45" s="46">
        <v>3.3694384643609259</v>
      </c>
      <c r="J45" s="97">
        <f>H46</f>
        <v>16.908615226050991</v>
      </c>
      <c r="K45" s="53" t="str">
        <f t="shared" si="30"/>
        <v>0.1992735,1.036934,-0.4511366,</v>
      </c>
      <c r="M45" s="46">
        <f t="shared" si="0"/>
        <v>14.390560092048297</v>
      </c>
      <c r="N45" s="46">
        <f t="shared" si="5"/>
        <v>42</v>
      </c>
      <c r="O45" s="50">
        <f t="shared" si="1"/>
        <v>33.277514790271297</v>
      </c>
      <c r="P45" s="50">
        <f t="shared" si="2"/>
        <v>47.668074882319594</v>
      </c>
      <c r="Q45" s="50">
        <f t="shared" si="3"/>
        <v>47.375366316938049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4.2567712030576597E-2</v>
      </c>
      <c r="E46" s="46">
        <f>H46/$H$46</f>
        <v>1</v>
      </c>
      <c r="F46" s="46">
        <f>G46/$H$46</f>
        <v>-0.14248917357928001</v>
      </c>
      <c r="G46" s="46">
        <f t="array" ref="G46:I46">LINEST($E34:$E36,$G34:$I36,FALSE)</f>
        <v>-2.4092946099300363</v>
      </c>
      <c r="H46" s="46">
        <v>16.908615226050991</v>
      </c>
      <c r="I46" s="46">
        <v>0.71976106377836135</v>
      </c>
      <c r="J46" s="97"/>
      <c r="K46" s="53" t="str">
        <f t="shared" si="30"/>
        <v>4.256771E-02,1,-0.1424892,</v>
      </c>
      <c r="M46" s="46">
        <f t="shared" si="0"/>
        <v>16.423102875422217</v>
      </c>
      <c r="N46" s="46">
        <f t="shared" si="5"/>
        <v>43</v>
      </c>
      <c r="O46" s="50">
        <f t="shared" si="1"/>
        <v>31.148962312197611</v>
      </c>
      <c r="P46" s="50">
        <f t="shared" si="2"/>
        <v>47.572065187619827</v>
      </c>
      <c r="Q46" s="50">
        <f t="shared" si="3"/>
        <v>47.04898265029685</v>
      </c>
    </row>
    <row r="47" spans="1:17">
      <c r="A47" s="4"/>
      <c r="B47" s="46" t="str">
        <f t="shared" si="31"/>
        <v>Z</v>
      </c>
      <c r="C47" s="79"/>
      <c r="D47" s="46">
        <f>I47/$H$46</f>
        <v>-0.50273044286328872</v>
      </c>
      <c r="E47" s="46">
        <f>H47/$H$46</f>
        <v>0.33191742554851433</v>
      </c>
      <c r="F47" s="46">
        <f>G47/$H$46</f>
        <v>1.0515712677921421</v>
      </c>
      <c r="G47" s="46">
        <f t="array" ref="G47:I47">LINEST($F$31:$F$33,$G34:$I36,FALSE)</f>
        <v>17.780613949867956</v>
      </c>
      <c r="H47" s="46">
        <v>5.6122640354212558</v>
      </c>
      <c r="I47" s="46">
        <v>-8.5004756207975607</v>
      </c>
      <c r="J47" s="97"/>
      <c r="K47" s="53" t="str">
        <f t="shared" si="30"/>
        <v>-0.5027304,0.3319174,1.051571,</v>
      </c>
      <c r="M47" s="46">
        <f t="shared" si="0"/>
        <v>18.455645658796136</v>
      </c>
      <c r="N47" s="46">
        <f t="shared" si="5"/>
        <v>44</v>
      </c>
      <c r="O47" s="50">
        <f t="shared" si="1"/>
        <v>29.020409834123924</v>
      </c>
      <c r="P47" s="50">
        <f t="shared" si="2"/>
        <v>47.476055492920061</v>
      </c>
      <c r="Q47" s="50">
        <f t="shared" si="3"/>
        <v>46.722598983655651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0.20403671258237441</v>
      </c>
      <c r="E48" s="46">
        <f>H48/$H$49</f>
        <v>1.0880997427335433</v>
      </c>
      <c r="F48" s="46">
        <f>G48/$H$49</f>
        <v>-0.3863138685162873</v>
      </c>
      <c r="G48" s="46">
        <f t="array" ref="G48:I48">LINEST($D37:$D39,$G37:$I39,FALSE)</f>
        <v>-5.7611228273738435</v>
      </c>
      <c r="H48" s="46">
        <v>16.226899361386842</v>
      </c>
      <c r="I48" s="46">
        <v>3.0428122267401179</v>
      </c>
      <c r="J48" s="97">
        <f>H49</f>
        <v>14.913062400530801</v>
      </c>
      <c r="K48" s="53" t="str">
        <f t="shared" si="30"/>
        <v>0.2040367,1.0881,-0.3863139,</v>
      </c>
      <c r="M48" s="46">
        <f t="shared" si="0"/>
        <v>20.488188442170049</v>
      </c>
      <c r="N48" s="46">
        <f t="shared" si="5"/>
        <v>45</v>
      </c>
      <c r="O48" s="50">
        <f t="shared" si="1"/>
        <v>26.891857356050252</v>
      </c>
      <c r="P48" s="50">
        <f t="shared" si="2"/>
        <v>47.380045798220301</v>
      </c>
      <c r="Q48" s="50">
        <f t="shared" si="3"/>
        <v>46.396215317014452</v>
      </c>
    </row>
    <row r="49" spans="1:24">
      <c r="A49" s="4"/>
      <c r="B49" s="46" t="str">
        <f t="shared" si="31"/>
        <v>Y</v>
      </c>
      <c r="C49" s="79"/>
      <c r="D49" s="46">
        <f>I49/$H$49</f>
        <v>2.6510146179271235E-2</v>
      </c>
      <c r="E49" s="46">
        <f>H49/$H$49</f>
        <v>1</v>
      </c>
      <c r="F49" s="46">
        <f>G49/$H$49</f>
        <v>2.5969301676550594E-2</v>
      </c>
      <c r="G49" s="46">
        <f t="array" ref="G49:I49">LINEST($E37:$E39,$G37:$I39,FALSE)</f>
        <v>0.38728181640060816</v>
      </c>
      <c r="H49" s="46">
        <v>14.913062400530801</v>
      </c>
      <c r="I49" s="46">
        <v>0.39534746421866512</v>
      </c>
      <c r="J49" s="97"/>
      <c r="K49" s="53" t="str">
        <f t="shared" si="30"/>
        <v>2.651015E-02,1,0.0259693,</v>
      </c>
      <c r="M49" s="46">
        <f t="shared" si="0"/>
        <v>22.520731225543969</v>
      </c>
      <c r="N49" s="46">
        <f t="shared" si="5"/>
        <v>46</v>
      </c>
      <c r="O49" s="50">
        <f t="shared" si="1"/>
        <v>24.763304877976566</v>
      </c>
      <c r="P49" s="50">
        <f t="shared" si="2"/>
        <v>47.284036103520535</v>
      </c>
      <c r="Q49" s="50">
        <f t="shared" si="3"/>
        <v>46.06983165037326</v>
      </c>
    </row>
    <row r="50" spans="1:24">
      <c r="A50" s="4"/>
      <c r="B50" s="46" t="str">
        <f t="shared" si="31"/>
        <v>Z</v>
      </c>
      <c r="C50" s="79"/>
      <c r="D50" s="46">
        <f>I50/$H$49</f>
        <v>-0.5829803162810222</v>
      </c>
      <c r="E50" s="46">
        <f>H50/$H$49</f>
        <v>0.15498973472038632</v>
      </c>
      <c r="F50" s="46">
        <f>G50/$H$49</f>
        <v>1.500111411240568</v>
      </c>
      <c r="G50" s="46">
        <f t="array" ref="G50:I50">LINEST($F$31:$F$33,$G37:$I39,FALSE)</f>
        <v>22.371255083578912</v>
      </c>
      <c r="H50" s="46">
        <v>2.3113715853268366</v>
      </c>
      <c r="I50" s="46">
        <v>-8.6940218349800666</v>
      </c>
      <c r="J50" s="97"/>
      <c r="K50" s="54" t="str">
        <f t="shared" si="30"/>
        <v>-0.5829803,0.1549897,1.500111,</v>
      </c>
      <c r="M50" s="46">
        <f t="shared" si="0"/>
        <v>24.553274008917882</v>
      </c>
      <c r="N50" s="46">
        <f t="shared" si="5"/>
        <v>47</v>
      </c>
      <c r="O50" s="50">
        <f t="shared" si="1"/>
        <v>22.634752399902894</v>
      </c>
      <c r="P50" s="50">
        <f t="shared" si="2"/>
        <v>47.188026408820775</v>
      </c>
      <c r="Q50" s="50">
        <f t="shared" si="3"/>
        <v>45.743447983732061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0.19873047350942763</v>
      </c>
      <c r="E51" s="46">
        <f t="shared" ref="E51:F51" si="32">(E42+E45+E48)/3</f>
        <v>1.0551768530405763</v>
      </c>
      <c r="F51" s="46">
        <f t="shared" si="32"/>
        <v>-0.41186012835951197</v>
      </c>
      <c r="J51" s="97">
        <f>(J42+J45+J48)/3</f>
        <v>16.008434579510986</v>
      </c>
      <c r="M51" s="46">
        <f t="shared" si="0"/>
        <v>26.585816792291801</v>
      </c>
      <c r="N51" s="46">
        <f t="shared" si="5"/>
        <v>48</v>
      </c>
      <c r="O51" s="50">
        <f t="shared" si="1"/>
        <v>20.506199921829207</v>
      </c>
      <c r="P51" s="50">
        <f t="shared" si="2"/>
        <v>47.092016714121009</v>
      </c>
      <c r="Q51" s="50">
        <f t="shared" si="3"/>
        <v>45.417064317090862</v>
      </c>
    </row>
    <row r="52" spans="1:24">
      <c r="B52" s="46" t="str">
        <f t="shared" si="31"/>
        <v>Y</v>
      </c>
      <c r="C52" s="79"/>
      <c r="D52" s="46">
        <f t="shared" ref="D52:F53" si="33">(D43+D46+D49)/3</f>
        <v>3.4278849309350115E-2</v>
      </c>
      <c r="E52" s="46">
        <f t="shared" si="33"/>
        <v>1</v>
      </c>
      <c r="F52" s="46">
        <f t="shared" si="33"/>
        <v>-6.4263116664982092E-2</v>
      </c>
      <c r="J52" s="97"/>
      <c r="M52" s="46">
        <f t="shared" si="0"/>
        <v>28.618359575665721</v>
      </c>
      <c r="N52" s="46">
        <f t="shared" si="5"/>
        <v>49</v>
      </c>
      <c r="O52" s="50">
        <f t="shared" si="1"/>
        <v>18.377647443755521</v>
      </c>
      <c r="P52" s="50">
        <f t="shared" si="2"/>
        <v>46.996007019421242</v>
      </c>
      <c r="Q52" s="50">
        <f t="shared" si="3"/>
        <v>45.090680650449663</v>
      </c>
    </row>
    <row r="53" spans="1:24" ht="15.75" thickBot="1">
      <c r="B53" s="46" t="str">
        <f t="shared" si="31"/>
        <v>Z</v>
      </c>
      <c r="C53" s="79"/>
      <c r="D53" s="46">
        <f t="shared" si="33"/>
        <v>-0.53356066956525983</v>
      </c>
      <c r="E53" s="46">
        <f t="shared" si="33"/>
        <v>0.26867198620417304</v>
      </c>
      <c r="F53" s="46">
        <f t="shared" si="33"/>
        <v>1.2278306017600189</v>
      </c>
      <c r="J53" s="100"/>
      <c r="M53" s="46">
        <f t="shared" si="0"/>
        <v>30.650902359039634</v>
      </c>
      <c r="N53" s="46">
        <f t="shared" si="5"/>
        <v>50</v>
      </c>
      <c r="O53" s="50">
        <f t="shared" si="1"/>
        <v>16.249094965681849</v>
      </c>
      <c r="P53" s="50">
        <f t="shared" si="2"/>
        <v>46.899997324721483</v>
      </c>
      <c r="Q53" s="50">
        <f t="shared" si="3"/>
        <v>44.764296983808464</v>
      </c>
    </row>
    <row r="54" spans="1:24">
      <c r="B54" s="79" t="s">
        <v>14</v>
      </c>
      <c r="C54" s="79"/>
      <c r="D54" s="19">
        <f>I54/$H$55</f>
        <v>0.20072840059045036</v>
      </c>
      <c r="E54" s="20">
        <f>H54/$H$55</f>
        <v>1.0536262683709288</v>
      </c>
      <c r="F54" s="21">
        <f>G54/$H$55</f>
        <v>-0.41628924490027902</v>
      </c>
      <c r="G54" s="46">
        <f t="array" ref="G54:I54">LINEST(D$31:D$39,$G$31:$I$39,FALSE)</f>
        <v>-6.663528713092516</v>
      </c>
      <c r="H54" s="46">
        <v>16.865362192674556</v>
      </c>
      <c r="I54" s="46">
        <v>3.2130531289320521</v>
      </c>
      <c r="J54" s="98">
        <f>H55</f>
        <v>16.006968219149517</v>
      </c>
      <c r="M54" s="46">
        <f t="shared" si="0"/>
        <v>32.683445142413554</v>
      </c>
      <c r="N54" s="46">
        <f t="shared" si="5"/>
        <v>51</v>
      </c>
      <c r="O54" s="50">
        <f t="shared" si="1"/>
        <v>14.120542487608162</v>
      </c>
      <c r="P54" s="50">
        <f t="shared" si="2"/>
        <v>46.803987630021716</v>
      </c>
      <c r="Q54" s="50">
        <f t="shared" si="3"/>
        <v>44.437913317167272</v>
      </c>
    </row>
    <row r="55" spans="1:24" ht="15" customHeight="1">
      <c r="B55" s="79"/>
      <c r="C55" s="79"/>
      <c r="D55" s="22">
        <f>I55/$H$55</f>
        <v>3.8820701091700244E-2</v>
      </c>
      <c r="E55" s="18">
        <f>H55/$H$55</f>
        <v>1</v>
      </c>
      <c r="F55" s="23">
        <f>G55/$H$55</f>
        <v>-7.5065432232071155E-2</v>
      </c>
      <c r="G55" s="46">
        <f t="array" ref="G55:I55">LINEST(E$31:E$39,$G$31:$I$39,FALSE)</f>
        <v>-1.2015699880954847</v>
      </c>
      <c r="H55" s="46">
        <v>16.006968219149517</v>
      </c>
      <c r="I55" s="46">
        <v>0.6214017286199488</v>
      </c>
      <c r="J55" s="98"/>
      <c r="M55" s="46">
        <f t="shared" si="0"/>
        <v>34.715987925787459</v>
      </c>
      <c r="N55" s="46">
        <f t="shared" si="5"/>
        <v>52</v>
      </c>
      <c r="O55" s="50">
        <f t="shared" si="1"/>
        <v>11.99199000953449</v>
      </c>
      <c r="P55" s="50">
        <f t="shared" si="2"/>
        <v>46.707977935321949</v>
      </c>
      <c r="Q55" s="50">
        <f t="shared" si="3"/>
        <v>44.111529650526073</v>
      </c>
    </row>
    <row r="56" spans="1:24" ht="15" customHeight="1" thickBot="1">
      <c r="B56" s="79"/>
      <c r="C56" s="79"/>
      <c r="D56" s="24">
        <f>I56/$H$55</f>
        <v>-0.52274332735564932</v>
      </c>
      <c r="E56" s="25">
        <f>H56/$H$55</f>
        <v>0.27423013586909573</v>
      </c>
      <c r="F56" s="26">
        <f>G56/$H$55</f>
        <v>1.2004411459226028</v>
      </c>
      <c r="G56" s="46">
        <f t="array" ref="G56:I56">LINEST(F$31:F$39,$G$31:$I$39,FALSE)</f>
        <v>19.21542327174253</v>
      </c>
      <c r="H56" s="46">
        <v>4.3895930695896697</v>
      </c>
      <c r="I56" s="46">
        <v>-8.3675358277543506</v>
      </c>
      <c r="J56" s="98"/>
      <c r="M56" s="46">
        <f t="shared" si="0"/>
        <v>36.748530709161386</v>
      </c>
      <c r="N56" s="46">
        <f t="shared" si="5"/>
        <v>53</v>
      </c>
      <c r="O56" s="50">
        <f t="shared" si="1"/>
        <v>9.8634375314608036</v>
      </c>
      <c r="P56" s="50">
        <f t="shared" si="2"/>
        <v>46.61196824062219</v>
      </c>
      <c r="Q56" s="50">
        <f t="shared" si="3"/>
        <v>43.785145983884874</v>
      </c>
    </row>
    <row r="57" spans="1:24">
      <c r="M57" s="46">
        <f t="shared" si="0"/>
        <v>38.781073492535306</v>
      </c>
      <c r="N57" s="46">
        <f t="shared" si="5"/>
        <v>54</v>
      </c>
      <c r="O57" s="50">
        <f t="shared" si="1"/>
        <v>7.7348850533871172</v>
      </c>
      <c r="P57" s="50">
        <f t="shared" si="2"/>
        <v>46.515958545922423</v>
      </c>
      <c r="Q57" s="50">
        <f t="shared" si="3"/>
        <v>43.458762317243675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40.813616275909219</v>
      </c>
      <c r="N58" s="46">
        <f t="shared" si="5"/>
        <v>55</v>
      </c>
      <c r="O58" s="50">
        <f t="shared" si="1"/>
        <v>5.606332575313445</v>
      </c>
      <c r="P58" s="50">
        <f t="shared" si="2"/>
        <v>46.419948851222664</v>
      </c>
      <c r="Q58" s="50">
        <f t="shared" si="3"/>
        <v>43.132378650602476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42.846159059283139</v>
      </c>
      <c r="N59" s="46">
        <f t="shared" si="5"/>
        <v>56</v>
      </c>
      <c r="O59" s="50">
        <f t="shared" si="1"/>
        <v>3.4777800972397586</v>
      </c>
      <c r="P59" s="50">
        <f t="shared" si="2"/>
        <v>46.323939156522897</v>
      </c>
      <c r="Q59" s="50">
        <f t="shared" si="3"/>
        <v>42.805994983961284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512.95000000000005</v>
      </c>
      <c r="E60" s="32">
        <f t="shared" ref="E60:E68" si="37">getCCTfromXY(D22/SUM(D22:F22),E22/SUM(D22:F22))</f>
        <v>2885</v>
      </c>
      <c r="F60" s="31">
        <f t="shared" ref="F60:F68" si="38">V60</f>
        <v>514.02553169240878</v>
      </c>
      <c r="G60" s="32">
        <f t="shared" ref="G60:G68" si="39">getCCTfromXY(U60/X60,V60/X60)</f>
        <v>2915</v>
      </c>
      <c r="H60" s="33">
        <f>F60/D60-1</f>
        <v>2.0967573689614216E-3</v>
      </c>
      <c r="I60" s="34">
        <f t="shared" ref="I60:I68" si="40">G60/E60-1</f>
        <v>1.0398613518197486E-2</v>
      </c>
      <c r="M60" s="46">
        <f t="shared" si="0"/>
        <v>44.878701842657065</v>
      </c>
      <c r="N60" s="46">
        <f t="shared" si="5"/>
        <v>57</v>
      </c>
      <c r="O60" s="50">
        <f t="shared" si="1"/>
        <v>1.3492276191660721</v>
      </c>
      <c r="P60" s="50">
        <f t="shared" si="2"/>
        <v>46.227929461823138</v>
      </c>
      <c r="Q60" s="50">
        <f t="shared" si="3"/>
        <v>42.479611317320078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552.28935530366641</v>
      </c>
      <c r="V60" s="50">
        <f>$J$54*$J$31*($D$55*G22+$E$55*H22+$F$55*I22)</f>
        <v>514.02553169240878</v>
      </c>
      <c r="W60" s="50">
        <f>$J$54*$J$31*($D$56*G22+$E$56*H22+$F$56*I22)</f>
        <v>161.31717567256487</v>
      </c>
      <c r="X60" s="29">
        <f>SUM(U60:W60)</f>
        <v>1227.6320626686399</v>
      </c>
    </row>
    <row r="61" spans="1:24">
      <c r="A61" s="87"/>
      <c r="B61" s="48" t="str">
        <f t="shared" si="35"/>
        <v>CWF</v>
      </c>
      <c r="C61" s="93"/>
      <c r="D61" s="31">
        <f t="shared" si="36"/>
        <v>1211.5</v>
      </c>
      <c r="E61" s="32">
        <f t="shared" si="37"/>
        <v>3860</v>
      </c>
      <c r="F61" s="31">
        <f t="shared" si="38"/>
        <v>1202.939795406611</v>
      </c>
      <c r="G61" s="32">
        <f t="shared" si="39"/>
        <v>3791</v>
      </c>
      <c r="H61" s="33">
        <f t="shared" ref="H61:H68" si="41">F61/D61-1</f>
        <v>-7.0657900069245327E-3</v>
      </c>
      <c r="I61" s="34">
        <f t="shared" si="40"/>
        <v>-1.7875647668393779E-2</v>
      </c>
      <c r="M61" s="46">
        <f t="shared" si="0"/>
        <v>46.911244626030971</v>
      </c>
      <c r="N61" s="46">
        <f t="shared" si="5"/>
        <v>58</v>
      </c>
      <c r="O61" s="50">
        <f t="shared" si="1"/>
        <v>-0.77932485890760006</v>
      </c>
      <c r="P61" s="50">
        <f t="shared" si="2"/>
        <v>46.131919767123371</v>
      </c>
      <c r="Q61" s="50">
        <f t="shared" si="3"/>
        <v>42.153227650678886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1198.3521074227031</v>
      </c>
      <c r="V61" s="50">
        <f>$J$54*$J$31*($D$55*G23+$E$55*H23+$F$55*I23)</f>
        <v>1202.939795406611</v>
      </c>
      <c r="W61" s="50">
        <f>$J$54*$J$31*($D$56*G23+$E$56*H23+$F$56*I23)</f>
        <v>627.56881014904411</v>
      </c>
      <c r="X61" s="29">
        <f t="shared" ref="X61:X68" si="43">SUM(U61:W61)</f>
        <v>3028.8607129783582</v>
      </c>
    </row>
    <row r="62" spans="1:24">
      <c r="A62" s="87"/>
      <c r="B62" s="48" t="str">
        <f t="shared" si="35"/>
        <v>D65</v>
      </c>
      <c r="C62" s="93"/>
      <c r="D62" s="31">
        <f t="shared" si="36"/>
        <v>579.29999999999995</v>
      </c>
      <c r="E62" s="32">
        <f t="shared" si="37"/>
        <v>6343</v>
      </c>
      <c r="F62" s="31">
        <f t="shared" si="38"/>
        <v>575.12504518060803</v>
      </c>
      <c r="G62" s="32">
        <f t="shared" si="39"/>
        <v>6364</v>
      </c>
      <c r="H62" s="33">
        <f t="shared" si="41"/>
        <v>-7.2068959423302603E-3</v>
      </c>
      <c r="I62" s="34">
        <f t="shared" si="40"/>
        <v>3.3107362446791466E-3</v>
      </c>
      <c r="M62" s="46">
        <f t="shared" si="0"/>
        <v>48.943787409404891</v>
      </c>
      <c r="N62" s="46">
        <f t="shared" si="5"/>
        <v>59</v>
      </c>
      <c r="O62" s="50">
        <f t="shared" si="1"/>
        <v>-2.9078773369812865</v>
      </c>
      <c r="P62" s="50">
        <f t="shared" si="2"/>
        <v>46.035910072423604</v>
      </c>
      <c r="Q62" s="50">
        <f t="shared" si="3"/>
        <v>41.826843984037687</v>
      </c>
      <c r="R62" s="78"/>
      <c r="S62" s="46" t="str">
        <f t="shared" si="42"/>
        <v>D65</v>
      </c>
      <c r="T62" s="79"/>
      <c r="U62" s="50">
        <f>$J$54*$J$31*($D$54*G24+$E$54*H24+$F$54*I24)</f>
        <v>508.1459018320088</v>
      </c>
      <c r="V62" s="50">
        <f>$J$54*$J$31*($D$55*G24+$E$55*H24+$F$55*I24)</f>
        <v>575.12504518060803</v>
      </c>
      <c r="W62" s="50">
        <f>$J$54*$J$31*($D$56*G24+$E$56*H24+$F$56*I24)</f>
        <v>532.11811458270597</v>
      </c>
      <c r="X62" s="29">
        <f t="shared" si="43"/>
        <v>1615.3890615953228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512.95000000000005</v>
      </c>
      <c r="E63" s="32">
        <f t="shared" si="37"/>
        <v>2885</v>
      </c>
      <c r="F63" s="31">
        <f t="shared" si="38"/>
        <v>520.72700211177357</v>
      </c>
      <c r="G63" s="32">
        <f t="shared" si="39"/>
        <v>3017</v>
      </c>
      <c r="H63" s="33">
        <f t="shared" si="41"/>
        <v>1.5161325883172871E-2</v>
      </c>
      <c r="I63" s="34">
        <f t="shared" si="40"/>
        <v>4.5753899480069249E-2</v>
      </c>
      <c r="M63" s="46">
        <f t="shared" si="0"/>
        <v>50.976330192778818</v>
      </c>
      <c r="N63" s="46">
        <f t="shared" si="5"/>
        <v>60</v>
      </c>
      <c r="O63" s="50">
        <f t="shared" si="1"/>
        <v>-5.0364298150549729</v>
      </c>
      <c r="P63" s="50">
        <f t="shared" si="2"/>
        <v>45.939900377723845</v>
      </c>
      <c r="Q63" s="50">
        <f t="shared" si="3"/>
        <v>41.500460317396488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554.39411147467047</v>
      </c>
      <c r="V63" s="50">
        <f>$J$54*$J$34*($D$55*G25+$E$55*H25+$F$55*I25)</f>
        <v>520.72700211177357</v>
      </c>
      <c r="W63" s="50">
        <f>$J$54*$J$34*($D$56*G25+$E$56*H25+$F$56*I25)</f>
        <v>180.33066568243743</v>
      </c>
      <c r="X63" s="29">
        <f t="shared" si="43"/>
        <v>1255.4517792688816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1211.5</v>
      </c>
      <c r="E64" s="32">
        <f t="shared" si="37"/>
        <v>3860</v>
      </c>
      <c r="F64" s="31">
        <f t="shared" si="38"/>
        <v>1190.4486589334374</v>
      </c>
      <c r="G64" s="32">
        <f t="shared" si="39"/>
        <v>3823</v>
      </c>
      <c r="H64" s="33">
        <f t="shared" si="41"/>
        <v>-1.7376261714042607E-2</v>
      </c>
      <c r="I64" s="34">
        <f t="shared" si="40"/>
        <v>-9.5854922279792198E-3</v>
      </c>
      <c r="M64" s="46">
        <f t="shared" si="0"/>
        <v>53.008872976152738</v>
      </c>
      <c r="N64" s="46">
        <f t="shared" si="5"/>
        <v>61</v>
      </c>
      <c r="O64" s="50">
        <f t="shared" si="1"/>
        <v>-7.1649822931286593</v>
      </c>
      <c r="P64" s="50">
        <f t="shared" si="2"/>
        <v>45.843890683024078</v>
      </c>
      <c r="Q64" s="50">
        <f t="shared" si="3"/>
        <v>41.174076650755296</v>
      </c>
      <c r="R64" s="78"/>
      <c r="S64" s="46" t="str">
        <f t="shared" si="42"/>
        <v>CWF</v>
      </c>
      <c r="T64" s="79"/>
      <c r="U64" s="50">
        <f>$J$54*$J$34*($D$54*G26+$E$54*H26+$F$54*I26)</f>
        <v>1183.5530967020204</v>
      </c>
      <c r="V64" s="50">
        <f>$J$54*$J$34*($D$55*G26+$E$55*H26+$F$55*I26)</f>
        <v>1190.4486589334374</v>
      </c>
      <c r="W64" s="50">
        <f>$J$54*$J$34*($D$56*G26+$E$56*H26+$F$56*I26)</f>
        <v>629.87456646684211</v>
      </c>
      <c r="X64" s="29">
        <f t="shared" si="43"/>
        <v>3003.8763221023</v>
      </c>
    </row>
    <row r="65" spans="1:24">
      <c r="A65" s="87"/>
      <c r="B65" s="48" t="str">
        <f t="shared" si="35"/>
        <v>D65</v>
      </c>
      <c r="C65" s="93"/>
      <c r="D65" s="31">
        <f t="shared" si="36"/>
        <v>579.29999999999995</v>
      </c>
      <c r="E65" s="32">
        <f t="shared" si="37"/>
        <v>6343</v>
      </c>
      <c r="F65" s="31">
        <f t="shared" si="38"/>
        <v>580.86448200292375</v>
      </c>
      <c r="G65" s="32">
        <f t="shared" si="39"/>
        <v>6367</v>
      </c>
      <c r="H65" s="33">
        <f t="shared" si="41"/>
        <v>2.7006421593713803E-3</v>
      </c>
      <c r="I65" s="34">
        <f t="shared" si="40"/>
        <v>3.7836985653476596E-3</v>
      </c>
      <c r="M65" s="46">
        <f t="shared" si="0"/>
        <v>55.041415759526629</v>
      </c>
      <c r="N65" s="46">
        <f t="shared" si="5"/>
        <v>62</v>
      </c>
      <c r="O65" s="50">
        <f t="shared" si="1"/>
        <v>-9.2935347712023173</v>
      </c>
      <c r="P65" s="50">
        <f t="shared" si="2"/>
        <v>45.747880988324312</v>
      </c>
      <c r="Q65" s="50">
        <f t="shared" si="3"/>
        <v>40.84769298411409</v>
      </c>
      <c r="R65" s="78"/>
      <c r="S65" s="46" t="str">
        <f t="shared" si="42"/>
        <v>D65</v>
      </c>
      <c r="T65" s="79"/>
      <c r="U65" s="50">
        <f>$J$54*$J$34*($D$54*G27+$E$54*H27+$F$54*I27)</f>
        <v>513.17909246105114</v>
      </c>
      <c r="V65" s="50">
        <f>$J$54*$J$34*($D$55*G27+$E$55*H27+$F$55*I27)</f>
        <v>580.86448200292375</v>
      </c>
      <c r="W65" s="50">
        <f>$J$54*$J$34*($D$56*G27+$E$56*H27+$F$56*I27)</f>
        <v>537.58839545876401</v>
      </c>
      <c r="X65" s="29">
        <f t="shared" si="43"/>
        <v>1631.6319699227388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512.95000000000005</v>
      </c>
      <c r="E66" s="32">
        <f t="shared" si="37"/>
        <v>2885</v>
      </c>
      <c r="F66" s="31">
        <f t="shared" si="38"/>
        <v>508.01692344976715</v>
      </c>
      <c r="G66" s="32">
        <f t="shared" si="39"/>
        <v>2763</v>
      </c>
      <c r="H66" s="33">
        <f t="shared" si="41"/>
        <v>-9.6170709625360562E-3</v>
      </c>
      <c r="I66" s="34">
        <f t="shared" si="40"/>
        <v>-4.228769497400342E-2</v>
      </c>
      <c r="M66" s="46">
        <f t="shared" si="0"/>
        <v>57.073958542900556</v>
      </c>
      <c r="N66" s="46">
        <f t="shared" si="5"/>
        <v>63</v>
      </c>
      <c r="O66" s="50">
        <f t="shared" si="1"/>
        <v>-11.422087249276004</v>
      </c>
      <c r="P66" s="50">
        <f t="shared" si="2"/>
        <v>45.651871293624552</v>
      </c>
      <c r="Q66" s="50">
        <f t="shared" si="3"/>
        <v>40.521309317472898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554.02458720815127</v>
      </c>
      <c r="V66" s="50">
        <f>$J$54*$J$37*($D$55*G28+$E$55*H28+$F$55*I28)</f>
        <v>508.01692344976715</v>
      </c>
      <c r="W66" s="50">
        <f>$J$54*$J$37*($D$56*G28+$E$56*H28+$F$56*I28)</f>
        <v>132.78732051204474</v>
      </c>
      <c r="X66" s="29">
        <f t="shared" si="43"/>
        <v>1194.8288311699632</v>
      </c>
    </row>
    <row r="67" spans="1:24">
      <c r="A67" s="87"/>
      <c r="B67" s="48" t="str">
        <f t="shared" si="35"/>
        <v>CWF</v>
      </c>
      <c r="C67" s="93"/>
      <c r="D67" s="31">
        <f t="shared" si="36"/>
        <v>1211.5</v>
      </c>
      <c r="E67" s="32">
        <f t="shared" si="37"/>
        <v>3860</v>
      </c>
      <c r="F67" s="31">
        <f t="shared" si="38"/>
        <v>1240.2252000020321</v>
      </c>
      <c r="G67" s="32">
        <f t="shared" si="39"/>
        <v>3965</v>
      </c>
      <c r="H67" s="33">
        <f t="shared" si="41"/>
        <v>2.3710441602998067E-2</v>
      </c>
      <c r="I67" s="34">
        <f t="shared" si="40"/>
        <v>2.72020725388602E-2</v>
      </c>
      <c r="R67" s="78"/>
      <c r="S67" s="46" t="str">
        <f t="shared" si="42"/>
        <v>CWF</v>
      </c>
      <c r="T67" s="79"/>
      <c r="U67" s="50">
        <f>$J$54*$J$37*($D$54*G29+$E$54*H29+$F$54*I29)</f>
        <v>1221.7092562071009</v>
      </c>
      <c r="V67" s="50">
        <f>$J$54*$J$37*($D$55*G29+$E$55*H29+$F$55*I29)</f>
        <v>1240.2252000020321</v>
      </c>
      <c r="W67" s="50">
        <f>$J$54*$J$37*($D$56*G29+$E$56*H29+$F$56*I29)</f>
        <v>692.1803199362563</v>
      </c>
      <c r="X67" s="29">
        <f t="shared" si="43"/>
        <v>3154.114776145389</v>
      </c>
    </row>
    <row r="68" spans="1:24">
      <c r="A68" s="87"/>
      <c r="B68" s="48" t="str">
        <f t="shared" si="35"/>
        <v>D65</v>
      </c>
      <c r="C68" s="93"/>
      <c r="D68" s="31">
        <f t="shared" si="36"/>
        <v>579.29999999999995</v>
      </c>
      <c r="E68" s="32">
        <f t="shared" si="37"/>
        <v>6343</v>
      </c>
      <c r="F68" s="31">
        <f t="shared" si="38"/>
        <v>577.79105359007406</v>
      </c>
      <c r="G68" s="32">
        <f t="shared" si="39"/>
        <v>6219</v>
      </c>
      <c r="H68" s="33">
        <f t="shared" si="41"/>
        <v>-2.6047754357430009E-3</v>
      </c>
      <c r="I68" s="34">
        <f t="shared" si="40"/>
        <v>-1.9549109254296093E-2</v>
      </c>
      <c r="R68" s="78"/>
      <c r="S68" s="46" t="str">
        <f t="shared" si="42"/>
        <v>D65</v>
      </c>
      <c r="T68" s="79"/>
      <c r="U68" s="50">
        <f>$J$54*$J$37*($D$54*G30+$E$54*H30+$F$54*I30)</f>
        <v>513.06000941479112</v>
      </c>
      <c r="V68" s="50">
        <f>$J$54*$J$37*($D$55*G30+$E$55*H30+$F$55*I30)</f>
        <v>577.79105359007406</v>
      </c>
      <c r="W68" s="50">
        <f>$J$54*$J$37*($D$56*G30+$E$56*H30+$F$56*I30)</f>
        <v>524.57685163820497</v>
      </c>
      <c r="X68" s="29">
        <f t="shared" si="43"/>
        <v>1615.4279146430702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2.3710441602998067E-2</v>
      </c>
      <c r="G69" s="47"/>
      <c r="H69" s="36" t="str">
        <f>I59</f>
        <v>CCT</v>
      </c>
      <c r="I69" s="38">
        <f>MAX(MAX(I60:I68,-MIN(I60:I68)))</f>
        <v>4.5753899480069249E-2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512.95000000000005</v>
      </c>
      <c r="E72" s="31">
        <f t="shared" ref="E72:E80" si="47">E60</f>
        <v>2885</v>
      </c>
      <c r="F72" s="31">
        <f t="shared" ref="F72:F80" si="48">V72</f>
        <v>514.48336500050084</v>
      </c>
      <c r="G72" s="32">
        <f t="shared" ref="G72:G80" si="49">getCCTfromXY(U72/X72,V72/X72)</f>
        <v>2909</v>
      </c>
      <c r="H72" s="33">
        <f>F72/D72-1</f>
        <v>2.9893069509714376E-3</v>
      </c>
      <c r="I72" s="34">
        <f t="shared" ref="I72:I80" si="50">G72/E72-1</f>
        <v>8.3188908145581664E-3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553.1184063370689</v>
      </c>
      <c r="V72" s="50">
        <f>$J$51*$J$31*($D$52*G22+$E$52*H22+$F$52*I22)</f>
        <v>514.48336500050084</v>
      </c>
      <c r="W72" s="50">
        <f>$J$51*$J$31*($D$53*G22+$E$53*H22+$F$53*I22)</f>
        <v>160.46316113828044</v>
      </c>
      <c r="X72" s="29">
        <f>SUM(U72:W72)</f>
        <v>1228.0649324758501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1211.5</v>
      </c>
      <c r="E73" s="31">
        <f t="shared" si="47"/>
        <v>3860</v>
      </c>
      <c r="F73" s="31">
        <f t="shared" si="48"/>
        <v>1205.869148275963</v>
      </c>
      <c r="G73" s="32">
        <f t="shared" si="49"/>
        <v>3789</v>
      </c>
      <c r="H73" s="33">
        <f t="shared" ref="H73:H80" si="52">F73/D73-1</f>
        <v>-4.6478346876079879E-3</v>
      </c>
      <c r="I73" s="34">
        <f t="shared" si="50"/>
        <v>-1.839378238341971E-2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1201.359736441332</v>
      </c>
      <c r="V73" s="50">
        <f t="shared" ref="V73:V74" si="55">$J$51*$J$31*($D$52*G23+$E$52*H23+$F$52*I23)</f>
        <v>1205.869148275963</v>
      </c>
      <c r="W73" s="50">
        <f t="shared" ref="W73:W74" si="56">$J$51*$J$31*($D$53*G23+$E$53*H23+$F$53*I23)</f>
        <v>628.75234033958418</v>
      </c>
      <c r="X73" s="29">
        <f t="shared" ref="X73:X80" si="57">SUM(U73:W73)</f>
        <v>3035.9812250568793</v>
      </c>
    </row>
    <row r="74" spans="1:24">
      <c r="A74" s="87"/>
      <c r="B74" s="48" t="str">
        <f t="shared" si="46"/>
        <v>X</v>
      </c>
      <c r="C74" s="93"/>
      <c r="D74" s="31">
        <f t="shared" si="51"/>
        <v>579.29999999999995</v>
      </c>
      <c r="E74" s="31">
        <f t="shared" si="47"/>
        <v>6343</v>
      </c>
      <c r="F74" s="31">
        <f t="shared" si="48"/>
        <v>578.56910184119852</v>
      </c>
      <c r="G74" s="32">
        <f t="shared" si="49"/>
        <v>6403</v>
      </c>
      <c r="H74" s="33">
        <f t="shared" si="52"/>
        <v>-1.2616919710020102E-3</v>
      </c>
      <c r="I74" s="34">
        <f t="shared" si="50"/>
        <v>9.459246413369149E-3</v>
      </c>
      <c r="R74" s="78"/>
      <c r="S74" s="46" t="str">
        <f t="shared" si="53"/>
        <v>D65</v>
      </c>
      <c r="T74" s="79"/>
      <c r="U74" s="50">
        <f t="shared" si="54"/>
        <v>510.44597080706779</v>
      </c>
      <c r="V74" s="50">
        <f t="shared" si="55"/>
        <v>578.56910184119852</v>
      </c>
      <c r="W74" s="50">
        <f t="shared" si="56"/>
        <v>537.7666861034744</v>
      </c>
      <c r="X74" s="29">
        <f t="shared" si="57"/>
        <v>1626.7817587517407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512.95000000000005</v>
      </c>
      <c r="E75" s="31">
        <f t="shared" si="47"/>
        <v>2885</v>
      </c>
      <c r="F75" s="31">
        <f t="shared" si="48"/>
        <v>521.33440765181058</v>
      </c>
      <c r="G75" s="32">
        <f t="shared" si="49"/>
        <v>3012</v>
      </c>
      <c r="H75" s="33">
        <f t="shared" si="52"/>
        <v>1.6345467690438653E-2</v>
      </c>
      <c r="I75" s="34">
        <f t="shared" si="50"/>
        <v>4.4020797227036335E-2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555.29892510414413</v>
      </c>
      <c r="V75" s="50">
        <f>$J$51*$J$34*($D$52*G25+$E$52*H25+$F$52*I25)</f>
        <v>521.33440765181058</v>
      </c>
      <c r="W75" s="50">
        <f>$J$51*$J$34*($D$53*G25+$E$53*H25+$F$53*I25)</f>
        <v>179.80051684094164</v>
      </c>
      <c r="X75" s="29">
        <f t="shared" si="57"/>
        <v>1256.4338495968962</v>
      </c>
    </row>
    <row r="76" spans="1:24">
      <c r="A76" s="87"/>
      <c r="B76" s="48" t="str">
        <f t="shared" si="46"/>
        <v>Z</v>
      </c>
      <c r="C76" s="93"/>
      <c r="D76" s="31">
        <f t="shared" si="51"/>
        <v>1211.5</v>
      </c>
      <c r="E76" s="31">
        <f t="shared" si="47"/>
        <v>3860</v>
      </c>
      <c r="F76" s="31">
        <f t="shared" si="48"/>
        <v>1193.4267941862513</v>
      </c>
      <c r="G76" s="32">
        <f t="shared" si="49"/>
        <v>3822</v>
      </c>
      <c r="H76" s="33">
        <f t="shared" si="52"/>
        <v>-1.4918040291992285E-2</v>
      </c>
      <c r="I76" s="34">
        <f t="shared" si="50"/>
        <v>-9.8445595854922407E-3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1186.561657144634</v>
      </c>
      <c r="V76" s="50">
        <f t="shared" ref="V76:V77" si="59">$J$51*$J$34*($D$52*G26+$E$52*H26+$F$52*I26)</f>
        <v>1193.4267941862513</v>
      </c>
      <c r="W76" s="50">
        <f t="shared" ref="W76:W77" si="60">$J$51*$J$34*($D$53*G26+$E$53*H26+$F$53*I26)</f>
        <v>631.24914097077499</v>
      </c>
      <c r="X76" s="29">
        <f t="shared" si="57"/>
        <v>3011.2375923016602</v>
      </c>
    </row>
    <row r="77" spans="1:24">
      <c r="A77" s="87"/>
      <c r="B77" s="48" t="str">
        <f t="shared" si="46"/>
        <v>X</v>
      </c>
      <c r="C77" s="93"/>
      <c r="D77" s="31">
        <f t="shared" si="51"/>
        <v>579.29999999999995</v>
      </c>
      <c r="E77" s="31">
        <f t="shared" si="47"/>
        <v>6343</v>
      </c>
      <c r="F77" s="31">
        <f t="shared" si="48"/>
        <v>584.34441431500932</v>
      </c>
      <c r="G77" s="32">
        <f t="shared" si="49"/>
        <v>6405</v>
      </c>
      <c r="H77" s="33">
        <f t="shared" si="52"/>
        <v>8.7077754445181732E-3</v>
      </c>
      <c r="I77" s="34">
        <f t="shared" si="50"/>
        <v>9.7745546271479355E-3</v>
      </c>
      <c r="R77" s="78"/>
      <c r="S77" s="46" t="str">
        <f t="shared" si="53"/>
        <v>D65</v>
      </c>
      <c r="T77" s="79"/>
      <c r="U77" s="50">
        <f t="shared" si="58"/>
        <v>515.50267038905065</v>
      </c>
      <c r="V77" s="50">
        <f t="shared" si="59"/>
        <v>584.34441431500932</v>
      </c>
      <c r="W77" s="50">
        <f t="shared" si="60"/>
        <v>543.29748666743785</v>
      </c>
      <c r="X77" s="29">
        <f t="shared" si="57"/>
        <v>1643.1445713714977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512.95000000000005</v>
      </c>
      <c r="E78" s="31">
        <f t="shared" si="47"/>
        <v>2885</v>
      </c>
      <c r="F78" s="31">
        <f t="shared" si="48"/>
        <v>508.24543804958125</v>
      </c>
      <c r="G78" s="32">
        <f t="shared" si="49"/>
        <v>2755</v>
      </c>
      <c r="H78" s="33">
        <f t="shared" si="52"/>
        <v>-9.1715799793719022E-3</v>
      </c>
      <c r="I78" s="34">
        <f t="shared" si="50"/>
        <v>-4.5060658578856105E-2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554.74067943496607</v>
      </c>
      <c r="V78" s="50">
        <f>$J$51*$J$37*($D$52*G28+$E$52*H28+$F$52*I28)</f>
        <v>508.24543804958125</v>
      </c>
      <c r="W78" s="50">
        <f>$J$51*$J$37*($D$53*G28+$E$53*H28+$F$53*I28)</f>
        <v>131.43077930837578</v>
      </c>
      <c r="X78" s="29">
        <f t="shared" si="57"/>
        <v>1194.4168967929231</v>
      </c>
    </row>
    <row r="79" spans="1:24">
      <c r="A79" s="87"/>
      <c r="B79" s="48" t="str">
        <f t="shared" si="46"/>
        <v>Z</v>
      </c>
      <c r="C79" s="93"/>
      <c r="D79" s="31">
        <f t="shared" si="51"/>
        <v>1211.5</v>
      </c>
      <c r="E79" s="31">
        <f t="shared" si="47"/>
        <v>3860</v>
      </c>
      <c r="F79" s="31">
        <f t="shared" si="48"/>
        <v>1243.6263307262491</v>
      </c>
      <c r="G79" s="32">
        <f t="shared" si="49"/>
        <v>3966</v>
      </c>
      <c r="H79" s="33">
        <f t="shared" si="52"/>
        <v>2.6517813228435161E-2</v>
      </c>
      <c r="I79" s="34">
        <f t="shared" si="50"/>
        <v>2.746113989637311E-2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1224.9845845315217</v>
      </c>
      <c r="V79" s="50">
        <f t="shared" ref="V79:V80" si="62">$J$51*$J$37*($D$52*G29+$E$52*H29+$F$52*I29)</f>
        <v>1243.6263307262491</v>
      </c>
      <c r="W79" s="50">
        <f t="shared" ref="W79:W80" si="63">$J$51*$J$37*($D$53*G29+$E$53*H29+$F$53*I29)</f>
        <v>694.27837079197832</v>
      </c>
      <c r="X79" s="29">
        <f t="shared" si="57"/>
        <v>3162.8892860497494</v>
      </c>
    </row>
    <row r="80" spans="1:24">
      <c r="A80" s="87"/>
      <c r="B80" s="48" t="str">
        <f t="shared" si="46"/>
        <v>X</v>
      </c>
      <c r="C80" s="93"/>
      <c r="D80" s="31">
        <f t="shared" si="51"/>
        <v>579.29999999999995</v>
      </c>
      <c r="E80" s="31">
        <f t="shared" si="47"/>
        <v>6343</v>
      </c>
      <c r="F80" s="31">
        <f t="shared" si="48"/>
        <v>581.15962806185541</v>
      </c>
      <c r="G80" s="32">
        <f t="shared" si="49"/>
        <v>6255</v>
      </c>
      <c r="H80" s="33">
        <f t="shared" si="52"/>
        <v>3.2101295733737434E-3</v>
      </c>
      <c r="I80" s="34">
        <f t="shared" si="50"/>
        <v>-1.3873561406274604E-2</v>
      </c>
      <c r="R80" s="78"/>
      <c r="S80" s="46" t="str">
        <f t="shared" si="53"/>
        <v>D65</v>
      </c>
      <c r="T80" s="79"/>
      <c r="U80" s="50">
        <f t="shared" si="61"/>
        <v>515.33490243029985</v>
      </c>
      <c r="V80" s="50">
        <f t="shared" si="62"/>
        <v>581.15962806185541</v>
      </c>
      <c r="W80" s="50">
        <f t="shared" si="63"/>
        <v>530.0102493477857</v>
      </c>
      <c r="X80" s="29">
        <f t="shared" si="57"/>
        <v>1626.504779839941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2.6517813228435161E-2</v>
      </c>
      <c r="G81" s="47"/>
      <c r="H81" s="36" t="str">
        <f>I71</f>
        <v>CCT</v>
      </c>
      <c r="I81" s="38">
        <f>MAX(MAX(I72:I80,-MIN(I72:I80)))</f>
        <v>4.5060658578856105E-2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512.95000000000005</v>
      </c>
      <c r="E84" s="31">
        <f t="shared" ref="E84:E92" si="67">E72</f>
        <v>2885</v>
      </c>
      <c r="F84" s="31">
        <f t="shared" ref="F84:F92" si="68">V84</f>
        <v>512.95000000000039</v>
      </c>
      <c r="G84" s="32">
        <f t="shared" ref="G84:G92" si="69">getCCTfromXY(U84/X84,V84/X84)</f>
        <v>2885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552.74999999999977</v>
      </c>
      <c r="V84" s="50">
        <f>$J$42*$J$31*($D$43*G22+$E$43*H22+$F$43*I22)</f>
        <v>512.95000000000039</v>
      </c>
      <c r="W84" s="50">
        <f>$J$42*$J$31*($D$44*G22+$E$44*H22+$F$44*I22)</f>
        <v>155.90000000000018</v>
      </c>
      <c r="X84" s="29">
        <f>SUM(U84:W84)</f>
        <v>1221.6000000000004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1211.5</v>
      </c>
      <c r="E85" s="31">
        <f t="shared" si="67"/>
        <v>3860</v>
      </c>
      <c r="F85" s="31">
        <f t="shared" si="68"/>
        <v>1211.5</v>
      </c>
      <c r="G85" s="32">
        <f t="shared" si="69"/>
        <v>3860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1201.5</v>
      </c>
      <c r="V85" s="50">
        <f t="shared" ref="V85:V86" si="75">$J$42*$J$31*($D$43*G23+$E$43*H23+$F$43*I23)</f>
        <v>1211.5</v>
      </c>
      <c r="W85" s="50">
        <f t="shared" ref="W85:W86" si="76">$J$42*$J$31*($D$44*G23+$E$44*H23+$F$44*I23)</f>
        <v>650.00000000000023</v>
      </c>
      <c r="X85" s="29">
        <f t="shared" ref="X85:X92" si="77">SUM(U85:W85)</f>
        <v>3063</v>
      </c>
    </row>
    <row r="86" spans="1:24">
      <c r="A86" s="87"/>
      <c r="B86" s="48">
        <f t="shared" si="66"/>
        <v>0</v>
      </c>
      <c r="C86" s="93"/>
      <c r="D86" s="31">
        <f t="shared" si="71"/>
        <v>579.29999999999995</v>
      </c>
      <c r="E86" s="31">
        <f t="shared" si="67"/>
        <v>6343</v>
      </c>
      <c r="F86" s="31">
        <f t="shared" si="68"/>
        <v>579.29999999999995</v>
      </c>
      <c r="G86" s="32">
        <f t="shared" si="69"/>
        <v>6343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512.15</v>
      </c>
      <c r="V86" s="50">
        <f t="shared" si="75"/>
        <v>579.29999999999995</v>
      </c>
      <c r="W86" s="50">
        <f t="shared" si="76"/>
        <v>534.4</v>
      </c>
      <c r="X86" s="29">
        <f t="shared" si="77"/>
        <v>1625.85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512.95000000000005</v>
      </c>
      <c r="E87" s="31">
        <f t="shared" si="67"/>
        <v>2885</v>
      </c>
      <c r="F87" s="31">
        <f t="shared" si="68"/>
        <v>512.9499999999997</v>
      </c>
      <c r="G87" s="32">
        <f t="shared" si="69"/>
        <v>2885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552.74999999999932</v>
      </c>
      <c r="V87" s="50">
        <f>$J$45*$J$34*($D$46*G25+$E$46*H25+$F$46*I25)</f>
        <v>512.9499999999997</v>
      </c>
      <c r="W87" s="50">
        <f>$J$45*$J$34*($D$47*G25+$E$47*H25+$F$47*I25)</f>
        <v>155.90000000000018</v>
      </c>
      <c r="X87" s="29">
        <f t="shared" si="77"/>
        <v>1221.599999999999</v>
      </c>
    </row>
    <row r="88" spans="1:24">
      <c r="A88" s="87"/>
      <c r="B88" s="48">
        <f t="shared" si="66"/>
        <v>0</v>
      </c>
      <c r="C88" s="93"/>
      <c r="D88" s="31">
        <f t="shared" si="71"/>
        <v>1211.5</v>
      </c>
      <c r="E88" s="31">
        <f t="shared" si="67"/>
        <v>3860</v>
      </c>
      <c r="F88" s="31">
        <f t="shared" si="68"/>
        <v>1211.5000000000002</v>
      </c>
      <c r="G88" s="32">
        <f t="shared" si="69"/>
        <v>3860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1201.5</v>
      </c>
      <c r="V88" s="50">
        <f t="shared" ref="V88:V89" si="79">$J$45*$J$34*($D$46*G26+$E$46*H26+$F$46*I26)</f>
        <v>1211.5000000000002</v>
      </c>
      <c r="W88" s="50">
        <f t="shared" ref="W88:W89" si="80">$J$45*$J$34*($D$47*G26+$E$47*H26+$F$47*I26)</f>
        <v>650</v>
      </c>
      <c r="X88" s="29">
        <f t="shared" si="77"/>
        <v>3063</v>
      </c>
    </row>
    <row r="89" spans="1:24">
      <c r="A89" s="87"/>
      <c r="B89" s="48" t="str">
        <f t="shared" si="66"/>
        <v>A</v>
      </c>
      <c r="C89" s="93"/>
      <c r="D89" s="31">
        <f t="shared" si="71"/>
        <v>579.29999999999995</v>
      </c>
      <c r="E89" s="31">
        <f t="shared" si="67"/>
        <v>6343</v>
      </c>
      <c r="F89" s="31">
        <f t="shared" si="68"/>
        <v>579.30000000000007</v>
      </c>
      <c r="G89" s="32">
        <f t="shared" si="69"/>
        <v>6343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512.15</v>
      </c>
      <c r="V89" s="50">
        <f t="shared" si="79"/>
        <v>579.30000000000007</v>
      </c>
      <c r="W89" s="50">
        <f t="shared" si="80"/>
        <v>534.4</v>
      </c>
      <c r="X89" s="29">
        <f t="shared" si="77"/>
        <v>1625.85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512.95000000000005</v>
      </c>
      <c r="E90" s="31">
        <f t="shared" si="67"/>
        <v>2885</v>
      </c>
      <c r="F90" s="31">
        <f t="shared" si="68"/>
        <v>512.95000000000005</v>
      </c>
      <c r="G90" s="32">
        <f t="shared" si="69"/>
        <v>2885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552.75</v>
      </c>
      <c r="V90" s="50">
        <f>$J$48*$J$37*($D$49*G28+$E$49*H28+$F$49*I28)</f>
        <v>512.95000000000005</v>
      </c>
      <c r="W90" s="50">
        <f>$J$48*$J$37*($D$50*G28+$E$50*H28+$F$50*I28)</f>
        <v>155.89999999999989</v>
      </c>
      <c r="X90" s="29">
        <f t="shared" si="77"/>
        <v>1221.5999999999999</v>
      </c>
    </row>
    <row r="91" spans="1:24">
      <c r="A91" s="87"/>
      <c r="B91" s="48" t="str">
        <f t="shared" si="66"/>
        <v>D65</v>
      </c>
      <c r="C91" s="93"/>
      <c r="D91" s="31">
        <f t="shared" si="71"/>
        <v>1211.5</v>
      </c>
      <c r="E91" s="31">
        <f t="shared" si="67"/>
        <v>3860</v>
      </c>
      <c r="F91" s="31">
        <f t="shared" si="68"/>
        <v>1211.5000000000002</v>
      </c>
      <c r="G91" s="32">
        <f t="shared" si="69"/>
        <v>3860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1201.5000000000002</v>
      </c>
      <c r="V91" s="50">
        <f t="shared" ref="V91:V92" si="82">$J$48*$J$37*($D$49*G29+$E$49*H29+$F$49*I29)</f>
        <v>1211.5000000000002</v>
      </c>
      <c r="W91" s="50">
        <f t="shared" ref="W91:W92" si="83">$J$48*$J$37*($D$50*G29+$E$50*H29+$F$50*I29)</f>
        <v>649.99999999999977</v>
      </c>
      <c r="X91" s="29">
        <f t="shared" si="77"/>
        <v>3063</v>
      </c>
    </row>
    <row r="92" spans="1:24">
      <c r="A92" s="87"/>
      <c r="B92" s="48" t="str">
        <f t="shared" si="66"/>
        <v>A</v>
      </c>
      <c r="C92" s="93"/>
      <c r="D92" s="31">
        <f t="shared" si="71"/>
        <v>579.29999999999995</v>
      </c>
      <c r="E92" s="31">
        <f t="shared" si="67"/>
        <v>6343</v>
      </c>
      <c r="F92" s="31">
        <f t="shared" si="68"/>
        <v>579.29999999999995</v>
      </c>
      <c r="G92" s="32">
        <f t="shared" si="69"/>
        <v>6343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512.15000000000009</v>
      </c>
      <c r="V92" s="50">
        <f t="shared" si="82"/>
        <v>579.29999999999995</v>
      </c>
      <c r="W92" s="50">
        <f t="shared" si="83"/>
        <v>534.39999999999986</v>
      </c>
      <c r="X92" s="29">
        <f t="shared" si="77"/>
        <v>1625.85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4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5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8.0625257077260954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78.293297169552048</v>
      </c>
      <c r="N3" s="46">
        <v>0</v>
      </c>
      <c r="O3" s="50">
        <f>G$5-N3*G$7</f>
        <v>132.54893333333331</v>
      </c>
      <c r="P3" s="50">
        <f>H$5-N3*H$7</f>
        <v>54.255636163781261</v>
      </c>
      <c r="Q3" s="50">
        <f>I$5-N3*I$7</f>
        <v>64.454434570482675</v>
      </c>
    </row>
    <row r="4" spans="1:17">
      <c r="C4" s="46" t="s">
        <v>20</v>
      </c>
      <c r="D4" s="7">
        <v>525</v>
      </c>
      <c r="E4" s="7">
        <v>1213</v>
      </c>
      <c r="F4" s="7">
        <v>573.9</v>
      </c>
      <c r="G4" s="50">
        <f>AVERAGE(D4:F4)</f>
        <v>770.63333333333333</v>
      </c>
      <c r="H4" s="50">
        <f>G4</f>
        <v>770.63333333333333</v>
      </c>
      <c r="I4" s="50">
        <f>H4</f>
        <v>770.63333333333333</v>
      </c>
      <c r="K4" s="13" t="str">
        <f>linefmt("Compensation",B12)</f>
        <v>"Compensation",35,</v>
      </c>
      <c r="M4" s="46">
        <f t="shared" si="0"/>
        <v>76.039997128986244</v>
      </c>
      <c r="N4" s="46">
        <f>N3+1</f>
        <v>1</v>
      </c>
      <c r="O4" s="50">
        <f t="shared" ref="O4:O66" si="1">G$5-N4*G$7</f>
        <v>130.2003365079365</v>
      </c>
      <c r="P4" s="50">
        <f t="shared" ref="P4:P66" si="2">H$5-N4*H$7</f>
        <v>54.160339378950262</v>
      </c>
      <c r="Q4" s="50">
        <f t="shared" ref="Q4:Q66" si="3">I$5-N4*I$7</f>
        <v>63.837385668096609</v>
      </c>
    </row>
    <row r="5" spans="1:17">
      <c r="C5" s="46">
        <v>0</v>
      </c>
      <c r="D5" s="9">
        <v>90.3</v>
      </c>
      <c r="E5" s="9">
        <v>85.4</v>
      </c>
      <c r="F5" s="9">
        <v>48</v>
      </c>
      <c r="G5" s="50">
        <f>G$4/D$4*D5</f>
        <v>132.54893333333331</v>
      </c>
      <c r="H5" s="50">
        <f t="shared" ref="H5:I6" si="4">H$4/E$4*E5</f>
        <v>54.255636163781261</v>
      </c>
      <c r="I5" s="50">
        <f t="shared" si="4"/>
        <v>64.454434570482675</v>
      </c>
      <c r="K5" s="14" t="str">
        <f>linefmt("CardGain",J54)</f>
        <v>"CardGain",14.94285,</v>
      </c>
      <c r="M5" s="46">
        <f t="shared" si="0"/>
        <v>73.786697088420397</v>
      </c>
      <c r="N5" s="46">
        <f t="shared" ref="N5:N66" si="5">N4+1</f>
        <v>2</v>
      </c>
      <c r="O5" s="50">
        <f t="shared" si="1"/>
        <v>127.85173968253966</v>
      </c>
      <c r="P5" s="50">
        <f t="shared" si="2"/>
        <v>54.065042594119269</v>
      </c>
      <c r="Q5" s="50">
        <f t="shared" si="3"/>
        <v>63.220336765710535</v>
      </c>
    </row>
    <row r="6" spans="1:17">
      <c r="B6" s="50">
        <f>D5/4</f>
        <v>22.574999999999999</v>
      </c>
      <c r="C6" s="7">
        <v>42</v>
      </c>
      <c r="D6" s="9">
        <v>23.1</v>
      </c>
      <c r="E6" s="9">
        <v>79.099999999999994</v>
      </c>
      <c r="F6" s="9">
        <v>28.7</v>
      </c>
      <c r="G6" s="50">
        <f>G$4/D$4*D6</f>
        <v>33.907866666666663</v>
      </c>
      <c r="H6" s="50">
        <f t="shared" si="4"/>
        <v>50.253171200879358</v>
      </c>
      <c r="I6" s="50">
        <f t="shared" si="4"/>
        <v>38.538380670267763</v>
      </c>
      <c r="K6" s="14" t="str">
        <f>linefmt("Range",1,J34,J37)</f>
        <v>"Range",1,0.8686146,1.07805,</v>
      </c>
      <c r="M6" s="46">
        <f t="shared" si="0"/>
        <v>71.533397047854564</v>
      </c>
      <c r="N6" s="46">
        <f t="shared" si="5"/>
        <v>3</v>
      </c>
      <c r="O6" s="50">
        <f t="shared" si="1"/>
        <v>125.50314285714283</v>
      </c>
      <c r="P6" s="50">
        <f t="shared" si="2"/>
        <v>53.96974580928827</v>
      </c>
      <c r="Q6" s="50">
        <f t="shared" si="3"/>
        <v>62.603287863324468</v>
      </c>
    </row>
    <row r="7" spans="1:17">
      <c r="C7" s="46">
        <f>C5</f>
        <v>0</v>
      </c>
      <c r="D7" s="46">
        <f t="shared" ref="D7:F8" si="6">D$4/D5</f>
        <v>5.8139534883720936</v>
      </c>
      <c r="E7" s="46">
        <f t="shared" si="6"/>
        <v>14.20374707259953</v>
      </c>
      <c r="F7" s="46">
        <f t="shared" si="6"/>
        <v>11.956249999999999</v>
      </c>
      <c r="G7" s="49">
        <f>(G5-G6)/($C6-$C5)</f>
        <v>2.3485968253968248</v>
      </c>
      <c r="H7" s="49">
        <f t="shared" ref="H7:I7" si="7">(H5-H6)/($C6-$C5)</f>
        <v>9.5296784830997711E-2</v>
      </c>
      <c r="I7" s="49">
        <f t="shared" si="7"/>
        <v>0.61704890238606935</v>
      </c>
      <c r="K7" s="14" t="str">
        <f>linefmt("CCM" )</f>
        <v>"CCM",</v>
      </c>
      <c r="M7" s="46">
        <f t="shared" si="0"/>
        <v>69.280097007288731</v>
      </c>
      <c r="N7" s="46">
        <f t="shared" si="5"/>
        <v>4</v>
      </c>
      <c r="O7" s="50">
        <f t="shared" si="1"/>
        <v>123.15454603174601</v>
      </c>
      <c r="P7" s="50">
        <f t="shared" si="2"/>
        <v>53.87444902445727</v>
      </c>
      <c r="Q7" s="50">
        <f t="shared" si="3"/>
        <v>61.986238960938401</v>
      </c>
    </row>
    <row r="8" spans="1:17">
      <c r="C8" s="46">
        <f>C6</f>
        <v>42</v>
      </c>
      <c r="D8" s="46">
        <f t="shared" si="6"/>
        <v>22.727272727272727</v>
      </c>
      <c r="E8" s="46">
        <f t="shared" si="6"/>
        <v>15.335018963337548</v>
      </c>
      <c r="F8" s="46">
        <f t="shared" si="6"/>
        <v>19.99651567944251</v>
      </c>
      <c r="K8" s="15" t="str">
        <f>linefmt("",D54,E54,F54)</f>
        <v>0.198798,1.04954,-0.3807603,</v>
      </c>
      <c r="M8" s="46">
        <f t="shared" si="0"/>
        <v>67.026796966722912</v>
      </c>
      <c r="N8" s="46">
        <f t="shared" si="5"/>
        <v>5</v>
      </c>
      <c r="O8" s="50">
        <f t="shared" si="1"/>
        <v>120.80594920634918</v>
      </c>
      <c r="P8" s="50">
        <f t="shared" si="2"/>
        <v>53.779152239626271</v>
      </c>
      <c r="Q8" s="50">
        <f t="shared" si="3"/>
        <v>61.369190058552327</v>
      </c>
    </row>
    <row r="9" spans="1:17">
      <c r="C9" s="46" t="s">
        <v>23</v>
      </c>
      <c r="D9" s="46">
        <f>(D8-D7)/($C8-$C7)</f>
        <v>0.40269807711668176</v>
      </c>
      <c r="E9" s="46">
        <f>(E8-E7)/($C8-$C7)</f>
        <v>2.6935045017571865E-2</v>
      </c>
      <c r="F9" s="46">
        <f>(F8-F7)/($C8-$C7)</f>
        <v>0.19143489712958359</v>
      </c>
      <c r="K9" s="15" t="str">
        <f>linefmt("",D55,E55,F55)</f>
        <v>4.123906E-02,1,-4.135127E-02,</v>
      </c>
      <c r="M9" s="46">
        <f t="shared" si="0"/>
        <v>64.77349692615708</v>
      </c>
      <c r="N9" s="46">
        <f t="shared" si="5"/>
        <v>6</v>
      </c>
      <c r="O9" s="50">
        <f t="shared" si="1"/>
        <v>118.45735238095236</v>
      </c>
      <c r="P9" s="50">
        <f t="shared" si="2"/>
        <v>53.683855454795278</v>
      </c>
      <c r="Q9" s="50">
        <f t="shared" si="3"/>
        <v>60.75214115616626</v>
      </c>
    </row>
    <row r="10" spans="1:17">
      <c r="K10" s="16" t="str">
        <f>linefmt("",D56,E56,F56)</f>
        <v>-0.5038429,0.2913848,1.202692,</v>
      </c>
      <c r="M10" s="46">
        <f t="shared" si="0"/>
        <v>62.520196885591254</v>
      </c>
      <c r="N10" s="46">
        <f t="shared" si="5"/>
        <v>7</v>
      </c>
      <c r="O10" s="50">
        <f t="shared" si="1"/>
        <v>116.10875555555553</v>
      </c>
      <c r="P10" s="50">
        <f t="shared" si="2"/>
        <v>53.588558669964279</v>
      </c>
      <c r="Q10" s="50">
        <f t="shared" si="3"/>
        <v>60.135092253780186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60.266896845025428</v>
      </c>
      <c r="N11" s="46">
        <f t="shared" si="5"/>
        <v>8</v>
      </c>
      <c r="O11" s="50">
        <f t="shared" si="1"/>
        <v>113.76015873015871</v>
      </c>
      <c r="P11" s="50">
        <f t="shared" si="2"/>
        <v>53.493261885133279</v>
      </c>
      <c r="Q11" s="50">
        <f t="shared" si="3"/>
        <v>59.51804335139412</v>
      </c>
    </row>
    <row r="12" spans="1:17">
      <c r="A12" s="46" t="s">
        <v>16</v>
      </c>
      <c r="B12" s="10">
        <f>MATCH(M2,M3:M66,0)-1</f>
        <v>35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Compensation=35</v>
      </c>
      <c r="M12" s="46">
        <f t="shared" si="0"/>
        <v>58.013596804459603</v>
      </c>
      <c r="N12" s="46">
        <f t="shared" si="5"/>
        <v>9</v>
      </c>
      <c r="O12" s="50">
        <f t="shared" si="1"/>
        <v>111.41156190476188</v>
      </c>
      <c r="P12" s="50">
        <f t="shared" si="2"/>
        <v>53.397965100302279</v>
      </c>
      <c r="Q12" s="50">
        <f t="shared" si="3"/>
        <v>58.900994449008053</v>
      </c>
    </row>
    <row r="13" spans="1:17">
      <c r="A13" s="78" t="s">
        <v>12</v>
      </c>
      <c r="B13" s="79" t="s">
        <v>0</v>
      </c>
      <c r="C13" s="46">
        <v>0</v>
      </c>
      <c r="D13" s="7">
        <v>551.4</v>
      </c>
      <c r="E13" s="7">
        <v>511.8</v>
      </c>
      <c r="F13" s="7">
        <v>155.9</v>
      </c>
      <c r="G13" s="8">
        <v>85.8</v>
      </c>
      <c r="H13" s="8">
        <v>32.6</v>
      </c>
      <c r="I13" s="8">
        <v>38</v>
      </c>
      <c r="M13" s="46">
        <f t="shared" si="0"/>
        <v>55.76029676389377</v>
      </c>
      <c r="N13" s="46">
        <f t="shared" si="5"/>
        <v>10</v>
      </c>
      <c r="O13" s="50">
        <f t="shared" si="1"/>
        <v>109.06296507936506</v>
      </c>
      <c r="P13" s="50">
        <f t="shared" si="2"/>
        <v>53.302668315471287</v>
      </c>
      <c r="Q13" s="50">
        <f t="shared" si="3"/>
        <v>58.283945546621979</v>
      </c>
    </row>
    <row r="14" spans="1:17">
      <c r="A14" s="78"/>
      <c r="B14" s="79"/>
      <c r="C14" s="46">
        <f>C13+1</f>
        <v>1</v>
      </c>
      <c r="D14" s="7">
        <v>556.5</v>
      </c>
      <c r="E14" s="7">
        <v>516.20000000000005</v>
      </c>
      <c r="F14" s="7">
        <v>155.80000000000001</v>
      </c>
      <c r="G14" s="8">
        <v>97.5</v>
      </c>
      <c r="H14" s="8">
        <v>38.200000000000003</v>
      </c>
      <c r="I14" s="8">
        <v>44.3</v>
      </c>
      <c r="M14" s="46">
        <f t="shared" si="0"/>
        <v>53.506996723327944</v>
      </c>
      <c r="N14" s="46">
        <f t="shared" si="5"/>
        <v>11</v>
      </c>
      <c r="O14" s="50">
        <f t="shared" si="1"/>
        <v>106.71436825396823</v>
      </c>
      <c r="P14" s="50">
        <f t="shared" si="2"/>
        <v>53.207371530640287</v>
      </c>
      <c r="Q14" s="50">
        <f t="shared" si="3"/>
        <v>57.666896644235912</v>
      </c>
    </row>
    <row r="15" spans="1:17">
      <c r="A15" s="78"/>
      <c r="B15" s="79"/>
      <c r="C15" s="46">
        <f>C14+1</f>
        <v>2</v>
      </c>
      <c r="D15" s="6">
        <f>2*(D13-D14)/(D13+D14)</f>
        <v>-9.2066070945031539E-3</v>
      </c>
      <c r="E15" s="6">
        <f t="shared" ref="E15:F15" si="8">2*(E13-E14)/(E13+E14)</f>
        <v>-8.5603112840467593E-3</v>
      </c>
      <c r="F15" s="6">
        <f t="shared" si="8"/>
        <v>6.4164260506894004E-4</v>
      </c>
      <c r="G15" s="8">
        <v>86.7</v>
      </c>
      <c r="H15" s="8">
        <v>29.2</v>
      </c>
      <c r="I15" s="8">
        <v>34.5</v>
      </c>
      <c r="M15" s="46">
        <f t="shared" si="0"/>
        <v>51.253696682762119</v>
      </c>
      <c r="N15" s="46">
        <f t="shared" si="5"/>
        <v>12</v>
      </c>
      <c r="O15" s="50">
        <f t="shared" si="1"/>
        <v>104.36577142857141</v>
      </c>
      <c r="P15" s="50">
        <f t="shared" si="2"/>
        <v>53.112074745809288</v>
      </c>
      <c r="Q15" s="50">
        <f t="shared" si="3"/>
        <v>57.049847741849845</v>
      </c>
    </row>
    <row r="16" spans="1:17">
      <c r="A16" s="78"/>
      <c r="B16" s="79" t="s">
        <v>1</v>
      </c>
      <c r="C16" s="46">
        <f>C13</f>
        <v>0</v>
      </c>
      <c r="D16" s="7">
        <v>1200</v>
      </c>
      <c r="E16" s="7">
        <v>1210</v>
      </c>
      <c r="F16" s="7">
        <v>649</v>
      </c>
      <c r="G16" s="8">
        <v>68.7</v>
      </c>
      <c r="H16" s="8">
        <v>79.900000000000006</v>
      </c>
      <c r="I16" s="8">
        <v>44.6</v>
      </c>
      <c r="M16" s="46">
        <f t="shared" si="0"/>
        <v>49.000396642196307</v>
      </c>
      <c r="N16" s="46">
        <f t="shared" si="5"/>
        <v>13</v>
      </c>
      <c r="O16" s="50">
        <f t="shared" si="1"/>
        <v>102.0171746031746</v>
      </c>
      <c r="P16" s="50">
        <f t="shared" si="2"/>
        <v>53.016777960978288</v>
      </c>
      <c r="Q16" s="50">
        <f t="shared" si="3"/>
        <v>56.432798839463771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1212</v>
      </c>
      <c r="F17" s="7">
        <v>649</v>
      </c>
      <c r="G17" s="8">
        <v>78.5</v>
      </c>
      <c r="H17" s="8">
        <v>90.7</v>
      </c>
      <c r="I17" s="8">
        <v>51.6</v>
      </c>
      <c r="M17" s="46">
        <f t="shared" si="0"/>
        <v>46.74709660163046</v>
      </c>
      <c r="N17" s="46">
        <f t="shared" si="5"/>
        <v>14</v>
      </c>
      <c r="O17" s="50">
        <f t="shared" si="1"/>
        <v>99.668577777777756</v>
      </c>
      <c r="P17" s="50">
        <f t="shared" si="2"/>
        <v>52.921481176147296</v>
      </c>
      <c r="Q17" s="50">
        <f t="shared" si="3"/>
        <v>55.815749937077705</v>
      </c>
    </row>
    <row r="18" spans="1:21">
      <c r="A18" s="78"/>
      <c r="B18" s="79"/>
      <c r="C18" s="46">
        <f t="shared" si="9"/>
        <v>2</v>
      </c>
      <c r="D18" s="6">
        <f>2*(D16-D17)/(D16+D17)</f>
        <v>-1.6652789342214821E-3</v>
      </c>
      <c r="E18" s="6">
        <f t="shared" ref="E18:F18" si="10">2*(E16-E17)/(E16+E17)</f>
        <v>-1.6515276630883566E-3</v>
      </c>
      <c r="F18" s="6">
        <f t="shared" si="10"/>
        <v>0</v>
      </c>
      <c r="G18" s="8">
        <v>59</v>
      </c>
      <c r="H18" s="8">
        <v>75.8</v>
      </c>
      <c r="I18" s="8">
        <v>41.6</v>
      </c>
      <c r="M18" s="46">
        <f t="shared" si="0"/>
        <v>44.493796561064649</v>
      </c>
      <c r="N18" s="46">
        <f t="shared" si="5"/>
        <v>15</v>
      </c>
      <c r="O18" s="50">
        <f t="shared" si="1"/>
        <v>97.319980952380945</v>
      </c>
      <c r="P18" s="50">
        <f t="shared" si="2"/>
        <v>52.826184391316296</v>
      </c>
      <c r="Q18" s="50">
        <f t="shared" si="3"/>
        <v>55.198701034691638</v>
      </c>
    </row>
    <row r="19" spans="1:21">
      <c r="A19" s="78"/>
      <c r="B19" s="79" t="s">
        <v>2</v>
      </c>
      <c r="C19" s="46">
        <f t="shared" si="9"/>
        <v>0</v>
      </c>
      <c r="D19" s="7">
        <v>507.7</v>
      </c>
      <c r="E19" s="7">
        <v>574.70000000000005</v>
      </c>
      <c r="F19" s="7">
        <v>529.70000000000005</v>
      </c>
      <c r="G19" s="8">
        <v>28.8</v>
      </c>
      <c r="H19" s="8">
        <v>38.6</v>
      </c>
      <c r="I19" s="8">
        <v>31.9</v>
      </c>
      <c r="M19" s="46">
        <f t="shared" si="0"/>
        <v>42.240496520498809</v>
      </c>
      <c r="N19" s="46">
        <f t="shared" si="5"/>
        <v>16</v>
      </c>
      <c r="O19" s="50">
        <f t="shared" si="1"/>
        <v>94.971384126984105</v>
      </c>
      <c r="P19" s="50">
        <f t="shared" si="2"/>
        <v>52.730887606485297</v>
      </c>
      <c r="Q19" s="50">
        <f t="shared" si="3"/>
        <v>54.581652132305564</v>
      </c>
    </row>
    <row r="20" spans="1:21">
      <c r="A20" s="78"/>
      <c r="B20" s="79"/>
      <c r="C20" s="46">
        <f t="shared" si="9"/>
        <v>1</v>
      </c>
      <c r="D20" s="7">
        <v>508.9</v>
      </c>
      <c r="E20" s="7">
        <v>575.79999999999995</v>
      </c>
      <c r="F20" s="7">
        <v>529.79999999999995</v>
      </c>
      <c r="G20" s="8">
        <v>33.799999999999997</v>
      </c>
      <c r="H20" s="8">
        <v>44.9</v>
      </c>
      <c r="I20" s="8">
        <v>37.299999999999997</v>
      </c>
      <c r="M20" s="46">
        <f t="shared" si="0"/>
        <v>39.987196479932997</v>
      </c>
      <c r="N20" s="46">
        <f t="shared" si="5"/>
        <v>17</v>
      </c>
      <c r="O20" s="50">
        <f t="shared" si="1"/>
        <v>92.622787301587294</v>
      </c>
      <c r="P20" s="50">
        <f t="shared" si="2"/>
        <v>52.635590821654297</v>
      </c>
      <c r="Q20" s="50">
        <f t="shared" si="3"/>
        <v>53.964603229919497</v>
      </c>
    </row>
    <row r="21" spans="1:21">
      <c r="A21" s="78"/>
      <c r="B21" s="79"/>
      <c r="C21" s="46">
        <f t="shared" si="9"/>
        <v>2</v>
      </c>
      <c r="D21" s="6">
        <f>2*(D19-D20)/(D19+D20)</f>
        <v>-2.3608105449537454E-3</v>
      </c>
      <c r="E21" s="6">
        <f t="shared" ref="E21:F21" si="11">2*(E19-E20)/(E19+E20)</f>
        <v>-1.9122120817034491E-3</v>
      </c>
      <c r="F21" s="6">
        <f t="shared" si="11"/>
        <v>-1.8876828692762445E-4</v>
      </c>
      <c r="G21" s="8">
        <v>25.7</v>
      </c>
      <c r="H21" s="8">
        <v>35.200000000000003</v>
      </c>
      <c r="I21" s="8">
        <v>28.7</v>
      </c>
      <c r="M21" s="46">
        <f t="shared" si="0"/>
        <v>37.73389643936715</v>
      </c>
      <c r="N21" s="46">
        <f t="shared" si="5"/>
        <v>18</v>
      </c>
      <c r="O21" s="50">
        <f t="shared" si="1"/>
        <v>90.274190476190455</v>
      </c>
      <c r="P21" s="50">
        <f t="shared" si="2"/>
        <v>52.540294036823305</v>
      </c>
      <c r="Q21" s="50">
        <f t="shared" si="3"/>
        <v>53.34755432753343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553.95000000000005</v>
      </c>
      <c r="E22" s="46">
        <f t="shared" ref="E22:F22" si="12">(E13+E14)/2</f>
        <v>514</v>
      </c>
      <c r="F22" s="46">
        <f t="shared" si="12"/>
        <v>155.85000000000002</v>
      </c>
      <c r="G22" s="5">
        <f>G13</f>
        <v>85.8</v>
      </c>
      <c r="H22" s="5">
        <f t="shared" ref="H22:I22" si="13">H13</f>
        <v>32.6</v>
      </c>
      <c r="I22" s="5">
        <f t="shared" si="13"/>
        <v>38</v>
      </c>
      <c r="J22" s="99">
        <f>AVERAGE(G22:I24)</f>
        <v>49.87777777777778</v>
      </c>
      <c r="M22" s="46">
        <f t="shared" si="0"/>
        <v>35.480596398801339</v>
      </c>
      <c r="N22" s="46">
        <f t="shared" si="5"/>
        <v>19</v>
      </c>
      <c r="O22" s="50">
        <f t="shared" si="1"/>
        <v>87.925593650793644</v>
      </c>
      <c r="P22" s="50">
        <f t="shared" si="2"/>
        <v>52.444997251992305</v>
      </c>
      <c r="Q22" s="50">
        <f t="shared" si="3"/>
        <v>52.730505425147356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</v>
      </c>
      <c r="E23" s="46">
        <f>(E16+E17)/2</f>
        <v>1211</v>
      </c>
      <c r="F23" s="46">
        <f>(F16+F17)/2</f>
        <v>649</v>
      </c>
      <c r="G23" s="5">
        <f>G16</f>
        <v>68.7</v>
      </c>
      <c r="H23" s="5">
        <f>H16</f>
        <v>79.900000000000006</v>
      </c>
      <c r="I23" s="5">
        <f>I16</f>
        <v>44.6</v>
      </c>
      <c r="J23" s="99"/>
      <c r="M23" s="46">
        <f t="shared" si="0"/>
        <v>33.463540302635515</v>
      </c>
      <c r="N23" s="46">
        <f t="shared" si="5"/>
        <v>20</v>
      </c>
      <c r="O23" s="50">
        <f t="shared" si="1"/>
        <v>85.576996825396805</v>
      </c>
      <c r="P23" s="50">
        <f t="shared" si="2"/>
        <v>52.349700467161306</v>
      </c>
      <c r="Q23" s="50">
        <f t="shared" si="3"/>
        <v>52.11345652276129</v>
      </c>
    </row>
    <row r="24" spans="1:21">
      <c r="A24" s="78"/>
      <c r="B24" s="46" t="str">
        <f>B19</f>
        <v>D65</v>
      </c>
      <c r="C24" s="79"/>
      <c r="D24" s="46">
        <f>(D19+D20)/2</f>
        <v>508.29999999999995</v>
      </c>
      <c r="E24" s="46">
        <f>(E19+E20)/2</f>
        <v>575.25</v>
      </c>
      <c r="F24" s="46">
        <f>(F19+F20)/2</f>
        <v>529.75</v>
      </c>
      <c r="G24" s="5">
        <f>G19</f>
        <v>28.8</v>
      </c>
      <c r="H24" s="5">
        <f>H19</f>
        <v>38.6</v>
      </c>
      <c r="I24" s="5">
        <f>I19</f>
        <v>31.9</v>
      </c>
      <c r="J24" s="99"/>
      <c r="M24" s="46">
        <f t="shared" si="0"/>
        <v>31.731992379624771</v>
      </c>
      <c r="N24" s="46">
        <f t="shared" si="5"/>
        <v>21</v>
      </c>
      <c r="O24" s="50">
        <f t="shared" si="1"/>
        <v>83.228399999999993</v>
      </c>
      <c r="P24" s="50">
        <f t="shared" si="2"/>
        <v>52.254403682330306</v>
      </c>
      <c r="Q24" s="50">
        <f t="shared" si="3"/>
        <v>51.496407620375223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553.95000000000005</v>
      </c>
      <c r="E25" s="46">
        <f t="shared" ref="E25:F25" si="15">(E13+E14)/2</f>
        <v>514</v>
      </c>
      <c r="F25" s="46">
        <f t="shared" si="15"/>
        <v>155.85000000000002</v>
      </c>
      <c r="G25" s="5">
        <f t="shared" ref="G25:I25" si="16">G14</f>
        <v>97.5</v>
      </c>
      <c r="H25" s="5">
        <f t="shared" si="16"/>
        <v>38.200000000000003</v>
      </c>
      <c r="I25" s="5">
        <f t="shared" si="16"/>
        <v>44.3</v>
      </c>
      <c r="J25" s="99">
        <f>AVERAGE(G25:I27)</f>
        <v>57.422222222222217</v>
      </c>
      <c r="M25" s="46">
        <f t="shared" si="0"/>
        <v>30.000444456614005</v>
      </c>
      <c r="N25" s="46">
        <f t="shared" si="5"/>
        <v>22</v>
      </c>
      <c r="O25" s="50">
        <f t="shared" si="1"/>
        <v>80.879803174603154</v>
      </c>
      <c r="P25" s="50">
        <f t="shared" si="2"/>
        <v>52.159106897499314</v>
      </c>
      <c r="Q25" s="50">
        <f t="shared" si="3"/>
        <v>50.879358717989149</v>
      </c>
    </row>
    <row r="26" spans="1:21">
      <c r="A26" s="78"/>
      <c r="B26" s="46" t="str">
        <f>B16</f>
        <v>CWF</v>
      </c>
      <c r="C26" s="79"/>
      <c r="D26" s="46">
        <f>(D16+D17)/2</f>
        <v>1201</v>
      </c>
      <c r="E26" s="46">
        <f>(E16+E17)/2</f>
        <v>1211</v>
      </c>
      <c r="F26" s="46">
        <f>(F16+F17)/2</f>
        <v>649</v>
      </c>
      <c r="G26" s="5">
        <f>G17</f>
        <v>78.5</v>
      </c>
      <c r="H26" s="5">
        <f>H17</f>
        <v>90.7</v>
      </c>
      <c r="I26" s="5">
        <f>I17</f>
        <v>51.6</v>
      </c>
      <c r="J26" s="99"/>
      <c r="M26" s="46">
        <f t="shared" si="0"/>
        <v>28.268896533603261</v>
      </c>
      <c r="N26" s="46">
        <f t="shared" si="5"/>
        <v>23</v>
      </c>
      <c r="O26" s="50">
        <f t="shared" si="1"/>
        <v>78.531206349206343</v>
      </c>
      <c r="P26" s="50">
        <f t="shared" si="2"/>
        <v>52.063810112668314</v>
      </c>
      <c r="Q26" s="50">
        <f t="shared" si="3"/>
        <v>50.262309815603082</v>
      </c>
    </row>
    <row r="27" spans="1:21">
      <c r="A27" s="78"/>
      <c r="B27" s="46" t="str">
        <f>B19</f>
        <v>D65</v>
      </c>
      <c r="C27" s="79"/>
      <c r="D27" s="46">
        <f>(D19+D20)/2</f>
        <v>508.29999999999995</v>
      </c>
      <c r="E27" s="46">
        <f>(E19+E20)/2</f>
        <v>575.25</v>
      </c>
      <c r="F27" s="46">
        <f>(F19+F20)/2</f>
        <v>529.75</v>
      </c>
      <c r="G27" s="5">
        <f>G20</f>
        <v>33.799999999999997</v>
      </c>
      <c r="H27" s="5">
        <f>H20</f>
        <v>44.9</v>
      </c>
      <c r="I27" s="5">
        <f>I20</f>
        <v>37.299999999999997</v>
      </c>
      <c r="J27" s="99"/>
      <c r="M27" s="46">
        <f t="shared" si="0"/>
        <v>26.537348610592502</v>
      </c>
      <c r="N27" s="46">
        <f t="shared" si="5"/>
        <v>24</v>
      </c>
      <c r="O27" s="50">
        <f t="shared" si="1"/>
        <v>76.182609523809518</v>
      </c>
      <c r="P27" s="50">
        <f t="shared" si="2"/>
        <v>51.968513327837314</v>
      </c>
      <c r="Q27" s="50">
        <f t="shared" si="3"/>
        <v>49.645260913217015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553.95000000000005</v>
      </c>
      <c r="E28" s="46">
        <f t="shared" ref="E28:F28" si="17">(E13+E14)/2</f>
        <v>514</v>
      </c>
      <c r="F28" s="46">
        <f t="shared" si="17"/>
        <v>155.85000000000002</v>
      </c>
      <c r="G28" s="5">
        <f t="shared" ref="G28:I28" si="18">G15</f>
        <v>86.7</v>
      </c>
      <c r="H28" s="5">
        <f t="shared" si="18"/>
        <v>29.2</v>
      </c>
      <c r="I28" s="5">
        <f t="shared" si="18"/>
        <v>34.5</v>
      </c>
      <c r="J28" s="99">
        <f>AVERAGE(G28:I30)</f>
        <v>46.266666666666666</v>
      </c>
      <c r="M28" s="46">
        <f t="shared" si="0"/>
        <v>24.805800687581751</v>
      </c>
      <c r="N28" s="46">
        <f t="shared" si="5"/>
        <v>25</v>
      </c>
      <c r="O28" s="50">
        <f t="shared" si="1"/>
        <v>73.834012698412693</v>
      </c>
      <c r="P28" s="50">
        <f t="shared" si="2"/>
        <v>51.873216543006322</v>
      </c>
      <c r="Q28" s="50">
        <f t="shared" si="3"/>
        <v>49.028212010830941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</v>
      </c>
      <c r="E29" s="46">
        <f t="shared" si="20"/>
        <v>1211</v>
      </c>
      <c r="F29" s="46">
        <f t="shared" si="20"/>
        <v>649</v>
      </c>
      <c r="G29" s="5">
        <f t="shared" ref="G29:I29" si="21">G18</f>
        <v>59</v>
      </c>
      <c r="H29" s="5">
        <f t="shared" si="21"/>
        <v>75.8</v>
      </c>
      <c r="I29" s="5">
        <f t="shared" si="21"/>
        <v>41.6</v>
      </c>
      <c r="J29" s="99"/>
      <c r="M29" s="46">
        <f t="shared" si="0"/>
        <v>23.074252764571</v>
      </c>
      <c r="N29" s="46">
        <f t="shared" si="5"/>
        <v>26</v>
      </c>
      <c r="O29" s="50">
        <f t="shared" si="1"/>
        <v>71.485415873015867</v>
      </c>
      <c r="P29" s="50">
        <f t="shared" si="2"/>
        <v>51.777919758175322</v>
      </c>
      <c r="Q29" s="50">
        <f t="shared" si="3"/>
        <v>48.411163108444867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508.29999999999995</v>
      </c>
      <c r="E30" s="46">
        <f t="shared" si="23"/>
        <v>575.25</v>
      </c>
      <c r="F30" s="46">
        <f t="shared" si="23"/>
        <v>529.75</v>
      </c>
      <c r="G30" s="5">
        <f t="shared" ref="G30:I30" si="24">G21</f>
        <v>25.7</v>
      </c>
      <c r="H30" s="5">
        <f t="shared" si="24"/>
        <v>35.200000000000003</v>
      </c>
      <c r="I30" s="5">
        <f t="shared" si="24"/>
        <v>28.7</v>
      </c>
      <c r="J30" s="99"/>
      <c r="M30" s="46">
        <f t="shared" si="0"/>
        <v>21.342704841560234</v>
      </c>
      <c r="N30" s="46">
        <f t="shared" si="5"/>
        <v>27</v>
      </c>
      <c r="O30" s="50">
        <f t="shared" si="1"/>
        <v>69.136819047619042</v>
      </c>
      <c r="P30" s="50">
        <f t="shared" si="2"/>
        <v>51.682622973344323</v>
      </c>
      <c r="Q30" s="50">
        <f t="shared" si="3"/>
        <v>47.794114206058808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553.95000000000005</v>
      </c>
      <c r="E31" s="46">
        <f t="shared" si="25"/>
        <v>514</v>
      </c>
      <c r="F31" s="46">
        <f t="shared" si="25"/>
        <v>155.85000000000002</v>
      </c>
      <c r="G31" s="5">
        <f t="shared" ref="G31:I33" si="26">G22*$J$31</f>
        <v>85.8</v>
      </c>
      <c r="H31" s="5">
        <f t="shared" si="26"/>
        <v>32.6</v>
      </c>
      <c r="I31" s="5">
        <f t="shared" si="26"/>
        <v>38</v>
      </c>
      <c r="J31" s="96">
        <f>J$22/J22</f>
        <v>1</v>
      </c>
      <c r="M31" s="46">
        <f t="shared" si="0"/>
        <v>19.611156918549483</v>
      </c>
      <c r="N31" s="46">
        <f t="shared" si="5"/>
        <v>28</v>
      </c>
      <c r="O31" s="50">
        <f t="shared" si="1"/>
        <v>66.788222222222217</v>
      </c>
      <c r="P31" s="50">
        <f t="shared" si="2"/>
        <v>51.587326188513323</v>
      </c>
      <c r="Q31" s="50">
        <f t="shared" si="3"/>
        <v>47.177065303672734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</v>
      </c>
      <c r="E32" s="46">
        <f t="shared" si="27"/>
        <v>1211</v>
      </c>
      <c r="F32" s="46">
        <f t="shared" si="27"/>
        <v>649</v>
      </c>
      <c r="G32" s="5">
        <f t="shared" si="26"/>
        <v>68.7</v>
      </c>
      <c r="H32" s="5">
        <f t="shared" si="26"/>
        <v>79.900000000000006</v>
      </c>
      <c r="I32" s="5">
        <f t="shared" si="26"/>
        <v>44.6</v>
      </c>
      <c r="J32" s="96"/>
      <c r="M32" s="46">
        <f t="shared" si="0"/>
        <v>17.879608995538732</v>
      </c>
      <c r="N32" s="46">
        <f t="shared" si="5"/>
        <v>29</v>
      </c>
      <c r="O32" s="50">
        <f t="shared" si="1"/>
        <v>64.439625396825392</v>
      </c>
      <c r="P32" s="50">
        <f t="shared" si="2"/>
        <v>51.492029403682331</v>
      </c>
      <c r="Q32" s="50">
        <f t="shared" si="3"/>
        <v>46.56001640128666</v>
      </c>
    </row>
    <row r="33" spans="1:17">
      <c r="A33" s="78"/>
      <c r="B33" s="46" t="str">
        <f t="shared" si="27"/>
        <v>D65</v>
      </c>
      <c r="C33" s="79"/>
      <c r="D33" s="46">
        <f t="shared" si="27"/>
        <v>508.29999999999995</v>
      </c>
      <c r="E33" s="46">
        <f t="shared" si="27"/>
        <v>575.25</v>
      </c>
      <c r="F33" s="46">
        <f t="shared" si="27"/>
        <v>529.75</v>
      </c>
      <c r="G33" s="5">
        <f t="shared" si="26"/>
        <v>28.8</v>
      </c>
      <c r="H33" s="5">
        <f t="shared" si="26"/>
        <v>38.6</v>
      </c>
      <c r="I33" s="5">
        <f t="shared" si="26"/>
        <v>31.9</v>
      </c>
      <c r="J33" s="96"/>
      <c r="M33" s="46">
        <f t="shared" si="0"/>
        <v>16.148061072527973</v>
      </c>
      <c r="N33" s="46">
        <f t="shared" si="5"/>
        <v>30</v>
      </c>
      <c r="O33" s="50">
        <f t="shared" si="1"/>
        <v>62.091028571428566</v>
      </c>
      <c r="P33" s="50">
        <f t="shared" si="2"/>
        <v>51.396732618851331</v>
      </c>
      <c r="Q33" s="50">
        <f t="shared" si="3"/>
        <v>45.942967498900593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553.95000000000005</v>
      </c>
      <c r="E34" s="46">
        <f t="shared" si="27"/>
        <v>514</v>
      </c>
      <c r="F34" s="46">
        <f t="shared" si="27"/>
        <v>155.85000000000002</v>
      </c>
      <c r="G34" s="5">
        <f t="shared" ref="G34:I36" si="28">G25*$J$34</f>
        <v>84.689918730650163</v>
      </c>
      <c r="H34" s="5">
        <f t="shared" si="28"/>
        <v>33.181075851393196</v>
      </c>
      <c r="I34" s="5">
        <f t="shared" si="28"/>
        <v>38.479624613003097</v>
      </c>
      <c r="J34" s="96">
        <f>J$22/J25</f>
        <v>0.86861455108359142</v>
      </c>
      <c r="M34" s="46">
        <f t="shared" si="0"/>
        <v>14.416513149517215</v>
      </c>
      <c r="N34" s="46">
        <f t="shared" si="5"/>
        <v>31</v>
      </c>
      <c r="O34" s="50">
        <f t="shared" si="1"/>
        <v>59.742431746031741</v>
      </c>
      <c r="P34" s="50">
        <f t="shared" si="2"/>
        <v>51.301435834020332</v>
      </c>
      <c r="Q34" s="50">
        <f t="shared" si="3"/>
        <v>45.325918596514526</v>
      </c>
    </row>
    <row r="35" spans="1:17">
      <c r="A35" s="78"/>
      <c r="B35" s="46" t="str">
        <f t="shared" si="27"/>
        <v>CWF</v>
      </c>
      <c r="C35" s="79"/>
      <c r="D35" s="46">
        <f t="shared" si="27"/>
        <v>1201</v>
      </c>
      <c r="E35" s="46">
        <f t="shared" si="27"/>
        <v>1211</v>
      </c>
      <c r="F35" s="46">
        <f t="shared" si="27"/>
        <v>649</v>
      </c>
      <c r="G35" s="5">
        <f t="shared" si="28"/>
        <v>68.186242260061931</v>
      </c>
      <c r="H35" s="5">
        <f t="shared" si="28"/>
        <v>78.783339783281747</v>
      </c>
      <c r="I35" s="5">
        <f t="shared" si="28"/>
        <v>44.820510835913318</v>
      </c>
      <c r="J35" s="96"/>
      <c r="M35" s="46">
        <f t="shared" si="0"/>
        <v>12.684965226506463</v>
      </c>
      <c r="N35" s="46">
        <f t="shared" si="5"/>
        <v>32</v>
      </c>
      <c r="O35" s="50">
        <f t="shared" si="1"/>
        <v>57.393834920634916</v>
      </c>
      <c r="P35" s="50">
        <f t="shared" si="2"/>
        <v>51.206139049189332</v>
      </c>
      <c r="Q35" s="50">
        <f t="shared" si="3"/>
        <v>44.708869694128452</v>
      </c>
    </row>
    <row r="36" spans="1:17">
      <c r="A36" s="78"/>
      <c r="B36" s="46" t="str">
        <f t="shared" si="27"/>
        <v>D65</v>
      </c>
      <c r="C36" s="79"/>
      <c r="D36" s="46">
        <f t="shared" si="27"/>
        <v>508.29999999999995</v>
      </c>
      <c r="E36" s="46">
        <f t="shared" si="27"/>
        <v>575.25</v>
      </c>
      <c r="F36" s="46">
        <f t="shared" si="27"/>
        <v>529.75</v>
      </c>
      <c r="G36" s="5">
        <f t="shared" si="28"/>
        <v>29.359171826625388</v>
      </c>
      <c r="H36" s="5">
        <f t="shared" si="28"/>
        <v>39.000793343653257</v>
      </c>
      <c r="I36" s="5">
        <f t="shared" si="28"/>
        <v>32.399322755417955</v>
      </c>
      <c r="J36" s="96"/>
      <c r="M36" s="46">
        <f t="shared" si="0"/>
        <v>10.953417303495705</v>
      </c>
      <c r="N36" s="46">
        <f t="shared" si="5"/>
        <v>33</v>
      </c>
      <c r="O36" s="50">
        <f t="shared" si="1"/>
        <v>55.045238095238091</v>
      </c>
      <c r="P36" s="50">
        <f t="shared" si="2"/>
        <v>51.11084226435834</v>
      </c>
      <c r="Q36" s="50">
        <f t="shared" si="3"/>
        <v>44.091820791742386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553.95000000000005</v>
      </c>
      <c r="E37" s="46">
        <f t="shared" si="27"/>
        <v>514</v>
      </c>
      <c r="F37" s="46">
        <f t="shared" si="27"/>
        <v>155.85000000000002</v>
      </c>
      <c r="G37" s="5">
        <f t="shared" ref="G37:I39" si="29">G28*$J$37</f>
        <v>93.466930835734871</v>
      </c>
      <c r="H37" s="5">
        <f t="shared" si="29"/>
        <v>31.479058597502402</v>
      </c>
      <c r="I37" s="5">
        <f t="shared" si="29"/>
        <v>37.19272334293948</v>
      </c>
      <c r="J37" s="96">
        <f>J$22/J28</f>
        <v>1.0780499519692603</v>
      </c>
      <c r="K37" s="51" t="str">
        <f>CHAR(34) &amp; "EEpromVersion" &amp;CHAR(34)  &amp; ",3,"</f>
        <v>"EEpromVersion",3,</v>
      </c>
      <c r="M37" s="46">
        <f t="shared" si="0"/>
        <v>9.2218693804849465</v>
      </c>
      <c r="N37" s="46">
        <f t="shared" si="5"/>
        <v>34</v>
      </c>
      <c r="O37" s="50">
        <f t="shared" si="1"/>
        <v>52.696641269841265</v>
      </c>
      <c r="P37" s="50">
        <f t="shared" si="2"/>
        <v>51.01554547952734</v>
      </c>
      <c r="Q37" s="50">
        <f t="shared" si="3"/>
        <v>43.474771889356319</v>
      </c>
    </row>
    <row r="38" spans="1:17">
      <c r="A38" s="78"/>
      <c r="B38" s="46" t="str">
        <f t="shared" si="27"/>
        <v>CWF</v>
      </c>
      <c r="C38" s="79"/>
      <c r="D38" s="46">
        <f t="shared" si="27"/>
        <v>1201</v>
      </c>
      <c r="E38" s="46">
        <f t="shared" si="27"/>
        <v>1211</v>
      </c>
      <c r="F38" s="46">
        <f t="shared" si="27"/>
        <v>649</v>
      </c>
      <c r="G38" s="5">
        <f t="shared" si="29"/>
        <v>63.604947166186363</v>
      </c>
      <c r="H38" s="5">
        <f t="shared" si="29"/>
        <v>81.716186359269926</v>
      </c>
      <c r="I38" s="5">
        <f t="shared" si="29"/>
        <v>44.846878001921233</v>
      </c>
      <c r="J38" s="96"/>
      <c r="K38" s="52" t="str">
        <f>K4</f>
        <v>"Compensation",35,</v>
      </c>
      <c r="M38" s="46">
        <f t="shared" si="0"/>
        <v>8.0625257077260954</v>
      </c>
      <c r="N38" s="46">
        <f t="shared" si="5"/>
        <v>35</v>
      </c>
      <c r="O38" s="50">
        <f t="shared" si="1"/>
        <v>50.34804444444444</v>
      </c>
      <c r="P38" s="50">
        <f t="shared" si="2"/>
        <v>50.92024869469634</v>
      </c>
      <c r="Q38" s="50">
        <f t="shared" si="3"/>
        <v>42.857722986970245</v>
      </c>
    </row>
    <row r="39" spans="1:17">
      <c r="A39" s="78"/>
      <c r="B39" s="46" t="str">
        <f t="shared" si="27"/>
        <v>D65</v>
      </c>
      <c r="C39" s="79"/>
      <c r="D39" s="46">
        <f t="shared" si="27"/>
        <v>508.29999999999995</v>
      </c>
      <c r="E39" s="46">
        <f t="shared" si="27"/>
        <v>575.25</v>
      </c>
      <c r="F39" s="46">
        <f t="shared" si="27"/>
        <v>529.75</v>
      </c>
      <c r="G39" s="5">
        <f t="shared" si="29"/>
        <v>27.70588376560999</v>
      </c>
      <c r="H39" s="5">
        <f t="shared" si="29"/>
        <v>37.94735830931797</v>
      </c>
      <c r="I39" s="5">
        <f t="shared" si="29"/>
        <v>30.94003362151777</v>
      </c>
      <c r="J39" s="96"/>
      <c r="K39" s="53" t="str">
        <f>linefmt("CardGain",J42,J45,J48)</f>
        <v>"CardGain",15.04416,15.85125,13.85285,</v>
      </c>
      <c r="M39" s="46">
        <f t="shared" si="0"/>
        <v>8.5842778252811627</v>
      </c>
      <c r="N39" s="46">
        <f t="shared" si="5"/>
        <v>36</v>
      </c>
      <c r="O39" s="50">
        <f t="shared" si="1"/>
        <v>47.999447619047615</v>
      </c>
      <c r="P39" s="50">
        <f t="shared" si="2"/>
        <v>50.824951909865341</v>
      </c>
      <c r="Q39" s="50">
        <f t="shared" si="3"/>
        <v>42.240674084584178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"Range",1,0.8686146,1.07805,</v>
      </c>
      <c r="M40" s="46">
        <f t="shared" si="0"/>
        <v>9.106029942836237</v>
      </c>
      <c r="N40" s="46">
        <f t="shared" si="5"/>
        <v>37</v>
      </c>
      <c r="O40" s="50">
        <f t="shared" si="1"/>
        <v>45.65085079365079</v>
      </c>
      <c r="P40" s="50">
        <f t="shared" si="2"/>
        <v>50.729655125034348</v>
      </c>
      <c r="Q40" s="50">
        <f t="shared" si="3"/>
        <v>41.623625182198111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9.6277820603913113</v>
      </c>
      <c r="N41" s="46">
        <f t="shared" si="5"/>
        <v>38</v>
      </c>
      <c r="O41" s="50">
        <f t="shared" si="1"/>
        <v>43.302253968253964</v>
      </c>
      <c r="P41" s="50">
        <f t="shared" si="2"/>
        <v>50.634358340203349</v>
      </c>
      <c r="Q41" s="50">
        <f t="shared" si="3"/>
        <v>41.006576279812037</v>
      </c>
    </row>
    <row r="42" spans="1:17">
      <c r="A42" s="4"/>
      <c r="B42" s="46" t="s">
        <v>3</v>
      </c>
      <c r="C42" s="79">
        <f>C31</f>
        <v>0</v>
      </c>
      <c r="D42" s="46">
        <f>I42/$H$43</f>
        <v>0.20239675951749156</v>
      </c>
      <c r="E42" s="46">
        <f>H42/$H$43</f>
        <v>1.0349190468366147</v>
      </c>
      <c r="F42" s="46">
        <f>G42/$H$43</f>
        <v>-0.37585244008937629</v>
      </c>
      <c r="G42" s="46">
        <f t="array" ref="G42:I42">LINEST($D31:$D33,$G31:$I33,FALSE)</f>
        <v>-5.6543822561214228</v>
      </c>
      <c r="H42" s="46">
        <v>15.56948225096931</v>
      </c>
      <c r="I42" s="46">
        <v>3.0448881625992321</v>
      </c>
      <c r="J42" s="97">
        <f>H43</f>
        <v>15.044154708099891</v>
      </c>
      <c r="K42" s="53" t="str">
        <f t="shared" ref="K42:K50" si="30">linefmt("",D42,E42,F42)</f>
        <v>0.2023968,1.034919,-0.3758524,</v>
      </c>
      <c r="M42" s="46">
        <f t="shared" si="0"/>
        <v>10.149534177946379</v>
      </c>
      <c r="N42" s="46">
        <f t="shared" si="5"/>
        <v>39</v>
      </c>
      <c r="O42" s="50">
        <f t="shared" si="1"/>
        <v>40.953657142857139</v>
      </c>
      <c r="P42" s="50">
        <f t="shared" si="2"/>
        <v>50.539061555372349</v>
      </c>
      <c r="Q42" s="50">
        <f t="shared" si="3"/>
        <v>40.389527377425971</v>
      </c>
    </row>
    <row r="43" spans="1:17">
      <c r="A43" s="4"/>
      <c r="B43" s="46" t="s">
        <v>4</v>
      </c>
      <c r="C43" s="79"/>
      <c r="D43" s="46">
        <f>I43/$H$43</f>
        <v>3.8801169388239881E-2</v>
      </c>
      <c r="E43" s="46">
        <f>H43/$H$43</f>
        <v>1</v>
      </c>
      <c r="F43" s="46">
        <f>G43/$H$43</f>
        <v>-4.6395962980140072E-2</v>
      </c>
      <c r="G43" s="46">
        <f t="array" ref="G43:I43">LINEST($E31:$E33,$G31:$I33,FALSE)</f>
        <v>-0.6979880449045025</v>
      </c>
      <c r="H43" s="46">
        <v>15.044154708099891</v>
      </c>
      <c r="I43" s="46">
        <v>0.58373079513187032</v>
      </c>
      <c r="J43" s="97"/>
      <c r="K43" s="53" t="str">
        <f t="shared" si="30"/>
        <v>3.880117E-02,1,-4.639596E-02,</v>
      </c>
      <c r="M43" s="46">
        <f t="shared" si="0"/>
        <v>11.838704453081036</v>
      </c>
      <c r="N43" s="46">
        <f t="shared" si="5"/>
        <v>40</v>
      </c>
      <c r="O43" s="50">
        <f t="shared" si="1"/>
        <v>38.605060317460314</v>
      </c>
      <c r="P43" s="50">
        <f t="shared" si="2"/>
        <v>50.44376477054135</v>
      </c>
      <c r="Q43" s="50">
        <f t="shared" si="3"/>
        <v>39.772478475039904</v>
      </c>
    </row>
    <row r="44" spans="1:17">
      <c r="A44" s="4"/>
      <c r="B44" s="46" t="s">
        <v>5</v>
      </c>
      <c r="C44" s="79"/>
      <c r="D44" s="46">
        <f>I44/$H$43</f>
        <v>-0.52491142028596904</v>
      </c>
      <c r="E44" s="46">
        <f>H44/$H$43</f>
        <v>0.34061809489007761</v>
      </c>
      <c r="F44" s="46">
        <f>G44/$H$43</f>
        <v>1.1655988220622508</v>
      </c>
      <c r="G44" s="46">
        <f t="array" ref="G44:I44">LINEST($F$31:$F$33,$G31:$I33,FALSE)</f>
        <v>17.535449006683496</v>
      </c>
      <c r="H44" s="46">
        <v>5.1243113159045759</v>
      </c>
      <c r="I44" s="46">
        <v>-7.896848614830561</v>
      </c>
      <c r="J44" s="97"/>
      <c r="K44" s="53" t="str">
        <f t="shared" si="30"/>
        <v>-0.5249114,0.3406181,1.165599,</v>
      </c>
      <c r="M44" s="46">
        <f t="shared" si="0"/>
        <v>14.092004493646868</v>
      </c>
      <c r="N44" s="46">
        <f t="shared" si="5"/>
        <v>41</v>
      </c>
      <c r="O44" s="50">
        <f t="shared" si="1"/>
        <v>36.256463492063489</v>
      </c>
      <c r="P44" s="50">
        <f t="shared" si="2"/>
        <v>50.348467985710357</v>
      </c>
      <c r="Q44" s="50">
        <f t="shared" si="3"/>
        <v>39.15542957265383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0.20929021515360346</v>
      </c>
      <c r="E45" s="46">
        <f>H45/$H$46</f>
        <v>1.0324346750214057</v>
      </c>
      <c r="F45" s="46">
        <f>G45/$H$46</f>
        <v>-0.44270931360827215</v>
      </c>
      <c r="G45" s="46">
        <f t="array" ref="G45:I45">LINEST($D34:$D36,$G34:$I36,FALSE)</f>
        <v>-7.0174948795622099</v>
      </c>
      <c r="H45" s="46">
        <v>16.365377512378164</v>
      </c>
      <c r="I45" s="46">
        <v>3.3175109898014186</v>
      </c>
      <c r="J45" s="97">
        <f>H46</f>
        <v>15.851247452570165</v>
      </c>
      <c r="K45" s="53" t="str">
        <f t="shared" si="30"/>
        <v>0.2092902,1.032435,-0.4427093,</v>
      </c>
      <c r="M45" s="46">
        <f t="shared" si="0"/>
        <v>16.345304534212694</v>
      </c>
      <c r="N45" s="46">
        <f t="shared" si="5"/>
        <v>42</v>
      </c>
      <c r="O45" s="50">
        <f t="shared" si="1"/>
        <v>33.907866666666663</v>
      </c>
      <c r="P45" s="50">
        <f t="shared" si="2"/>
        <v>50.253171200879358</v>
      </c>
      <c r="Q45" s="50">
        <f t="shared" si="3"/>
        <v>38.538380670267763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4.9463071481661736E-2</v>
      </c>
      <c r="E46" s="46">
        <f>H46/$H$46</f>
        <v>1</v>
      </c>
      <c r="F46" s="46">
        <f>G46/$H$46</f>
        <v>-0.12847394962948952</v>
      </c>
      <c r="G46" s="46">
        <f t="array" ref="G46:I46">LINEST($E34:$E36,$G34:$I36,FALSE)</f>
        <v>-2.0364723667860734</v>
      </c>
      <c r="H46" s="46">
        <v>15.851247452570165</v>
      </c>
      <c r="I46" s="46">
        <v>0.78405138581998657</v>
      </c>
      <c r="J46" s="97"/>
      <c r="K46" s="53" t="str">
        <f t="shared" si="30"/>
        <v>4.946307E-02,1,-0.128474,</v>
      </c>
      <c r="M46" s="46">
        <f t="shared" si="0"/>
        <v>18.59860457477852</v>
      </c>
      <c r="N46" s="46">
        <f t="shared" si="5"/>
        <v>43</v>
      </c>
      <c r="O46" s="50">
        <f t="shared" si="1"/>
        <v>31.559269841269838</v>
      </c>
      <c r="P46" s="50">
        <f t="shared" si="2"/>
        <v>50.157874416048358</v>
      </c>
      <c r="Q46" s="50">
        <f t="shared" si="3"/>
        <v>37.921331767881696</v>
      </c>
    </row>
    <row r="47" spans="1:17">
      <c r="A47" s="4"/>
      <c r="B47" s="46" t="str">
        <f t="shared" si="31"/>
        <v>Z</v>
      </c>
      <c r="C47" s="79"/>
      <c r="D47" s="46">
        <f>I47/$H$46</f>
        <v>-0.50704372373264683</v>
      </c>
      <c r="E47" s="46">
        <f>H47/$H$46</f>
        <v>0.34999103643100987</v>
      </c>
      <c r="F47" s="46">
        <f>G47/$H$46</f>
        <v>1.0696686050564976</v>
      </c>
      <c r="G47" s="46">
        <f t="array" ref="G47:I47">LINEST($F$31:$F$33,$G34:$I36,FALSE)</f>
        <v>16.955581750996089</v>
      </c>
      <c r="H47" s="46">
        <v>5.5477945246494373</v>
      </c>
      <c r="I47" s="46">
        <v>-8.0372755341588089</v>
      </c>
      <c r="J47" s="97"/>
      <c r="K47" s="53" t="str">
        <f t="shared" si="30"/>
        <v>-0.5070437,0.349991,1.069669,</v>
      </c>
      <c r="M47" s="46">
        <f t="shared" si="0"/>
        <v>20.851904615344353</v>
      </c>
      <c r="N47" s="46">
        <f t="shared" si="5"/>
        <v>44</v>
      </c>
      <c r="O47" s="50">
        <f t="shared" si="1"/>
        <v>29.210673015873013</v>
      </c>
      <c r="P47" s="50">
        <f t="shared" si="2"/>
        <v>50.062577631217366</v>
      </c>
      <c r="Q47" s="50">
        <f t="shared" si="3"/>
        <v>37.304282865495622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0.1876188692357576</v>
      </c>
      <c r="E48" s="46">
        <f>H48/$H$49</f>
        <v>1.0898581627141974</v>
      </c>
      <c r="F48" s="46">
        <f>G48/$H$49</f>
        <v>-0.31876411600532562</v>
      </c>
      <c r="G48" s="46">
        <f t="array" ref="G48:I48">LINEST($D37:$D39,$G37:$I39,FALSE)</f>
        <v>-4.4157912655095908</v>
      </c>
      <c r="H48" s="46">
        <v>15.097640900951596</v>
      </c>
      <c r="I48" s="46">
        <v>2.5990559238550017</v>
      </c>
      <c r="J48" s="97">
        <f>H49</f>
        <v>13.852849313301677</v>
      </c>
      <c r="K48" s="53" t="str">
        <f t="shared" si="30"/>
        <v>0.1876189,1.089858,-0.3187641,</v>
      </c>
      <c r="M48" s="46">
        <f t="shared" si="0"/>
        <v>23.105204655910178</v>
      </c>
      <c r="N48" s="46">
        <f t="shared" si="5"/>
        <v>45</v>
      </c>
      <c r="O48" s="50">
        <f t="shared" si="1"/>
        <v>26.862076190476188</v>
      </c>
      <c r="P48" s="50">
        <f t="shared" si="2"/>
        <v>49.967280846386366</v>
      </c>
      <c r="Q48" s="50">
        <f t="shared" si="3"/>
        <v>36.687233963109556</v>
      </c>
    </row>
    <row r="49" spans="1:24">
      <c r="A49" s="4"/>
      <c r="B49" s="46" t="str">
        <f t="shared" si="31"/>
        <v>Y</v>
      </c>
      <c r="C49" s="79"/>
      <c r="D49" s="46">
        <f>I49/$H$49</f>
        <v>2.2001726461302013E-2</v>
      </c>
      <c r="E49" s="46">
        <f>H49/$H$49</f>
        <v>1</v>
      </c>
      <c r="F49" s="46">
        <f>G49/$H$49</f>
        <v>9.5953919385865324E-2</v>
      </c>
      <c r="G49" s="46">
        <f t="array" ref="G49:I49">LINEST($E37:$E39,$G37:$I39,FALSE)</f>
        <v>1.3292351862730889</v>
      </c>
      <c r="H49" s="46">
        <v>13.852849313301677</v>
      </c>
      <c r="I49" s="46">
        <v>0.30478660130089891</v>
      </c>
      <c r="J49" s="97"/>
      <c r="K49" s="53" t="str">
        <f t="shared" si="30"/>
        <v>2.200173E-02,1,9.595392E-02,</v>
      </c>
      <c r="M49" s="46">
        <f t="shared" si="0"/>
        <v>25.358504696476004</v>
      </c>
      <c r="N49" s="46">
        <f t="shared" si="5"/>
        <v>46</v>
      </c>
      <c r="O49" s="50">
        <f t="shared" si="1"/>
        <v>24.513479365079363</v>
      </c>
      <c r="P49" s="50">
        <f t="shared" si="2"/>
        <v>49.871984061555366</v>
      </c>
      <c r="Q49" s="50">
        <f t="shared" si="3"/>
        <v>36.070185060723489</v>
      </c>
    </row>
    <row r="50" spans="1:24">
      <c r="A50" s="4"/>
      <c r="B50" s="46" t="str">
        <f t="shared" si="31"/>
        <v>Z</v>
      </c>
      <c r="C50" s="79"/>
      <c r="D50" s="46">
        <f>I50/$H$49</f>
        <v>-0.54099223218303494</v>
      </c>
      <c r="E50" s="46">
        <f>H50/$H$49</f>
        <v>0.15362999269778529</v>
      </c>
      <c r="F50" s="46">
        <f>G50/$H$49</f>
        <v>1.5319972285027628</v>
      </c>
      <c r="G50" s="46">
        <f t="array" ref="G50:I50">LINEST($F$31:$F$33,$G37:$I39,FALSE)</f>
        <v>21.222526754844569</v>
      </c>
      <c r="H50" s="46">
        <v>2.1282131388460566</v>
      </c>
      <c r="I50" s="46">
        <v>-7.4942838720982969</v>
      </c>
      <c r="J50" s="97"/>
      <c r="K50" s="54" t="str">
        <f t="shared" si="30"/>
        <v>-0.5409923,0.15363,1.531997,</v>
      </c>
      <c r="M50" s="46">
        <f t="shared" si="0"/>
        <v>27.61180473704183</v>
      </c>
      <c r="N50" s="46">
        <f t="shared" si="5"/>
        <v>47</v>
      </c>
      <c r="O50" s="50">
        <f t="shared" si="1"/>
        <v>22.164882539682537</v>
      </c>
      <c r="P50" s="50">
        <f t="shared" si="2"/>
        <v>49.776687276724367</v>
      </c>
      <c r="Q50" s="50">
        <f t="shared" si="3"/>
        <v>35.453136158337415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0.19976861463561754</v>
      </c>
      <c r="E51" s="46">
        <f t="shared" ref="E51:F51" si="32">(E42+E45+E48)/3</f>
        <v>1.0524039615240726</v>
      </c>
      <c r="F51" s="46">
        <f t="shared" si="32"/>
        <v>-0.37910862323432465</v>
      </c>
      <c r="J51" s="97">
        <f>(J42+J45+J48)/3</f>
        <v>14.916083824657244</v>
      </c>
      <c r="M51" s="46">
        <f t="shared" si="0"/>
        <v>29.865104777607641</v>
      </c>
      <c r="N51" s="46">
        <f t="shared" si="5"/>
        <v>48</v>
      </c>
      <c r="O51" s="50">
        <f t="shared" si="1"/>
        <v>19.816285714285726</v>
      </c>
      <c r="P51" s="50">
        <f t="shared" si="2"/>
        <v>49.681390491893367</v>
      </c>
      <c r="Q51" s="50">
        <f t="shared" si="3"/>
        <v>34.836087255951348</v>
      </c>
    </row>
    <row r="52" spans="1:24">
      <c r="B52" s="46" t="str">
        <f t="shared" si="31"/>
        <v>Y</v>
      </c>
      <c r="C52" s="79"/>
      <c r="D52" s="46">
        <f t="shared" ref="D52:F53" si="33">(D43+D46+D49)/3</f>
        <v>3.6755322443734542E-2</v>
      </c>
      <c r="E52" s="46">
        <f t="shared" si="33"/>
        <v>1</v>
      </c>
      <c r="F52" s="46">
        <f t="shared" si="33"/>
        <v>-2.6305331074588087E-2</v>
      </c>
      <c r="J52" s="97"/>
      <c r="M52" s="46">
        <f t="shared" si="0"/>
        <v>32.118404818173474</v>
      </c>
      <c r="N52" s="46">
        <f t="shared" si="5"/>
        <v>49</v>
      </c>
      <c r="O52" s="50">
        <f t="shared" si="1"/>
        <v>17.467688888888901</v>
      </c>
      <c r="P52" s="50">
        <f t="shared" si="2"/>
        <v>49.586093707062375</v>
      </c>
      <c r="Q52" s="50">
        <f t="shared" si="3"/>
        <v>34.219038353565281</v>
      </c>
    </row>
    <row r="53" spans="1:24" ht="15.75" thickBot="1">
      <c r="B53" s="46" t="str">
        <f t="shared" si="31"/>
        <v>Z</v>
      </c>
      <c r="C53" s="79"/>
      <c r="D53" s="46">
        <f t="shared" si="33"/>
        <v>-0.5243157920672169</v>
      </c>
      <c r="E53" s="46">
        <f t="shared" si="33"/>
        <v>0.28141304133962425</v>
      </c>
      <c r="F53" s="46">
        <f t="shared" si="33"/>
        <v>1.2557548852071705</v>
      </c>
      <c r="J53" s="100"/>
      <c r="M53" s="46">
        <f t="shared" si="0"/>
        <v>34.371704858739299</v>
      </c>
      <c r="N53" s="46">
        <f t="shared" si="5"/>
        <v>50</v>
      </c>
      <c r="O53" s="50">
        <f t="shared" si="1"/>
        <v>15.119092063492076</v>
      </c>
      <c r="P53" s="50">
        <f t="shared" si="2"/>
        <v>49.490796922231375</v>
      </c>
      <c r="Q53" s="50">
        <f t="shared" si="3"/>
        <v>33.601989451179207</v>
      </c>
    </row>
    <row r="54" spans="1:24">
      <c r="B54" s="79" t="s">
        <v>14</v>
      </c>
      <c r="C54" s="79"/>
      <c r="D54" s="19">
        <f>I54/$H$55</f>
        <v>0.19879804914911778</v>
      </c>
      <c r="E54" s="20">
        <f>H54/$H$55</f>
        <v>1.0495395564837564</v>
      </c>
      <c r="F54" s="21">
        <f>G54/$H$55</f>
        <v>-0.38076030062189997</v>
      </c>
      <c r="G54" s="46">
        <f t="array" ref="G54:I54">LINEST(D$31:D$39,$G$31:$I$39,FALSE)</f>
        <v>-5.6896451977442899</v>
      </c>
      <c r="H54" s="46">
        <v>15.683115302822136</v>
      </c>
      <c r="I54" s="46">
        <v>2.9706100237204063</v>
      </c>
      <c r="J54" s="98">
        <f>H55</f>
        <v>14.942852992949449</v>
      </c>
      <c r="M54" s="46">
        <f t="shared" si="0"/>
        <v>36.625004899305125</v>
      </c>
      <c r="N54" s="46">
        <f t="shared" si="5"/>
        <v>51</v>
      </c>
      <c r="O54" s="50">
        <f t="shared" si="1"/>
        <v>12.770495238095251</v>
      </c>
      <c r="P54" s="50">
        <f t="shared" si="2"/>
        <v>49.395500137400376</v>
      </c>
      <c r="Q54" s="50">
        <f t="shared" si="3"/>
        <v>32.984940548793134</v>
      </c>
    </row>
    <row r="55" spans="1:24" ht="15" customHeight="1">
      <c r="B55" s="79"/>
      <c r="C55" s="79"/>
      <c r="D55" s="22">
        <f>I55/$H$55</f>
        <v>4.1239061854754781E-2</v>
      </c>
      <c r="E55" s="18">
        <f>H55/$H$55</f>
        <v>1</v>
      </c>
      <c r="F55" s="23">
        <f>G55/$H$55</f>
        <v>-4.1351274521700482E-2</v>
      </c>
      <c r="G55" s="46">
        <f t="array" ref="G55:I55">LINEST(E$31:E$39,$G$31:$I$39,FALSE)</f>
        <v>-0.61790601624886632</v>
      </c>
      <c r="H55" s="46">
        <v>14.942852992949449</v>
      </c>
      <c r="I55" s="46">
        <v>0.61622923886274994</v>
      </c>
      <c r="J55" s="98"/>
      <c r="M55" s="46">
        <f t="shared" si="0"/>
        <v>38.878304939870958</v>
      </c>
      <c r="N55" s="46">
        <f t="shared" si="5"/>
        <v>52</v>
      </c>
      <c r="O55" s="50">
        <f t="shared" si="1"/>
        <v>10.421898412698425</v>
      </c>
      <c r="P55" s="50">
        <f t="shared" si="2"/>
        <v>49.300203352569383</v>
      </c>
      <c r="Q55" s="50">
        <f t="shared" si="3"/>
        <v>32.367891646407067</v>
      </c>
    </row>
    <row r="56" spans="1:24" ht="15" customHeight="1" thickBot="1">
      <c r="B56" s="79"/>
      <c r="C56" s="79"/>
      <c r="D56" s="24">
        <f>I56/$H$55</f>
        <v>-0.50384296327241529</v>
      </c>
      <c r="E56" s="25">
        <f>H56/$H$55</f>
        <v>0.29138477571706156</v>
      </c>
      <c r="F56" s="26">
        <f>G56/$H$55</f>
        <v>1.202691634802681</v>
      </c>
      <c r="G56" s="46">
        <f t="array" ref="G56:I56">LINEST(F$31:F$39,$G$31:$I$39,FALSE)</f>
        <v>17.971644294706508</v>
      </c>
      <c r="H56" s="46">
        <v>4.3541198679235977</v>
      </c>
      <c r="I56" s="46">
        <v>-7.5288513317117305</v>
      </c>
      <c r="J56" s="98"/>
      <c r="M56" s="46">
        <f t="shared" si="0"/>
        <v>41.131604980436784</v>
      </c>
      <c r="N56" s="46">
        <f t="shared" si="5"/>
        <v>53</v>
      </c>
      <c r="O56" s="50">
        <f t="shared" si="1"/>
        <v>8.0733015873016001</v>
      </c>
      <c r="P56" s="50">
        <f t="shared" si="2"/>
        <v>49.204906567738384</v>
      </c>
      <c r="Q56" s="50">
        <f t="shared" si="3"/>
        <v>31.750842744021</v>
      </c>
    </row>
    <row r="57" spans="1:24">
      <c r="M57" s="46">
        <f t="shared" si="0"/>
        <v>43.384905021002609</v>
      </c>
      <c r="N57" s="46">
        <f t="shared" si="5"/>
        <v>54</v>
      </c>
      <c r="O57" s="50">
        <f t="shared" si="1"/>
        <v>5.7247047619047748</v>
      </c>
      <c r="P57" s="50">
        <f t="shared" si="2"/>
        <v>49.109609782907384</v>
      </c>
      <c r="Q57" s="50">
        <f t="shared" si="3"/>
        <v>31.133793841634933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45.638205061568449</v>
      </c>
      <c r="N58" s="46">
        <f t="shared" si="5"/>
        <v>55</v>
      </c>
      <c r="O58" s="50">
        <f t="shared" si="1"/>
        <v>3.3761079365079354</v>
      </c>
      <c r="P58" s="50">
        <f t="shared" si="2"/>
        <v>49.014312998076385</v>
      </c>
      <c r="Q58" s="50">
        <f t="shared" si="3"/>
        <v>30.516744939248859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47.891505102134268</v>
      </c>
      <c r="N59" s="46">
        <f t="shared" si="5"/>
        <v>56</v>
      </c>
      <c r="O59" s="50">
        <f t="shared" si="1"/>
        <v>1.0275111111111244</v>
      </c>
      <c r="P59" s="50">
        <f t="shared" si="2"/>
        <v>48.919016213245392</v>
      </c>
      <c r="Q59" s="50">
        <f t="shared" si="3"/>
        <v>29.899696036862792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514</v>
      </c>
      <c r="E60" s="32">
        <f t="shared" ref="E60:E68" si="37">getCCTfromXY(D22/SUM(D22:F22),E22/SUM(D22:F22))</f>
        <v>2883</v>
      </c>
      <c r="F60" s="31">
        <f t="shared" ref="F60:F68" si="38">V60</f>
        <v>516.52904764711911</v>
      </c>
      <c r="G60" s="32">
        <f t="shared" ref="G60:G68" si="39">getCCTfromXY(U60/X60,V60/X60)</f>
        <v>3016</v>
      </c>
      <c r="H60" s="33">
        <f>F60/D60-1</f>
        <v>4.9203261617103422E-3</v>
      </c>
      <c r="I60" s="34">
        <f t="shared" ref="I60:I68" si="40">G60/E60-1</f>
        <v>4.613250086715226E-2</v>
      </c>
      <c r="M60" s="46">
        <f t="shared" si="0"/>
        <v>50.144805142700108</v>
      </c>
      <c r="N60" s="46">
        <f t="shared" si="5"/>
        <v>57</v>
      </c>
      <c r="O60" s="50">
        <f t="shared" si="1"/>
        <v>-1.3210857142857151</v>
      </c>
      <c r="P60" s="50">
        <f t="shared" si="2"/>
        <v>48.823719428414392</v>
      </c>
      <c r="Q60" s="50">
        <f t="shared" si="3"/>
        <v>29.282647134476726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549.94138139292943</v>
      </c>
      <c r="V60" s="50">
        <f>$J$54*$J$31*($D$55*G22+$E$55*H22+$F$55*I22)</f>
        <v>516.52904764711911</v>
      </c>
      <c r="W60" s="50">
        <f>$J$54*$J$31*($D$56*G22+$E$56*H22+$F$56*I22)</f>
        <v>178.89134663229009</v>
      </c>
      <c r="X60" s="29">
        <f>SUM(U60:W60)</f>
        <v>1245.3617756723388</v>
      </c>
    </row>
    <row r="61" spans="1:24">
      <c r="A61" s="87"/>
      <c r="B61" s="48" t="str">
        <f t="shared" si="35"/>
        <v>CWF</v>
      </c>
      <c r="C61" s="93"/>
      <c r="D61" s="31">
        <f t="shared" si="36"/>
        <v>1211</v>
      </c>
      <c r="E61" s="32">
        <f t="shared" si="37"/>
        <v>3858</v>
      </c>
      <c r="F61" s="31">
        <f t="shared" si="38"/>
        <v>1208.7102945218326</v>
      </c>
      <c r="G61" s="32">
        <f t="shared" si="39"/>
        <v>3798</v>
      </c>
      <c r="H61" s="33">
        <f t="shared" ref="H61:H68" si="41">F61/D61-1</f>
        <v>-1.8907559687592057E-3</v>
      </c>
      <c r="I61" s="34">
        <f t="shared" si="40"/>
        <v>-1.5552099533437058E-2</v>
      </c>
      <c r="M61" s="46">
        <f t="shared" si="0"/>
        <v>52.398105183265919</v>
      </c>
      <c r="N61" s="46">
        <f t="shared" si="5"/>
        <v>58</v>
      </c>
      <c r="O61" s="50">
        <f t="shared" si="1"/>
        <v>-3.6696825396825261</v>
      </c>
      <c r="P61" s="50">
        <f t="shared" si="2"/>
        <v>48.728422643583393</v>
      </c>
      <c r="Q61" s="50">
        <f t="shared" si="3"/>
        <v>28.665598232090652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1203.4036455056853</v>
      </c>
      <c r="V61" s="50">
        <f>$J$54*$J$31*($D$55*G23+$E$55*H23+$F$55*I23)</f>
        <v>1208.7102945218326</v>
      </c>
      <c r="W61" s="50">
        <f>$J$54*$J$31*($D$56*G23+$E$56*H23+$F$56*I23)</f>
        <v>632.19742650240983</v>
      </c>
      <c r="X61" s="29">
        <f t="shared" ref="X61:X68" si="43">SUM(U61:W61)</f>
        <v>3044.3113665299279</v>
      </c>
    </row>
    <row r="62" spans="1:24">
      <c r="A62" s="87"/>
      <c r="B62" s="48" t="str">
        <f t="shared" si="35"/>
        <v>D65</v>
      </c>
      <c r="C62" s="93"/>
      <c r="D62" s="31">
        <f t="shared" si="36"/>
        <v>575.25</v>
      </c>
      <c r="E62" s="32">
        <f t="shared" si="37"/>
        <v>6339</v>
      </c>
      <c r="F62" s="31">
        <f t="shared" si="38"/>
        <v>574.83032568875706</v>
      </c>
      <c r="G62" s="32">
        <f t="shared" si="39"/>
        <v>6263</v>
      </c>
      <c r="H62" s="33">
        <f t="shared" si="41"/>
        <v>-7.2955117121764612E-4</v>
      </c>
      <c r="I62" s="34">
        <f t="shared" si="40"/>
        <v>-1.1989272755955183E-2</v>
      </c>
      <c r="M62" s="46">
        <f t="shared" si="0"/>
        <v>54.651405223831759</v>
      </c>
      <c r="N62" s="46">
        <f t="shared" si="5"/>
        <v>59</v>
      </c>
      <c r="O62" s="50">
        <f t="shared" si="1"/>
        <v>-6.0182793650793656</v>
      </c>
      <c r="P62" s="50">
        <f t="shared" si="2"/>
        <v>48.633125858752393</v>
      </c>
      <c r="Q62" s="50">
        <f t="shared" si="3"/>
        <v>28.048549329704585</v>
      </c>
      <c r="R62" s="78"/>
      <c r="S62" s="46" t="str">
        <f t="shared" si="42"/>
        <v>D65</v>
      </c>
      <c r="T62" s="79"/>
      <c r="U62" s="50">
        <f>$J$54*$J$31*($D$54*G24+$E$54*H24+$F$54*I24)</f>
        <v>509.4221375640393</v>
      </c>
      <c r="V62" s="50">
        <f>$J$54*$J$31*($D$55*G24+$E$55*H24+$F$55*I24)</f>
        <v>574.83032568875706</v>
      </c>
      <c r="W62" s="50">
        <f>$J$54*$J$31*($D$56*G24+$E$56*H24+$F$56*I24)</f>
        <v>524.53356154969049</v>
      </c>
      <c r="X62" s="29">
        <f t="shared" si="43"/>
        <v>1608.7860248024867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514</v>
      </c>
      <c r="E63" s="32">
        <f t="shared" si="37"/>
        <v>2883</v>
      </c>
      <c r="F63" s="31">
        <f t="shared" si="38"/>
        <v>524.23155120263766</v>
      </c>
      <c r="G63" s="32">
        <f t="shared" si="39"/>
        <v>3123</v>
      </c>
      <c r="H63" s="33">
        <f t="shared" si="41"/>
        <v>1.9905741639372865E-2</v>
      </c>
      <c r="I63" s="34">
        <f t="shared" si="40"/>
        <v>8.3246618106139536E-2</v>
      </c>
      <c r="M63" s="46">
        <f t="shared" si="0"/>
        <v>56.904705264397577</v>
      </c>
      <c r="N63" s="46">
        <f t="shared" si="5"/>
        <v>60</v>
      </c>
      <c r="O63" s="50">
        <f t="shared" si="1"/>
        <v>-8.3668761904761766</v>
      </c>
      <c r="P63" s="50">
        <f t="shared" si="2"/>
        <v>48.537829073921401</v>
      </c>
      <c r="Q63" s="50">
        <f t="shared" si="3"/>
        <v>27.431500427318511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553.02794854804665</v>
      </c>
      <c r="V63" s="50">
        <f>$J$54*$J$34*($D$55*G25+$E$55*H25+$F$55*I25)</f>
        <v>524.23155120263766</v>
      </c>
      <c r="W63" s="50">
        <f>$J$54*$J$34*($D$56*G25+$E$56*H25+$F$56*I25)</f>
        <v>198.3987003245426</v>
      </c>
      <c r="X63" s="29">
        <f t="shared" si="43"/>
        <v>1275.6582000752271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1211</v>
      </c>
      <c r="E64" s="32">
        <f t="shared" si="37"/>
        <v>3858</v>
      </c>
      <c r="F64" s="31">
        <f t="shared" si="38"/>
        <v>1191.5713575471359</v>
      </c>
      <c r="G64" s="32">
        <f t="shared" si="39"/>
        <v>3842</v>
      </c>
      <c r="H64" s="33">
        <f t="shared" si="41"/>
        <v>-1.6043470233578994E-2</v>
      </c>
      <c r="I64" s="34">
        <f t="shared" si="40"/>
        <v>-4.14722654224986E-3</v>
      </c>
      <c r="M64" s="46">
        <f t="shared" si="0"/>
        <v>59.158005304963417</v>
      </c>
      <c r="N64" s="46">
        <f t="shared" si="5"/>
        <v>61</v>
      </c>
      <c r="O64" s="50">
        <f t="shared" si="1"/>
        <v>-10.715473015873016</v>
      </c>
      <c r="P64" s="50">
        <f t="shared" si="2"/>
        <v>48.442532289090401</v>
      </c>
      <c r="Q64" s="50">
        <f t="shared" si="3"/>
        <v>26.814451524932444</v>
      </c>
      <c r="R64" s="78"/>
      <c r="S64" s="46" t="str">
        <f t="shared" si="42"/>
        <v>CWF</v>
      </c>
      <c r="T64" s="79"/>
      <c r="U64" s="50">
        <f>$J$54*$J$34*($D$54*G26+$E$54*H26+$F$54*I26)</f>
        <v>1183.1101322621898</v>
      </c>
      <c r="V64" s="50">
        <f>$J$54*$J$34*($D$55*G26+$E$55*H26+$F$55*I26)</f>
        <v>1191.5713575471359</v>
      </c>
      <c r="W64" s="50">
        <f>$J$54*$J$34*($D$56*G26+$E$56*H26+$F$56*I26)</f>
        <v>635.16630201774956</v>
      </c>
      <c r="X64" s="29">
        <f t="shared" si="43"/>
        <v>3009.8477918270755</v>
      </c>
    </row>
    <row r="65" spans="1:24">
      <c r="A65" s="87"/>
      <c r="B65" s="48" t="str">
        <f t="shared" si="35"/>
        <v>D65</v>
      </c>
      <c r="C65" s="93"/>
      <c r="D65" s="31">
        <f t="shared" si="36"/>
        <v>575.25</v>
      </c>
      <c r="E65" s="32">
        <f t="shared" si="37"/>
        <v>6339</v>
      </c>
      <c r="F65" s="31">
        <f t="shared" si="38"/>
        <v>580.85536519801246</v>
      </c>
      <c r="G65" s="32">
        <f t="shared" si="39"/>
        <v>6277</v>
      </c>
      <c r="H65" s="33">
        <f t="shared" si="41"/>
        <v>9.744224594545825E-3</v>
      </c>
      <c r="I65" s="34">
        <f t="shared" si="40"/>
        <v>-9.7807225114371343E-3</v>
      </c>
      <c r="M65" s="46">
        <f t="shared" si="0"/>
        <v>61.411305345529229</v>
      </c>
      <c r="N65" s="46">
        <f t="shared" si="5"/>
        <v>62</v>
      </c>
      <c r="O65" s="50">
        <f t="shared" si="1"/>
        <v>-13.064069841269827</v>
      </c>
      <c r="P65" s="50">
        <f t="shared" si="2"/>
        <v>48.347235504259402</v>
      </c>
      <c r="Q65" s="50">
        <f t="shared" si="3"/>
        <v>26.197402622546377</v>
      </c>
      <c r="R65" s="78"/>
      <c r="S65" s="46" t="str">
        <f t="shared" si="42"/>
        <v>D65</v>
      </c>
      <c r="T65" s="79"/>
      <c r="U65" s="50">
        <f>$J$54*$J$34*($D$54*G27+$E$54*H27+$F$54*I27)</f>
        <v>514.52793790082421</v>
      </c>
      <c r="V65" s="50">
        <f>$J$54*$J$34*($D$55*G27+$E$55*H27+$F$55*I27)</f>
        <v>580.85536519801246</v>
      </c>
      <c r="W65" s="50">
        <f>$J$54*$J$34*($D$56*G27+$E$56*H27+$F$56*I27)</f>
        <v>531.04239320730289</v>
      </c>
      <c r="X65" s="29">
        <f t="shared" si="43"/>
        <v>1626.4256963061396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514</v>
      </c>
      <c r="E66" s="32">
        <f t="shared" si="37"/>
        <v>2883</v>
      </c>
      <c r="F66" s="31">
        <f t="shared" si="38"/>
        <v>505.00239311238016</v>
      </c>
      <c r="G66" s="32">
        <f t="shared" si="39"/>
        <v>2609</v>
      </c>
      <c r="H66" s="33">
        <f t="shared" si="41"/>
        <v>-1.7505071765797298E-2</v>
      </c>
      <c r="I66" s="34">
        <f t="shared" si="40"/>
        <v>-9.5039889004509215E-2</v>
      </c>
      <c r="M66" s="46">
        <f t="shared" si="0"/>
        <v>63.664605386095076</v>
      </c>
      <c r="N66" s="46">
        <f t="shared" si="5"/>
        <v>63</v>
      </c>
      <c r="O66" s="50">
        <f t="shared" si="1"/>
        <v>-15.412666666666667</v>
      </c>
      <c r="P66" s="50">
        <f t="shared" si="2"/>
        <v>48.251938719428409</v>
      </c>
      <c r="Q66" s="50">
        <f t="shared" si="3"/>
        <v>25.580353720160304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559.73010747675312</v>
      </c>
      <c r="V66" s="50">
        <f>$J$54*$J$37*($D$55*G28+$E$55*H28+$F$55*I28)</f>
        <v>505.00239311238016</v>
      </c>
      <c r="W66" s="50">
        <f>$J$54*$J$37*($D$56*G28+$E$56*H28+$F$56*I28)</f>
        <v>101.77936204002165</v>
      </c>
      <c r="X66" s="29">
        <f t="shared" si="43"/>
        <v>1166.5118626291548</v>
      </c>
    </row>
    <row r="67" spans="1:24">
      <c r="A67" s="87"/>
      <c r="B67" s="48" t="str">
        <f t="shared" si="35"/>
        <v>CWF</v>
      </c>
      <c r="C67" s="93"/>
      <c r="D67" s="31">
        <f t="shared" si="36"/>
        <v>1211</v>
      </c>
      <c r="E67" s="32">
        <f t="shared" si="37"/>
        <v>3858</v>
      </c>
      <c r="F67" s="31">
        <f t="shared" si="38"/>
        <v>1232.5570323637901</v>
      </c>
      <c r="G67" s="32">
        <f t="shared" si="39"/>
        <v>3947</v>
      </c>
      <c r="H67" s="33">
        <f t="shared" si="41"/>
        <v>1.7801017641445149E-2</v>
      </c>
      <c r="I67" s="34">
        <f t="shared" si="40"/>
        <v>2.3068947641264881E-2</v>
      </c>
      <c r="R67" s="78"/>
      <c r="S67" s="46" t="str">
        <f t="shared" si="42"/>
        <v>CWF</v>
      </c>
      <c r="T67" s="79"/>
      <c r="U67" s="50">
        <f>$J$54*$J$37*($D$54*G29+$E$54*H29+$F$54*I29)</f>
        <v>1215.347042331957</v>
      </c>
      <c r="V67" s="50">
        <f>$J$54*$J$37*($D$55*G29+$E$55*H29+$F$55*I29)</f>
        <v>1232.5570323637901</v>
      </c>
      <c r="W67" s="50">
        <f>$J$54*$J$37*($D$56*G29+$E$56*H29+$F$56*I29)</f>
        <v>682.90201856087458</v>
      </c>
      <c r="X67" s="29">
        <f t="shared" si="43"/>
        <v>3130.8060932566218</v>
      </c>
    </row>
    <row r="68" spans="1:24">
      <c r="A68" s="87"/>
      <c r="B68" s="48" t="str">
        <f t="shared" si="35"/>
        <v>D65</v>
      </c>
      <c r="C68" s="93"/>
      <c r="D68" s="31">
        <f t="shared" si="36"/>
        <v>575.25</v>
      </c>
      <c r="E68" s="32">
        <f t="shared" si="37"/>
        <v>6339</v>
      </c>
      <c r="F68" s="31">
        <f t="shared" si="38"/>
        <v>564.99693943414081</v>
      </c>
      <c r="G68" s="32">
        <f t="shared" si="39"/>
        <v>6222</v>
      </c>
      <c r="H68" s="33">
        <f t="shared" si="41"/>
        <v>-1.7823660262249796E-2</v>
      </c>
      <c r="I68" s="34">
        <f t="shared" si="40"/>
        <v>-1.8457169900615189E-2</v>
      </c>
      <c r="R68" s="78"/>
      <c r="S68" s="46" t="str">
        <f t="shared" si="42"/>
        <v>D65</v>
      </c>
      <c r="T68" s="79"/>
      <c r="U68" s="50">
        <f>$J$54*$J$37*($D$54*G30+$E$54*H30+$F$54*I30)</f>
        <v>501.3983581199775</v>
      </c>
      <c r="V68" s="50">
        <f>$J$54*$J$37*($D$55*G30+$E$55*H30+$F$55*I30)</f>
        <v>564.99693943414081</v>
      </c>
      <c r="W68" s="50">
        <f>$J$54*$J$37*($D$56*G30+$E$56*H30+$F$56*I30)</f>
        <v>512.67714557703118</v>
      </c>
      <c r="X68" s="29">
        <f t="shared" si="43"/>
        <v>1579.0724431311496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1.9905741639372865E-2</v>
      </c>
      <c r="G69" s="47"/>
      <c r="H69" s="36" t="str">
        <f>I59</f>
        <v>CCT</v>
      </c>
      <c r="I69" s="38">
        <f>MAX(MAX(I60:I68,-MIN(I60:I68)))</f>
        <v>9.5039889004509215E-2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514</v>
      </c>
      <c r="E72" s="31">
        <f t="shared" ref="E72:E80" si="47">E60</f>
        <v>2883</v>
      </c>
      <c r="F72" s="31">
        <f t="shared" ref="F72:F80" si="48">V72</f>
        <v>518.39363817192498</v>
      </c>
      <c r="G72" s="32">
        <f t="shared" ref="G72:G80" si="49">getCCTfromXY(U72/X72,V72/X72)</f>
        <v>3004</v>
      </c>
      <c r="H72" s="33">
        <f>F72/D72-1</f>
        <v>8.5479341866243619E-3</v>
      </c>
      <c r="I72" s="34">
        <f t="shared" ref="I72:I80" si="50">G72/E72-1</f>
        <v>4.1970169961845327E-2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552.52737340099861</v>
      </c>
      <c r="V72" s="50">
        <f>$J$51*$J$31*($D$52*G22+$E$52*H22+$F$52*I22)</f>
        <v>518.39363817192498</v>
      </c>
      <c r="W72" s="50">
        <f>$J$51*$J$31*($D$53*G22+$E$53*H22+$F$53*I22)</f>
        <v>177.59769315783498</v>
      </c>
      <c r="X72" s="29">
        <f>SUM(U72:W72)</f>
        <v>1248.5187047307586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1211</v>
      </c>
      <c r="E73" s="31">
        <f t="shared" si="47"/>
        <v>3858</v>
      </c>
      <c r="F73" s="31">
        <f t="shared" si="48"/>
        <v>1211.9597468773438</v>
      </c>
      <c r="G73" s="32">
        <f t="shared" si="49"/>
        <v>3796</v>
      </c>
      <c r="H73" s="33">
        <f t="shared" ref="H73:H80" si="52">F73/D73-1</f>
        <v>7.9252425874809518E-4</v>
      </c>
      <c r="I73" s="34">
        <f t="shared" si="50"/>
        <v>-1.6070502851218249E-2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1206.7549713822823</v>
      </c>
      <c r="V73" s="50">
        <f t="shared" ref="V73:V74" si="55">$J$51*$J$31*($D$52*G23+$E$52*H23+$F$52*I23)</f>
        <v>1211.9597468773438</v>
      </c>
      <c r="W73" s="50">
        <f t="shared" ref="W73:W74" si="56">$J$51*$J$31*($D$53*G23+$E$53*H23+$F$53*I23)</f>
        <v>633.50211434983805</v>
      </c>
      <c r="X73" s="29">
        <f t="shared" ref="X73:X80" si="57">SUM(U73:W73)</f>
        <v>3052.2168326094643</v>
      </c>
    </row>
    <row r="74" spans="1:24">
      <c r="A74" s="87"/>
      <c r="B74" s="48" t="str">
        <f t="shared" si="46"/>
        <v>X</v>
      </c>
      <c r="C74" s="93"/>
      <c r="D74" s="31">
        <f t="shared" si="51"/>
        <v>575.25</v>
      </c>
      <c r="E74" s="31">
        <f t="shared" si="47"/>
        <v>6339</v>
      </c>
      <c r="F74" s="31">
        <f t="shared" si="48"/>
        <v>579.03362168960257</v>
      </c>
      <c r="G74" s="32">
        <f t="shared" si="49"/>
        <v>6355</v>
      </c>
      <c r="H74" s="33">
        <f t="shared" si="52"/>
        <v>6.5773519158671689E-3</v>
      </c>
      <c r="I74" s="34">
        <f t="shared" si="50"/>
        <v>2.524057422306436E-3</v>
      </c>
      <c r="R74" s="78"/>
      <c r="S74" s="46" t="str">
        <f t="shared" si="53"/>
        <v>D65</v>
      </c>
      <c r="T74" s="79"/>
      <c r="U74" s="50">
        <f t="shared" si="54"/>
        <v>511.36159738101838</v>
      </c>
      <c r="V74" s="50">
        <f t="shared" si="55"/>
        <v>579.03362168960257</v>
      </c>
      <c r="W74" s="50">
        <f t="shared" si="56"/>
        <v>534.30649433151257</v>
      </c>
      <c r="X74" s="29">
        <f t="shared" si="57"/>
        <v>1624.7017134021335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514</v>
      </c>
      <c r="E75" s="31">
        <f t="shared" si="47"/>
        <v>2883</v>
      </c>
      <c r="F75" s="31">
        <f t="shared" si="48"/>
        <v>526.26422573223908</v>
      </c>
      <c r="G75" s="32">
        <f t="shared" si="49"/>
        <v>3114</v>
      </c>
      <c r="H75" s="33">
        <f t="shared" si="52"/>
        <v>2.3860361346768721E-2</v>
      </c>
      <c r="I75" s="34">
        <f t="shared" si="50"/>
        <v>8.0124869927159281E-2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555.62898365678575</v>
      </c>
      <c r="V75" s="50">
        <f>$J$51*$J$34*($D$52*G25+$E$52*H25+$F$52*I25)</f>
        <v>526.26422573223908</v>
      </c>
      <c r="W75" s="50">
        <f>$J$51*$J$34*($D$53*G25+$E$53*H25+$F$53*I25)</f>
        <v>197.7022832433496</v>
      </c>
      <c r="X75" s="29">
        <f t="shared" si="57"/>
        <v>1279.5954926323743</v>
      </c>
    </row>
    <row r="76" spans="1:24">
      <c r="A76" s="87"/>
      <c r="B76" s="48" t="str">
        <f t="shared" si="46"/>
        <v>Z</v>
      </c>
      <c r="C76" s="93"/>
      <c r="D76" s="31">
        <f t="shared" si="51"/>
        <v>1211</v>
      </c>
      <c r="E76" s="31">
        <f t="shared" si="47"/>
        <v>3858</v>
      </c>
      <c r="F76" s="31">
        <f t="shared" si="48"/>
        <v>1194.9353617341094</v>
      </c>
      <c r="G76" s="32">
        <f t="shared" si="49"/>
        <v>3842</v>
      </c>
      <c r="H76" s="33">
        <f t="shared" si="52"/>
        <v>-1.3265597246813088E-2</v>
      </c>
      <c r="I76" s="34">
        <f t="shared" si="50"/>
        <v>-4.14722654224986E-3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1186.4480975166573</v>
      </c>
      <c r="V76" s="50">
        <f t="shared" ref="V76:V77" si="59">$J$51*$J$34*($D$52*G26+$E$52*H26+$F$52*I26)</f>
        <v>1194.9353617341094</v>
      </c>
      <c r="W76" s="50">
        <f t="shared" ref="W76:W77" si="60">$J$51*$J$34*($D$53*G26+$E$53*H26+$F$53*I26)</f>
        <v>636.96318438794742</v>
      </c>
      <c r="X76" s="29">
        <f t="shared" si="57"/>
        <v>3018.3466436387139</v>
      </c>
    </row>
    <row r="77" spans="1:24">
      <c r="A77" s="87"/>
      <c r="B77" s="48" t="str">
        <f t="shared" si="46"/>
        <v>X</v>
      </c>
      <c r="C77" s="93"/>
      <c r="D77" s="31">
        <f t="shared" si="51"/>
        <v>575.25</v>
      </c>
      <c r="E77" s="31">
        <f t="shared" si="47"/>
        <v>6339</v>
      </c>
      <c r="F77" s="31">
        <f t="shared" si="48"/>
        <v>585.12253169161215</v>
      </c>
      <c r="G77" s="32">
        <f t="shared" si="49"/>
        <v>6369</v>
      </c>
      <c r="H77" s="33">
        <f t="shared" si="52"/>
        <v>1.716215852518399E-2</v>
      </c>
      <c r="I77" s="34">
        <f t="shared" si="50"/>
        <v>4.7326076668243733E-3</v>
      </c>
      <c r="R77" s="78"/>
      <c r="S77" s="46" t="str">
        <f t="shared" si="53"/>
        <v>D65</v>
      </c>
      <c r="T77" s="79"/>
      <c r="U77" s="50">
        <f t="shared" si="58"/>
        <v>516.49577192547576</v>
      </c>
      <c r="V77" s="50">
        <f t="shared" si="59"/>
        <v>585.12253169161215</v>
      </c>
      <c r="W77" s="50">
        <f t="shared" si="60"/>
        <v>540.96850727173887</v>
      </c>
      <c r="X77" s="29">
        <f t="shared" si="57"/>
        <v>1642.5868108888267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514</v>
      </c>
      <c r="E78" s="31">
        <f t="shared" si="47"/>
        <v>2883</v>
      </c>
      <c r="F78" s="31">
        <f t="shared" si="48"/>
        <v>506.19369553259793</v>
      </c>
      <c r="G78" s="32">
        <f t="shared" si="49"/>
        <v>2588</v>
      </c>
      <c r="H78" s="33">
        <f t="shared" si="52"/>
        <v>-1.5187362777046798E-2</v>
      </c>
      <c r="I78" s="34">
        <f t="shared" si="50"/>
        <v>-0.1023239680887964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562.34177651019297</v>
      </c>
      <c r="V78" s="50">
        <f>$J$51*$J$37*($D$52*G28+$E$52*H28+$F$52*I28)</f>
        <v>506.19369553259793</v>
      </c>
      <c r="W78" s="50">
        <f>$J$51*$J$37*($D$53*G28+$E$53*H28+$F$53*I28)</f>
        <v>97.810336931164343</v>
      </c>
      <c r="X78" s="29">
        <f t="shared" si="57"/>
        <v>1166.3458089739552</v>
      </c>
    </row>
    <row r="79" spans="1:24">
      <c r="A79" s="87"/>
      <c r="B79" s="48" t="str">
        <f t="shared" si="46"/>
        <v>Z</v>
      </c>
      <c r="C79" s="93"/>
      <c r="D79" s="31">
        <f t="shared" si="51"/>
        <v>1211</v>
      </c>
      <c r="E79" s="31">
        <f t="shared" si="47"/>
        <v>3858</v>
      </c>
      <c r="F79" s="31">
        <f t="shared" si="48"/>
        <v>1236.1599270703723</v>
      </c>
      <c r="G79" s="32">
        <f t="shared" si="49"/>
        <v>3950</v>
      </c>
      <c r="H79" s="33">
        <f t="shared" si="52"/>
        <v>2.0776157779002657E-2</v>
      </c>
      <c r="I79" s="34">
        <f t="shared" si="50"/>
        <v>2.3846552617936778E-2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1218.6868911788056</v>
      </c>
      <c r="V79" s="50">
        <f t="shared" ref="V79:V80" si="62">$J$51*$J$37*($D$52*G29+$E$52*H29+$F$52*I29)</f>
        <v>1236.1599270703723</v>
      </c>
      <c r="W79" s="50">
        <f t="shared" ref="W79:W80" si="63">$J$51*$J$37*($D$53*G29+$E$53*H29+$F$53*I29)</f>
        <v>685.59703599302713</v>
      </c>
      <c r="X79" s="29">
        <f t="shared" si="57"/>
        <v>3140.4438542422049</v>
      </c>
    </row>
    <row r="80" spans="1:24">
      <c r="A80" s="87"/>
      <c r="B80" s="48" t="str">
        <f t="shared" si="46"/>
        <v>X</v>
      </c>
      <c r="C80" s="93"/>
      <c r="D80" s="31">
        <f t="shared" si="51"/>
        <v>575.25</v>
      </c>
      <c r="E80" s="31">
        <f t="shared" si="47"/>
        <v>6339</v>
      </c>
      <c r="F80" s="31">
        <f t="shared" si="48"/>
        <v>569.07558368438879</v>
      </c>
      <c r="G80" s="32">
        <f t="shared" si="49"/>
        <v>6311</v>
      </c>
      <c r="H80" s="33">
        <f t="shared" si="52"/>
        <v>-1.0733448614708707E-2</v>
      </c>
      <c r="I80" s="34">
        <f t="shared" si="50"/>
        <v>-4.4171004890360965E-3</v>
      </c>
      <c r="R80" s="78"/>
      <c r="S80" s="46" t="str">
        <f t="shared" si="53"/>
        <v>D65</v>
      </c>
      <c r="T80" s="79"/>
      <c r="U80" s="50">
        <f t="shared" si="61"/>
        <v>503.28481762139711</v>
      </c>
      <c r="V80" s="50">
        <f t="shared" si="62"/>
        <v>569.07558368438879</v>
      </c>
      <c r="W80" s="50">
        <f t="shared" si="63"/>
        <v>522.14269746965817</v>
      </c>
      <c r="X80" s="29">
        <f t="shared" si="57"/>
        <v>1594.503098775444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2.3860361346768721E-2</v>
      </c>
      <c r="G81" s="47"/>
      <c r="H81" s="36" t="str">
        <f>I71</f>
        <v>CCT</v>
      </c>
      <c r="I81" s="38">
        <f>MAX(MAX(I72:I80,-MIN(I72:I80)))</f>
        <v>0.1023239680887964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514</v>
      </c>
      <c r="E84" s="31">
        <f t="shared" ref="E84:E92" si="67">E72</f>
        <v>2883</v>
      </c>
      <c r="F84" s="31">
        <f t="shared" ref="F84:F92" si="68">V84</f>
        <v>513.99999999999989</v>
      </c>
      <c r="G84" s="32">
        <f t="shared" ref="G84:G92" si="69">getCCTfromXY(U84/X84,V84/X84)</f>
        <v>2883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553.94999999999948</v>
      </c>
      <c r="V84" s="50">
        <f>$J$42*$J$31*($D$43*G22+$E$43*H22+$F$43*I22)</f>
        <v>513.99999999999989</v>
      </c>
      <c r="W84" s="50">
        <f>$J$42*$J$31*($D$44*G22+$E$44*H22+$F$44*I22)</f>
        <v>155.84999999999997</v>
      </c>
      <c r="X84" s="29">
        <f>SUM(U84:W84)</f>
        <v>1223.7999999999993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1211</v>
      </c>
      <c r="E85" s="31">
        <f t="shared" si="67"/>
        <v>3858</v>
      </c>
      <c r="F85" s="31">
        <f t="shared" si="68"/>
        <v>1211</v>
      </c>
      <c r="G85" s="32">
        <f t="shared" si="69"/>
        <v>3858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1200.9999999999995</v>
      </c>
      <c r="V85" s="50">
        <f t="shared" ref="V85:V86" si="75">$J$42*$J$31*($D$43*G23+$E$43*H23+$F$43*I23)</f>
        <v>1211</v>
      </c>
      <c r="W85" s="50">
        <f t="shared" ref="W85:W86" si="76">$J$42*$J$31*($D$44*G23+$E$44*H23+$F$44*I23)</f>
        <v>649.00000000000011</v>
      </c>
      <c r="X85" s="29">
        <f t="shared" ref="X85:X92" si="77">SUM(U85:W85)</f>
        <v>3060.9999999999995</v>
      </c>
    </row>
    <row r="86" spans="1:24">
      <c r="A86" s="87"/>
      <c r="B86" s="48">
        <f t="shared" si="66"/>
        <v>0</v>
      </c>
      <c r="C86" s="93"/>
      <c r="D86" s="31">
        <f t="shared" si="71"/>
        <v>575.25</v>
      </c>
      <c r="E86" s="31">
        <f t="shared" si="67"/>
        <v>6339</v>
      </c>
      <c r="F86" s="31">
        <f t="shared" si="68"/>
        <v>575.25</v>
      </c>
      <c r="G86" s="32">
        <f t="shared" si="69"/>
        <v>6339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508.2999999999999</v>
      </c>
      <c r="V86" s="50">
        <f t="shared" si="75"/>
        <v>575.25</v>
      </c>
      <c r="W86" s="50">
        <f t="shared" si="76"/>
        <v>529.75</v>
      </c>
      <c r="X86" s="29">
        <f t="shared" si="77"/>
        <v>1613.3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514</v>
      </c>
      <c r="E87" s="31">
        <f t="shared" si="67"/>
        <v>2883</v>
      </c>
      <c r="F87" s="31">
        <f t="shared" si="68"/>
        <v>514.00000000000011</v>
      </c>
      <c r="G87" s="32">
        <f t="shared" si="69"/>
        <v>2883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553.95000000000005</v>
      </c>
      <c r="V87" s="50">
        <f>$J$45*$J$34*($D$46*G25+$E$46*H25+$F$46*I25)</f>
        <v>514.00000000000011</v>
      </c>
      <c r="W87" s="50">
        <f>$J$45*$J$34*($D$47*G25+$E$47*H25+$F$47*I25)</f>
        <v>155.8499999999998</v>
      </c>
      <c r="X87" s="29">
        <f t="shared" si="77"/>
        <v>1223.8000000000002</v>
      </c>
    </row>
    <row r="88" spans="1:24">
      <c r="A88" s="87"/>
      <c r="B88" s="48">
        <f t="shared" si="66"/>
        <v>0</v>
      </c>
      <c r="C88" s="93"/>
      <c r="D88" s="31">
        <f t="shared" si="71"/>
        <v>1211</v>
      </c>
      <c r="E88" s="31">
        <f t="shared" si="67"/>
        <v>3858</v>
      </c>
      <c r="F88" s="31">
        <f t="shared" si="68"/>
        <v>1211</v>
      </c>
      <c r="G88" s="32">
        <f t="shared" si="69"/>
        <v>3858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</v>
      </c>
      <c r="V88" s="50">
        <f t="shared" ref="V88:V89" si="79">$J$45*$J$34*($D$46*G26+$E$46*H26+$F$46*I26)</f>
        <v>1211</v>
      </c>
      <c r="W88" s="50">
        <f t="shared" ref="W88:W89" si="80">$J$45*$J$34*($D$47*G26+$E$47*H26+$F$47*I26)</f>
        <v>648.99999999999977</v>
      </c>
      <c r="X88" s="29">
        <f t="shared" si="77"/>
        <v>3061</v>
      </c>
    </row>
    <row r="89" spans="1:24">
      <c r="A89" s="87"/>
      <c r="B89" s="48" t="str">
        <f t="shared" si="66"/>
        <v>A</v>
      </c>
      <c r="C89" s="93"/>
      <c r="D89" s="31">
        <f t="shared" si="71"/>
        <v>575.25</v>
      </c>
      <c r="E89" s="31">
        <f t="shared" si="67"/>
        <v>6339</v>
      </c>
      <c r="F89" s="31">
        <f t="shared" si="68"/>
        <v>575.24999999999989</v>
      </c>
      <c r="G89" s="32">
        <f t="shared" si="69"/>
        <v>6339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508.2999999999999</v>
      </c>
      <c r="V89" s="50">
        <f t="shared" si="79"/>
        <v>575.24999999999989</v>
      </c>
      <c r="W89" s="50">
        <f t="shared" si="80"/>
        <v>529.74999999999989</v>
      </c>
      <c r="X89" s="29">
        <f t="shared" si="77"/>
        <v>1613.2999999999997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514</v>
      </c>
      <c r="E90" s="31">
        <f t="shared" si="67"/>
        <v>2883</v>
      </c>
      <c r="F90" s="31">
        <f t="shared" si="68"/>
        <v>513.99999999999977</v>
      </c>
      <c r="G90" s="32">
        <f t="shared" si="69"/>
        <v>2883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553.94999999999993</v>
      </c>
      <c r="V90" s="50">
        <f>$J$48*$J$37*($D$49*G28+$E$49*H28+$F$49*I28)</f>
        <v>513.99999999999977</v>
      </c>
      <c r="W90" s="50">
        <f>$J$48*$J$37*($D$50*G28+$E$50*H28+$F$50*I28)</f>
        <v>155.84999999999997</v>
      </c>
      <c r="X90" s="29">
        <f t="shared" si="77"/>
        <v>1223.7999999999997</v>
      </c>
    </row>
    <row r="91" spans="1:24">
      <c r="A91" s="87"/>
      <c r="B91" s="48" t="str">
        <f t="shared" si="66"/>
        <v>D65</v>
      </c>
      <c r="C91" s="93"/>
      <c r="D91" s="31">
        <f t="shared" si="71"/>
        <v>1211</v>
      </c>
      <c r="E91" s="31">
        <f t="shared" si="67"/>
        <v>3858</v>
      </c>
      <c r="F91" s="31">
        <f t="shared" si="68"/>
        <v>1210.9999999999998</v>
      </c>
      <c r="G91" s="32">
        <f t="shared" si="69"/>
        <v>3858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</v>
      </c>
      <c r="V91" s="50">
        <f t="shared" ref="V91:V92" si="82">$J$48*$J$37*($D$49*G29+$E$49*H29+$F$49*I29)</f>
        <v>1210.9999999999998</v>
      </c>
      <c r="W91" s="50">
        <f t="shared" ref="W91:W92" si="83">$J$48*$J$37*($D$50*G29+$E$50*H29+$F$50*I29)</f>
        <v>649.00000000000023</v>
      </c>
      <c r="X91" s="29">
        <f t="shared" si="77"/>
        <v>3061</v>
      </c>
    </row>
    <row r="92" spans="1:24">
      <c r="A92" s="87"/>
      <c r="B92" s="48" t="str">
        <f t="shared" si="66"/>
        <v>A</v>
      </c>
      <c r="C92" s="93"/>
      <c r="D92" s="31">
        <f t="shared" si="71"/>
        <v>575.25</v>
      </c>
      <c r="E92" s="31">
        <f t="shared" si="67"/>
        <v>6339</v>
      </c>
      <c r="F92" s="31">
        <f t="shared" si="68"/>
        <v>575.24999999999989</v>
      </c>
      <c r="G92" s="32">
        <f t="shared" si="69"/>
        <v>6339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508.29999999999995</v>
      </c>
      <c r="V92" s="50">
        <f t="shared" si="82"/>
        <v>575.24999999999989</v>
      </c>
      <c r="W92" s="50">
        <f t="shared" si="83"/>
        <v>529.75</v>
      </c>
      <c r="X92" s="29">
        <f t="shared" si="77"/>
        <v>1613.2999999999997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3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6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1.2648815796389528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82.988575922578192</v>
      </c>
      <c r="N3" s="46">
        <v>0</v>
      </c>
      <c r="O3" s="50">
        <f>G$5-N3*G$7</f>
        <v>139.09842279159651</v>
      </c>
      <c r="P3" s="50">
        <f>H$5-N3*H$7</f>
        <v>56.109846869018313</v>
      </c>
      <c r="Q3" s="50">
        <f>I$5-N3*I$7</f>
        <v>66.383802572123741</v>
      </c>
    </row>
    <row r="4" spans="1:17">
      <c r="C4" s="46" t="s">
        <v>20</v>
      </c>
      <c r="D4" s="7">
        <v>534.70000000000005</v>
      </c>
      <c r="E4" s="7">
        <v>1219</v>
      </c>
      <c r="F4" s="7">
        <v>575.4</v>
      </c>
      <c r="G4" s="50">
        <f>AVERAGE(D4:F4)</f>
        <v>776.36666666666667</v>
      </c>
      <c r="H4" s="50">
        <f>G4</f>
        <v>776.36666666666667</v>
      </c>
      <c r="I4" s="50">
        <f>H4</f>
        <v>776.36666666666667</v>
      </c>
      <c r="K4" s="13" t="str">
        <f>linefmt("Compensation",B12)</f>
        <v>"Compensation",38,</v>
      </c>
      <c r="M4" s="46">
        <f t="shared" si="0"/>
        <v>80.805654228828701</v>
      </c>
      <c r="N4" s="46">
        <f>N3+1</f>
        <v>1</v>
      </c>
      <c r="O4" s="50">
        <f t="shared" ref="O4:O66" si="1">G$5-N4*G$7</f>
        <v>136.81076837825293</v>
      </c>
      <c r="P4" s="50">
        <f t="shared" ref="P4:P66" si="2">H$5-N4*H$7</f>
        <v>56.00511414942423</v>
      </c>
      <c r="Q4" s="50">
        <f t="shared" ref="Q4:Q66" si="3">I$5-N4*I$7</f>
        <v>66.041988954543697</v>
      </c>
    </row>
    <row r="5" spans="1:17">
      <c r="C5" s="46">
        <v>0</v>
      </c>
      <c r="D5" s="9">
        <v>95.8</v>
      </c>
      <c r="E5" s="9">
        <v>88.1</v>
      </c>
      <c r="F5" s="9">
        <v>49.2</v>
      </c>
      <c r="G5" s="50">
        <f>G$4/D$4*D5</f>
        <v>139.09842279159651</v>
      </c>
      <c r="H5" s="50">
        <f t="shared" ref="H5:I6" si="4">H$4/E$4*E5</f>
        <v>56.109846869018313</v>
      </c>
      <c r="I5" s="50">
        <f t="shared" si="4"/>
        <v>66.383802572123741</v>
      </c>
      <c r="K5" s="14" t="str">
        <f>linefmt("CardGain",J54)</f>
        <v>"CardGain",13.23016,</v>
      </c>
      <c r="M5" s="46">
        <f t="shared" si="0"/>
        <v>78.62273253507918</v>
      </c>
      <c r="N5" s="46">
        <f t="shared" ref="N5:N66" si="5">N4+1</f>
        <v>2</v>
      </c>
      <c r="O5" s="50">
        <f t="shared" si="1"/>
        <v>134.52311396490933</v>
      </c>
      <c r="P5" s="50">
        <f t="shared" si="2"/>
        <v>55.900381429830148</v>
      </c>
      <c r="Q5" s="50">
        <f t="shared" si="3"/>
        <v>65.700175336963653</v>
      </c>
    </row>
    <row r="6" spans="1:17">
      <c r="B6" s="50">
        <f>D5/4</f>
        <v>23.95</v>
      </c>
      <c r="C6" s="7">
        <v>45</v>
      </c>
      <c r="D6" s="9">
        <v>24.9</v>
      </c>
      <c r="E6" s="9">
        <v>80.7</v>
      </c>
      <c r="F6" s="9">
        <v>37.799999999999997</v>
      </c>
      <c r="G6" s="50">
        <f>G$4/D$4*D6</f>
        <v>36.153974191135212</v>
      </c>
      <c r="H6" s="50">
        <f t="shared" si="4"/>
        <v>51.396874487284663</v>
      </c>
      <c r="I6" s="50">
        <f t="shared" si="4"/>
        <v>51.002189781021897</v>
      </c>
      <c r="K6" s="14" t="str">
        <f>linefmt("Range",1,J34,J37)</f>
        <v>"Range",1,0.9357502,0.9969957,</v>
      </c>
      <c r="M6" s="46">
        <f t="shared" si="0"/>
        <v>76.439810841329688</v>
      </c>
      <c r="N6" s="46">
        <f t="shared" si="5"/>
        <v>3</v>
      </c>
      <c r="O6" s="50">
        <f t="shared" si="1"/>
        <v>132.23545955156575</v>
      </c>
      <c r="P6" s="50">
        <f t="shared" si="2"/>
        <v>55.795648710236073</v>
      </c>
      <c r="Q6" s="50">
        <f t="shared" si="3"/>
        <v>65.358361719383623</v>
      </c>
    </row>
    <row r="7" spans="1:17">
      <c r="C7" s="46">
        <f>C5</f>
        <v>0</v>
      </c>
      <c r="D7" s="46">
        <f t="shared" ref="D7:F8" si="6">D$4/D5</f>
        <v>5.5814196242171192</v>
      </c>
      <c r="E7" s="46">
        <f t="shared" si="6"/>
        <v>13.836549375709422</v>
      </c>
      <c r="F7" s="46">
        <f t="shared" si="6"/>
        <v>11.695121951219511</v>
      </c>
      <c r="G7" s="49">
        <f>(G5-G6)/($C6-$C5)</f>
        <v>2.2876544133435845</v>
      </c>
      <c r="H7" s="49">
        <f t="shared" ref="H7:I7" si="7">(H5-H6)/($C6-$C5)</f>
        <v>0.10473271959408111</v>
      </c>
      <c r="I7" s="49">
        <f t="shared" si="7"/>
        <v>0.34181361758004097</v>
      </c>
      <c r="K7" s="14" t="str">
        <f>linefmt("CCM" )</f>
        <v>"CCM",</v>
      </c>
      <c r="M7" s="46">
        <f t="shared" si="0"/>
        <v>74.256889147580182</v>
      </c>
      <c r="N7" s="46">
        <f t="shared" si="5"/>
        <v>4</v>
      </c>
      <c r="O7" s="50">
        <f t="shared" si="1"/>
        <v>129.94780513822218</v>
      </c>
      <c r="P7" s="50">
        <f t="shared" si="2"/>
        <v>55.69091599064199</v>
      </c>
      <c r="Q7" s="50">
        <f t="shared" si="3"/>
        <v>65.016548101803579</v>
      </c>
    </row>
    <row r="8" spans="1:17">
      <c r="C8" s="46">
        <f>C6</f>
        <v>45</v>
      </c>
      <c r="D8" s="46">
        <f t="shared" si="6"/>
        <v>21.47389558232932</v>
      </c>
      <c r="E8" s="46">
        <f t="shared" si="6"/>
        <v>15.105328376703842</v>
      </c>
      <c r="F8" s="46">
        <f t="shared" si="6"/>
        <v>15.222222222222223</v>
      </c>
      <c r="K8" s="15" t="str">
        <f>linefmt("",D54,E54,F54)</f>
        <v>0.1962342,1.046022,-0.2587679,</v>
      </c>
      <c r="M8" s="46">
        <f t="shared" si="0"/>
        <v>72.073967453830676</v>
      </c>
      <c r="N8" s="46">
        <f t="shared" si="5"/>
        <v>5</v>
      </c>
      <c r="O8" s="50">
        <f t="shared" si="1"/>
        <v>127.66015072487858</v>
      </c>
      <c r="P8" s="50">
        <f t="shared" si="2"/>
        <v>55.586183271047908</v>
      </c>
      <c r="Q8" s="50">
        <f t="shared" si="3"/>
        <v>64.674734484223535</v>
      </c>
    </row>
    <row r="9" spans="1:17">
      <c r="C9" s="46" t="s">
        <v>23</v>
      </c>
      <c r="D9" s="46">
        <f>(D8-D7)/($C8-$C7)</f>
        <v>0.35316613240249334</v>
      </c>
      <c r="E9" s="46">
        <f>(E8-E7)/($C8-$C7)</f>
        <v>2.8195088910987091E-2</v>
      </c>
      <c r="F9" s="46">
        <f>(F8-F7)/($C8-$C7)</f>
        <v>7.8380006022282497E-2</v>
      </c>
      <c r="K9" s="15" t="str">
        <f>linefmt("",D55,E55,F55)</f>
        <v>1.948081E-02,1,0.1179234,</v>
      </c>
      <c r="M9" s="46">
        <f t="shared" si="0"/>
        <v>69.89104576008117</v>
      </c>
      <c r="N9" s="46">
        <f t="shared" si="5"/>
        <v>6</v>
      </c>
      <c r="O9" s="50">
        <f t="shared" si="1"/>
        <v>125.372496311535</v>
      </c>
      <c r="P9" s="50">
        <f t="shared" si="2"/>
        <v>55.481450551453825</v>
      </c>
      <c r="Q9" s="50">
        <f t="shared" si="3"/>
        <v>64.332920866643491</v>
      </c>
    </row>
    <row r="10" spans="1:17">
      <c r="K10" s="16" t="str">
        <f>linefmt("",D56,E56,F56)</f>
        <v>-0.5842773,0.3096718,1.414178,</v>
      </c>
      <c r="M10" s="46">
        <f t="shared" si="0"/>
        <v>67.708124066331663</v>
      </c>
      <c r="N10" s="46">
        <f t="shared" si="5"/>
        <v>7</v>
      </c>
      <c r="O10" s="50">
        <f t="shared" si="1"/>
        <v>123.08484189819141</v>
      </c>
      <c r="P10" s="50">
        <f t="shared" si="2"/>
        <v>55.376717831859743</v>
      </c>
      <c r="Q10" s="50">
        <f t="shared" si="3"/>
        <v>63.991107249063454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65.525202372582157</v>
      </c>
      <c r="N11" s="46">
        <f t="shared" si="5"/>
        <v>8</v>
      </c>
      <c r="O11" s="50">
        <f t="shared" si="1"/>
        <v>120.79718748484783</v>
      </c>
      <c r="P11" s="50">
        <f t="shared" si="2"/>
        <v>55.271985112265661</v>
      </c>
      <c r="Q11" s="50">
        <f t="shared" si="3"/>
        <v>63.649293631483417</v>
      </c>
    </row>
    <row r="12" spans="1:17">
      <c r="A12" s="46" t="s">
        <v>16</v>
      </c>
      <c r="B12" s="10">
        <f>MATCH(M2,M3:M66,0)-1</f>
        <v>38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Compensation=38</v>
      </c>
      <c r="M12" s="46">
        <f t="shared" si="0"/>
        <v>63.342280678832665</v>
      </c>
      <c r="N12" s="46">
        <f t="shared" si="5"/>
        <v>9</v>
      </c>
      <c r="O12" s="50">
        <f t="shared" si="1"/>
        <v>118.50953307150425</v>
      </c>
      <c r="P12" s="50">
        <f t="shared" si="2"/>
        <v>55.167252392671585</v>
      </c>
      <c r="Q12" s="50">
        <f t="shared" si="3"/>
        <v>63.307480013903373</v>
      </c>
    </row>
    <row r="13" spans="1:17">
      <c r="A13" s="78" t="s">
        <v>12</v>
      </c>
      <c r="B13" s="79" t="s">
        <v>0</v>
      </c>
      <c r="C13" s="46">
        <v>0</v>
      </c>
      <c r="D13" s="7">
        <v>557.79999999999995</v>
      </c>
      <c r="E13" s="7">
        <v>517.6</v>
      </c>
      <c r="F13" s="7">
        <v>156.80000000000001</v>
      </c>
      <c r="G13" s="8">
        <v>92</v>
      </c>
      <c r="H13" s="8">
        <v>34</v>
      </c>
      <c r="I13" s="8">
        <v>40.700000000000003</v>
      </c>
      <c r="M13" s="46">
        <f t="shared" si="0"/>
        <v>61.159358985083159</v>
      </c>
      <c r="N13" s="46">
        <f t="shared" si="5"/>
        <v>10</v>
      </c>
      <c r="O13" s="50">
        <f t="shared" si="1"/>
        <v>116.22187865816066</v>
      </c>
      <c r="P13" s="50">
        <f t="shared" si="2"/>
        <v>55.062519673077503</v>
      </c>
      <c r="Q13" s="50">
        <f t="shared" si="3"/>
        <v>62.965666396323329</v>
      </c>
    </row>
    <row r="14" spans="1:17">
      <c r="A14" s="78"/>
      <c r="B14" s="79"/>
      <c r="C14" s="46">
        <f>C13+1</f>
        <v>1</v>
      </c>
      <c r="D14" s="7">
        <v>562.79999999999995</v>
      </c>
      <c r="E14" s="7">
        <v>522.29999999999995</v>
      </c>
      <c r="F14" s="7">
        <v>156.6</v>
      </c>
      <c r="G14" s="8">
        <v>96.1</v>
      </c>
      <c r="H14" s="8">
        <v>37</v>
      </c>
      <c r="I14" s="8">
        <v>44.1</v>
      </c>
      <c r="M14" s="46">
        <f t="shared" si="0"/>
        <v>58.976437291333653</v>
      </c>
      <c r="N14" s="46">
        <f t="shared" si="5"/>
        <v>11</v>
      </c>
      <c r="O14" s="50">
        <f t="shared" si="1"/>
        <v>113.93422424481707</v>
      </c>
      <c r="P14" s="50">
        <f t="shared" si="2"/>
        <v>54.957786953483421</v>
      </c>
      <c r="Q14" s="50">
        <f t="shared" si="3"/>
        <v>62.623852778743291</v>
      </c>
    </row>
    <row r="15" spans="1:17">
      <c r="A15" s="78"/>
      <c r="B15" s="79"/>
      <c r="C15" s="46">
        <f>C14+1</f>
        <v>2</v>
      </c>
      <c r="D15" s="6">
        <f>2*(D13-D14)/(D13+D14)</f>
        <v>-8.9237908263430313E-3</v>
      </c>
      <c r="E15" s="6">
        <f t="shared" ref="E15:F15" si="8">2*(E13-E14)/(E13+E14)</f>
        <v>-9.0393307048753369E-3</v>
      </c>
      <c r="F15" s="6">
        <f t="shared" si="8"/>
        <v>1.2763241863434401E-3</v>
      </c>
      <c r="G15" s="8">
        <v>100.5</v>
      </c>
      <c r="H15" s="8">
        <v>31.8</v>
      </c>
      <c r="I15" s="8">
        <v>39.5</v>
      </c>
      <c r="M15" s="46">
        <f t="shared" si="0"/>
        <v>56.793515597584161</v>
      </c>
      <c r="N15" s="46">
        <f t="shared" si="5"/>
        <v>12</v>
      </c>
      <c r="O15" s="50">
        <f t="shared" si="1"/>
        <v>111.6465698314735</v>
      </c>
      <c r="P15" s="50">
        <f t="shared" si="2"/>
        <v>54.853054233889338</v>
      </c>
      <c r="Q15" s="50">
        <f t="shared" si="3"/>
        <v>62.282039161163247</v>
      </c>
    </row>
    <row r="16" spans="1:17">
      <c r="A16" s="78"/>
      <c r="B16" s="79" t="s">
        <v>1</v>
      </c>
      <c r="C16" s="46">
        <f>C13</f>
        <v>0</v>
      </c>
      <c r="D16" s="7">
        <v>1199</v>
      </c>
      <c r="E16" s="7">
        <v>1209</v>
      </c>
      <c r="F16" s="7">
        <v>651</v>
      </c>
      <c r="G16" s="8">
        <v>71.099999999999994</v>
      </c>
      <c r="H16" s="8">
        <v>81</v>
      </c>
      <c r="I16" s="8">
        <v>43.9</v>
      </c>
      <c r="M16" s="46">
        <f t="shared" si="0"/>
        <v>54.610593903834655</v>
      </c>
      <c r="N16" s="46">
        <f t="shared" si="5"/>
        <v>13</v>
      </c>
      <c r="O16" s="50">
        <f t="shared" si="1"/>
        <v>109.35891541812991</v>
      </c>
      <c r="P16" s="50">
        <f t="shared" si="2"/>
        <v>54.748321514295256</v>
      </c>
      <c r="Q16" s="50">
        <f t="shared" si="3"/>
        <v>61.94022554358321</v>
      </c>
    </row>
    <row r="17" spans="1:21">
      <c r="A17" s="78"/>
      <c r="B17" s="79"/>
      <c r="C17" s="46">
        <f t="shared" ref="C17:C21" si="9">C14</f>
        <v>1</v>
      </c>
      <c r="D17" s="7">
        <v>1201</v>
      </c>
      <c r="E17" s="7">
        <v>1211</v>
      </c>
      <c r="F17" s="7">
        <v>650</v>
      </c>
      <c r="G17" s="8">
        <v>75.099999999999994</v>
      </c>
      <c r="H17" s="8">
        <v>85.7</v>
      </c>
      <c r="I17" s="8">
        <v>47.7</v>
      </c>
      <c r="M17" s="46">
        <f t="shared" si="0"/>
        <v>52.427672210085149</v>
      </c>
      <c r="N17" s="46">
        <f t="shared" si="5"/>
        <v>14</v>
      </c>
      <c r="O17" s="50">
        <f t="shared" si="1"/>
        <v>107.07126100478632</v>
      </c>
      <c r="P17" s="50">
        <f t="shared" si="2"/>
        <v>54.643588794701174</v>
      </c>
      <c r="Q17" s="50">
        <f t="shared" si="3"/>
        <v>61.598411926003166</v>
      </c>
    </row>
    <row r="18" spans="1:21">
      <c r="A18" s="78"/>
      <c r="B18" s="79"/>
      <c r="C18" s="46">
        <f t="shared" si="9"/>
        <v>2</v>
      </c>
      <c r="D18" s="6">
        <f>2*(D16-D17)/(D16+D17)</f>
        <v>-1.6666666666666668E-3</v>
      </c>
      <c r="E18" s="6">
        <f t="shared" ref="E18:F18" si="10">2*(E16-E17)/(E16+E17)</f>
        <v>-1.652892561983471E-3</v>
      </c>
      <c r="F18" s="6">
        <f t="shared" si="10"/>
        <v>1.5372790161414297E-3</v>
      </c>
      <c r="G18" s="8">
        <v>62.1</v>
      </c>
      <c r="H18" s="8">
        <v>92.2</v>
      </c>
      <c r="I18" s="8">
        <v>43.9</v>
      </c>
      <c r="M18" s="46">
        <f t="shared" si="0"/>
        <v>50.244750516335635</v>
      </c>
      <c r="N18" s="46">
        <f t="shared" si="5"/>
        <v>15</v>
      </c>
      <c r="O18" s="50">
        <f t="shared" si="1"/>
        <v>104.78360659144273</v>
      </c>
      <c r="P18" s="50">
        <f t="shared" si="2"/>
        <v>54.538856075107098</v>
      </c>
      <c r="Q18" s="50">
        <f t="shared" si="3"/>
        <v>61.256598308423129</v>
      </c>
    </row>
    <row r="19" spans="1:21">
      <c r="A19" s="78"/>
      <c r="B19" s="79" t="s">
        <v>2</v>
      </c>
      <c r="C19" s="46">
        <f t="shared" si="9"/>
        <v>0</v>
      </c>
      <c r="D19" s="7">
        <v>509</v>
      </c>
      <c r="E19" s="7">
        <v>576.4</v>
      </c>
      <c r="F19" s="7">
        <v>533.70000000000005</v>
      </c>
      <c r="G19" s="8">
        <v>30.2</v>
      </c>
      <c r="H19" s="8">
        <v>39.4</v>
      </c>
      <c r="I19" s="8">
        <v>32.299999999999997</v>
      </c>
      <c r="M19" s="46">
        <f t="shared" si="0"/>
        <v>48.061828822586129</v>
      </c>
      <c r="N19" s="46">
        <f t="shared" si="5"/>
        <v>16</v>
      </c>
      <c r="O19" s="50">
        <f t="shared" si="1"/>
        <v>102.49595217809915</v>
      </c>
      <c r="P19" s="50">
        <f t="shared" si="2"/>
        <v>54.434123355513016</v>
      </c>
      <c r="Q19" s="50">
        <f t="shared" si="3"/>
        <v>60.914784690843085</v>
      </c>
    </row>
    <row r="20" spans="1:21">
      <c r="A20" s="78"/>
      <c r="B20" s="79"/>
      <c r="C20" s="46">
        <f t="shared" si="9"/>
        <v>1</v>
      </c>
      <c r="D20" s="7">
        <v>510.7</v>
      </c>
      <c r="E20" s="7">
        <v>577.9</v>
      </c>
      <c r="F20" s="7">
        <v>534.1</v>
      </c>
      <c r="G20" s="8">
        <v>32.9</v>
      </c>
      <c r="H20" s="8">
        <v>42.7</v>
      </c>
      <c r="I20" s="8">
        <v>35.200000000000003</v>
      </c>
      <c r="M20" s="46">
        <f t="shared" si="0"/>
        <v>45.878907128836637</v>
      </c>
      <c r="N20" s="46">
        <f t="shared" si="5"/>
        <v>17</v>
      </c>
      <c r="O20" s="50">
        <f t="shared" si="1"/>
        <v>100.20829776475557</v>
      </c>
      <c r="P20" s="50">
        <f t="shared" si="2"/>
        <v>54.329390635918934</v>
      </c>
      <c r="Q20" s="50">
        <f t="shared" si="3"/>
        <v>60.572971073263048</v>
      </c>
    </row>
    <row r="21" spans="1:21">
      <c r="A21" s="78"/>
      <c r="B21" s="79"/>
      <c r="C21" s="46">
        <f t="shared" si="9"/>
        <v>2</v>
      </c>
      <c r="D21" s="6">
        <f>2*(D19-D20)/(D19+D20)</f>
        <v>-3.334314013925642E-3</v>
      </c>
      <c r="E21" s="6">
        <f t="shared" ref="E21:F21" si="11">2*(E19-E20)/(E19+E20)</f>
        <v>-2.5989777354240668E-3</v>
      </c>
      <c r="F21" s="6">
        <f t="shared" si="11"/>
        <v>-7.492039707810024E-4</v>
      </c>
      <c r="G21" s="8">
        <v>28</v>
      </c>
      <c r="H21" s="8">
        <v>38.1</v>
      </c>
      <c r="I21" s="8">
        <v>29.9</v>
      </c>
      <c r="M21" s="46">
        <f t="shared" si="0"/>
        <v>43.695985435087131</v>
      </c>
      <c r="N21" s="46">
        <f t="shared" si="5"/>
        <v>18</v>
      </c>
      <c r="O21" s="50">
        <f t="shared" si="1"/>
        <v>97.920643351411982</v>
      </c>
      <c r="P21" s="50">
        <f t="shared" si="2"/>
        <v>54.224657916324851</v>
      </c>
      <c r="Q21" s="50">
        <f t="shared" si="3"/>
        <v>60.231157455683004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560.29999999999995</v>
      </c>
      <c r="E22" s="46">
        <f t="shared" ref="E22:F22" si="12">(E13+E14)/2</f>
        <v>519.95000000000005</v>
      </c>
      <c r="F22" s="46">
        <f t="shared" si="12"/>
        <v>156.69999999999999</v>
      </c>
      <c r="G22" s="5">
        <f>G13</f>
        <v>92</v>
      </c>
      <c r="H22" s="5">
        <f t="shared" ref="H22:I22" si="13">H13</f>
        <v>34</v>
      </c>
      <c r="I22" s="5">
        <f t="shared" si="13"/>
        <v>40.700000000000003</v>
      </c>
      <c r="J22" s="99">
        <f>AVERAGE(G22:I24)</f>
        <v>51.622222222222213</v>
      </c>
      <c r="M22" s="46">
        <f t="shared" si="0"/>
        <v>41.513063741337625</v>
      </c>
      <c r="N22" s="46">
        <f t="shared" si="5"/>
        <v>19</v>
      </c>
      <c r="O22" s="50">
        <f t="shared" si="1"/>
        <v>95.632988938068394</v>
      </c>
      <c r="P22" s="50">
        <f t="shared" si="2"/>
        <v>54.119925196730769</v>
      </c>
      <c r="Q22" s="50">
        <f t="shared" si="3"/>
        <v>59.88934383810296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1200</v>
      </c>
      <c r="E23" s="46">
        <f>(E16+E17)/2</f>
        <v>1210</v>
      </c>
      <c r="F23" s="46">
        <f>(F16+F17)/2</f>
        <v>650.5</v>
      </c>
      <c r="G23" s="5">
        <f>G16</f>
        <v>71.099999999999994</v>
      </c>
      <c r="H23" s="5">
        <f>H16</f>
        <v>81</v>
      </c>
      <c r="I23" s="5">
        <f>I16</f>
        <v>43.9</v>
      </c>
      <c r="J23" s="99"/>
      <c r="M23" s="46">
        <f t="shared" si="0"/>
        <v>39.330142047588126</v>
      </c>
      <c r="N23" s="46">
        <f t="shared" si="5"/>
        <v>20</v>
      </c>
      <c r="O23" s="50">
        <f t="shared" si="1"/>
        <v>93.345334524724819</v>
      </c>
      <c r="P23" s="50">
        <f t="shared" si="2"/>
        <v>54.015192477136694</v>
      </c>
      <c r="Q23" s="50">
        <f t="shared" si="3"/>
        <v>59.547530220522923</v>
      </c>
    </row>
    <row r="24" spans="1:21">
      <c r="A24" s="78"/>
      <c r="B24" s="46" t="str">
        <f>B19</f>
        <v>D65</v>
      </c>
      <c r="C24" s="79"/>
      <c r="D24" s="46">
        <f>(D19+D20)/2</f>
        <v>509.85</v>
      </c>
      <c r="E24" s="46">
        <f>(E19+E20)/2</f>
        <v>577.15</v>
      </c>
      <c r="F24" s="46">
        <f>(F19+F20)/2</f>
        <v>533.90000000000009</v>
      </c>
      <c r="G24" s="5">
        <f>G19</f>
        <v>30.2</v>
      </c>
      <c r="H24" s="5">
        <f>H19</f>
        <v>39.4</v>
      </c>
      <c r="I24" s="5">
        <f>I19</f>
        <v>32.299999999999997</v>
      </c>
      <c r="J24" s="99"/>
      <c r="M24" s="46">
        <f t="shared" si="0"/>
        <v>37.14722035383862</v>
      </c>
      <c r="N24" s="46">
        <f t="shared" si="5"/>
        <v>21</v>
      </c>
      <c r="O24" s="50">
        <f t="shared" si="1"/>
        <v>91.057680111381231</v>
      </c>
      <c r="P24" s="50">
        <f t="shared" si="2"/>
        <v>53.910459757542611</v>
      </c>
      <c r="Q24" s="50">
        <f t="shared" si="3"/>
        <v>59.205716602942879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560.29999999999995</v>
      </c>
      <c r="E25" s="46">
        <f t="shared" ref="E25:F25" si="15">(E13+E14)/2</f>
        <v>519.95000000000005</v>
      </c>
      <c r="F25" s="46">
        <f t="shared" si="15"/>
        <v>156.69999999999999</v>
      </c>
      <c r="G25" s="5">
        <f t="shared" ref="G25:I25" si="16">G14</f>
        <v>96.1</v>
      </c>
      <c r="H25" s="5">
        <f t="shared" si="16"/>
        <v>37</v>
      </c>
      <c r="I25" s="5">
        <f t="shared" si="16"/>
        <v>44.1</v>
      </c>
      <c r="J25" s="99">
        <f>AVERAGE(G25:I27)</f>
        <v>55.166666666666657</v>
      </c>
      <c r="M25" s="46">
        <f t="shared" si="0"/>
        <v>34.964298660089113</v>
      </c>
      <c r="N25" s="46">
        <f t="shared" si="5"/>
        <v>22</v>
      </c>
      <c r="O25" s="50">
        <f t="shared" si="1"/>
        <v>88.770025698037642</v>
      </c>
      <c r="P25" s="50">
        <f t="shared" si="2"/>
        <v>53.805727037948529</v>
      </c>
      <c r="Q25" s="50">
        <f t="shared" si="3"/>
        <v>58.863902985362841</v>
      </c>
    </row>
    <row r="26" spans="1:21">
      <c r="A26" s="78"/>
      <c r="B26" s="46" t="str">
        <f>B16</f>
        <v>CWF</v>
      </c>
      <c r="C26" s="79"/>
      <c r="D26" s="46">
        <f>(D16+D17)/2</f>
        <v>1200</v>
      </c>
      <c r="E26" s="46">
        <f>(E16+E17)/2</f>
        <v>1210</v>
      </c>
      <c r="F26" s="46">
        <f>(F16+F17)/2</f>
        <v>650.5</v>
      </c>
      <c r="G26" s="5">
        <f>G17</f>
        <v>75.099999999999994</v>
      </c>
      <c r="H26" s="5">
        <f>H17</f>
        <v>85.7</v>
      </c>
      <c r="I26" s="5">
        <f>I17</f>
        <v>47.7</v>
      </c>
      <c r="J26" s="99"/>
      <c r="M26" s="46">
        <f t="shared" si="0"/>
        <v>32.781376966339622</v>
      </c>
      <c r="N26" s="46">
        <f t="shared" si="5"/>
        <v>23</v>
      </c>
      <c r="O26" s="50">
        <f t="shared" si="1"/>
        <v>86.482371284694068</v>
      </c>
      <c r="P26" s="50">
        <f t="shared" si="2"/>
        <v>53.700994318354446</v>
      </c>
      <c r="Q26" s="50">
        <f t="shared" si="3"/>
        <v>58.522089367782797</v>
      </c>
    </row>
    <row r="27" spans="1:21">
      <c r="A27" s="78"/>
      <c r="B27" s="46" t="str">
        <f>B19</f>
        <v>D65</v>
      </c>
      <c r="C27" s="79"/>
      <c r="D27" s="46">
        <f>(D19+D20)/2</f>
        <v>509.85</v>
      </c>
      <c r="E27" s="46">
        <f>(E19+E20)/2</f>
        <v>577.15</v>
      </c>
      <c r="F27" s="46">
        <f>(F19+F20)/2</f>
        <v>533.90000000000009</v>
      </c>
      <c r="G27" s="5">
        <f>G20</f>
        <v>32.9</v>
      </c>
      <c r="H27" s="5">
        <f>H20</f>
        <v>42.7</v>
      </c>
      <c r="I27" s="5">
        <f>I20</f>
        <v>35.200000000000003</v>
      </c>
      <c r="J27" s="99"/>
      <c r="M27" s="46">
        <f t="shared" si="0"/>
        <v>30.598455272590115</v>
      </c>
      <c r="N27" s="46">
        <f t="shared" si="5"/>
        <v>24</v>
      </c>
      <c r="O27" s="50">
        <f t="shared" si="1"/>
        <v>84.194716871350479</v>
      </c>
      <c r="P27" s="50">
        <f t="shared" si="2"/>
        <v>53.596261598760364</v>
      </c>
      <c r="Q27" s="50">
        <f t="shared" si="3"/>
        <v>58.18027575020276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560.29999999999995</v>
      </c>
      <c r="E28" s="46">
        <f t="shared" ref="E28:F28" si="17">(E13+E14)/2</f>
        <v>519.95000000000005</v>
      </c>
      <c r="F28" s="46">
        <f t="shared" si="17"/>
        <v>156.69999999999999</v>
      </c>
      <c r="G28" s="5">
        <f t="shared" ref="G28:I28" si="18">G15</f>
        <v>100.5</v>
      </c>
      <c r="H28" s="5">
        <f t="shared" si="18"/>
        <v>31.8</v>
      </c>
      <c r="I28" s="5">
        <f t="shared" si="18"/>
        <v>39.5</v>
      </c>
      <c r="J28" s="99">
        <f>AVERAGE(G28:I30)</f>
        <v>51.777777777777779</v>
      </c>
      <c r="M28" s="46">
        <f t="shared" si="0"/>
        <v>28.415533578840609</v>
      </c>
      <c r="N28" s="46">
        <f t="shared" si="5"/>
        <v>25</v>
      </c>
      <c r="O28" s="50">
        <f t="shared" si="1"/>
        <v>81.907062458006891</v>
      </c>
      <c r="P28" s="50">
        <f t="shared" si="2"/>
        <v>53.491528879166282</v>
      </c>
      <c r="Q28" s="50">
        <f t="shared" si="3"/>
        <v>57.838462132622716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1200</v>
      </c>
      <c r="E29" s="46">
        <f t="shared" si="20"/>
        <v>1210</v>
      </c>
      <c r="F29" s="46">
        <f t="shared" si="20"/>
        <v>650.5</v>
      </c>
      <c r="G29" s="5">
        <f t="shared" ref="G29:I29" si="21">G18</f>
        <v>62.1</v>
      </c>
      <c r="H29" s="5">
        <f t="shared" si="21"/>
        <v>92.2</v>
      </c>
      <c r="I29" s="5">
        <f t="shared" si="21"/>
        <v>43.9</v>
      </c>
      <c r="J29" s="99"/>
      <c r="M29" s="46">
        <f t="shared" si="0"/>
        <v>26.23261188509111</v>
      </c>
      <c r="N29" s="46">
        <f t="shared" si="5"/>
        <v>26</v>
      </c>
      <c r="O29" s="50">
        <f t="shared" si="1"/>
        <v>79.619408044663317</v>
      </c>
      <c r="P29" s="50">
        <f t="shared" si="2"/>
        <v>53.386796159572206</v>
      </c>
      <c r="Q29" s="50">
        <f t="shared" si="3"/>
        <v>57.496648515042679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509.85</v>
      </c>
      <c r="E30" s="46">
        <f t="shared" si="23"/>
        <v>577.15</v>
      </c>
      <c r="F30" s="46">
        <f t="shared" si="23"/>
        <v>533.90000000000009</v>
      </c>
      <c r="G30" s="5">
        <f t="shared" ref="G30:I30" si="24">G21</f>
        <v>28</v>
      </c>
      <c r="H30" s="5">
        <f t="shared" si="24"/>
        <v>38.1</v>
      </c>
      <c r="I30" s="5">
        <f t="shared" si="24"/>
        <v>29.9</v>
      </c>
      <c r="J30" s="99"/>
      <c r="M30" s="46">
        <f t="shared" si="0"/>
        <v>24.04969019134159</v>
      </c>
      <c r="N30" s="46">
        <f t="shared" si="5"/>
        <v>27</v>
      </c>
      <c r="O30" s="50">
        <f t="shared" si="1"/>
        <v>77.331753631319714</v>
      </c>
      <c r="P30" s="50">
        <f t="shared" si="2"/>
        <v>53.282063439978124</v>
      </c>
      <c r="Q30" s="50">
        <f t="shared" si="3"/>
        <v>57.154834897462635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560.29999999999995</v>
      </c>
      <c r="E31" s="46">
        <f t="shared" si="25"/>
        <v>519.95000000000005</v>
      </c>
      <c r="F31" s="46">
        <f t="shared" si="25"/>
        <v>156.69999999999999</v>
      </c>
      <c r="G31" s="5">
        <f t="shared" ref="G31:I33" si="26">G22*$J$31</f>
        <v>92</v>
      </c>
      <c r="H31" s="5">
        <f t="shared" si="26"/>
        <v>34</v>
      </c>
      <c r="I31" s="5">
        <f t="shared" si="26"/>
        <v>40.700000000000003</v>
      </c>
      <c r="J31" s="96">
        <f>J$22/J22</f>
        <v>1</v>
      </c>
      <c r="M31" s="46">
        <f t="shared" si="0"/>
        <v>21.866768497592098</v>
      </c>
      <c r="N31" s="46">
        <f t="shared" si="5"/>
        <v>28</v>
      </c>
      <c r="O31" s="50">
        <f t="shared" si="1"/>
        <v>75.044099217976139</v>
      </c>
      <c r="P31" s="50">
        <f t="shared" si="2"/>
        <v>53.177330720384042</v>
      </c>
      <c r="Q31" s="50">
        <f t="shared" si="3"/>
        <v>56.813021279882591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1200</v>
      </c>
      <c r="E32" s="46">
        <f t="shared" si="27"/>
        <v>1210</v>
      </c>
      <c r="F32" s="46">
        <f t="shared" si="27"/>
        <v>650.5</v>
      </c>
      <c r="G32" s="5">
        <f t="shared" si="26"/>
        <v>71.099999999999994</v>
      </c>
      <c r="H32" s="5">
        <f t="shared" si="26"/>
        <v>81</v>
      </c>
      <c r="I32" s="5">
        <f t="shared" si="26"/>
        <v>43.9</v>
      </c>
      <c r="J32" s="96"/>
      <c r="M32" s="46">
        <f t="shared" si="0"/>
        <v>19.683846803842592</v>
      </c>
      <c r="N32" s="46">
        <f t="shared" si="5"/>
        <v>29</v>
      </c>
      <c r="O32" s="50">
        <f t="shared" si="1"/>
        <v>72.756444804632551</v>
      </c>
      <c r="P32" s="50">
        <f t="shared" si="2"/>
        <v>53.072598000789959</v>
      </c>
      <c r="Q32" s="50">
        <f t="shared" si="3"/>
        <v>56.471207662302554</v>
      </c>
    </row>
    <row r="33" spans="1:17">
      <c r="A33" s="78"/>
      <c r="B33" s="46" t="str">
        <f t="shared" si="27"/>
        <v>D65</v>
      </c>
      <c r="C33" s="79"/>
      <c r="D33" s="46">
        <f t="shared" si="27"/>
        <v>509.85</v>
      </c>
      <c r="E33" s="46">
        <f t="shared" si="27"/>
        <v>577.15</v>
      </c>
      <c r="F33" s="46">
        <f t="shared" si="27"/>
        <v>533.90000000000009</v>
      </c>
      <c r="G33" s="5">
        <f t="shared" si="26"/>
        <v>30.2</v>
      </c>
      <c r="H33" s="5">
        <f t="shared" si="26"/>
        <v>39.4</v>
      </c>
      <c r="I33" s="5">
        <f t="shared" si="26"/>
        <v>32.299999999999997</v>
      </c>
      <c r="J33" s="96"/>
      <c r="M33" s="46">
        <f t="shared" si="0"/>
        <v>17.500925110093085</v>
      </c>
      <c r="N33" s="46">
        <f t="shared" si="5"/>
        <v>30</v>
      </c>
      <c r="O33" s="50">
        <f t="shared" si="1"/>
        <v>70.468790391288962</v>
      </c>
      <c r="P33" s="50">
        <f t="shared" si="2"/>
        <v>52.967865281195877</v>
      </c>
      <c r="Q33" s="50">
        <f t="shared" si="3"/>
        <v>56.12939404472251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560.29999999999995</v>
      </c>
      <c r="E34" s="46">
        <f t="shared" si="27"/>
        <v>519.95000000000005</v>
      </c>
      <c r="F34" s="46">
        <f t="shared" si="27"/>
        <v>156.69999999999999</v>
      </c>
      <c r="G34" s="5">
        <f t="shared" ref="G34:I36" si="28">G25*$J$34</f>
        <v>89.925599194360515</v>
      </c>
      <c r="H34" s="5">
        <f t="shared" si="28"/>
        <v>34.622759315206444</v>
      </c>
      <c r="I34" s="5">
        <f t="shared" si="28"/>
        <v>41.266586102719039</v>
      </c>
      <c r="J34" s="96">
        <f>J$22/J25</f>
        <v>0.93575025176233639</v>
      </c>
      <c r="M34" s="46">
        <f t="shared" si="0"/>
        <v>15.318003416343586</v>
      </c>
      <c r="N34" s="46">
        <f t="shared" si="5"/>
        <v>31</v>
      </c>
      <c r="O34" s="50">
        <f t="shared" si="1"/>
        <v>68.181135977945388</v>
      </c>
      <c r="P34" s="50">
        <f t="shared" si="2"/>
        <v>52.863132561601802</v>
      </c>
      <c r="Q34" s="50">
        <f t="shared" si="3"/>
        <v>55.787580427142473</v>
      </c>
    </row>
    <row r="35" spans="1:17">
      <c r="A35" s="78"/>
      <c r="B35" s="46" t="str">
        <f t="shared" si="27"/>
        <v>CWF</v>
      </c>
      <c r="C35" s="79"/>
      <c r="D35" s="46">
        <f t="shared" si="27"/>
        <v>1200</v>
      </c>
      <c r="E35" s="46">
        <f t="shared" si="27"/>
        <v>1210</v>
      </c>
      <c r="F35" s="46">
        <f t="shared" si="27"/>
        <v>650.5</v>
      </c>
      <c r="G35" s="5">
        <f t="shared" si="28"/>
        <v>70.274843907351453</v>
      </c>
      <c r="H35" s="5">
        <f t="shared" si="28"/>
        <v>80.193796576032227</v>
      </c>
      <c r="I35" s="5">
        <f t="shared" si="28"/>
        <v>44.635287009063447</v>
      </c>
      <c r="J35" s="96"/>
      <c r="M35" s="46">
        <f t="shared" si="0"/>
        <v>13.13508172259408</v>
      </c>
      <c r="N35" s="46">
        <f t="shared" si="5"/>
        <v>32</v>
      </c>
      <c r="O35" s="50">
        <f t="shared" si="1"/>
        <v>65.8934815646018</v>
      </c>
      <c r="P35" s="50">
        <f t="shared" si="2"/>
        <v>52.758399842007719</v>
      </c>
      <c r="Q35" s="50">
        <f t="shared" si="3"/>
        <v>55.445766809562429</v>
      </c>
    </row>
    <row r="36" spans="1:17">
      <c r="A36" s="78"/>
      <c r="B36" s="46" t="str">
        <f t="shared" si="27"/>
        <v>D65</v>
      </c>
      <c r="C36" s="79"/>
      <c r="D36" s="46">
        <f t="shared" si="27"/>
        <v>509.85</v>
      </c>
      <c r="E36" s="46">
        <f t="shared" si="27"/>
        <v>577.15</v>
      </c>
      <c r="F36" s="46">
        <f t="shared" si="27"/>
        <v>533.90000000000009</v>
      </c>
      <c r="G36" s="5">
        <f t="shared" si="28"/>
        <v>30.786183282980865</v>
      </c>
      <c r="H36" s="5">
        <f t="shared" si="28"/>
        <v>39.956535750251767</v>
      </c>
      <c r="I36" s="5">
        <f t="shared" si="28"/>
        <v>32.938408862034244</v>
      </c>
      <c r="J36" s="96"/>
      <c r="M36" s="46">
        <f t="shared" si="0"/>
        <v>10.952160028844574</v>
      </c>
      <c r="N36" s="46">
        <f t="shared" si="5"/>
        <v>33</v>
      </c>
      <c r="O36" s="50">
        <f t="shared" si="1"/>
        <v>63.605827151258211</v>
      </c>
      <c r="P36" s="50">
        <f t="shared" si="2"/>
        <v>52.653667122413637</v>
      </c>
      <c r="Q36" s="50">
        <f t="shared" si="3"/>
        <v>55.103953191982392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560.29999999999995</v>
      </c>
      <c r="E37" s="46">
        <f t="shared" si="27"/>
        <v>519.95000000000005</v>
      </c>
      <c r="F37" s="46">
        <f t="shared" si="27"/>
        <v>156.69999999999999</v>
      </c>
      <c r="G37" s="5">
        <f t="shared" ref="G37:I39" si="29">G28*$J$37</f>
        <v>100.19806866952787</v>
      </c>
      <c r="H37" s="5">
        <f t="shared" si="29"/>
        <v>31.704463519313297</v>
      </c>
      <c r="I37" s="5">
        <f t="shared" si="29"/>
        <v>39.381330472102995</v>
      </c>
      <c r="J37" s="96">
        <f>J$22/J28</f>
        <v>0.99699570815450622</v>
      </c>
      <c r="K37" s="51" t="str">
        <f>CHAR(34) &amp; "EEpromVersion" &amp;CHAR(34)  &amp; ",3,"</f>
        <v>"EEpromVersion",3,</v>
      </c>
      <c r="M37" s="46">
        <f t="shared" si="0"/>
        <v>8.769238335095082</v>
      </c>
      <c r="N37" s="46">
        <f t="shared" si="5"/>
        <v>34</v>
      </c>
      <c r="O37" s="50">
        <f t="shared" si="1"/>
        <v>61.318172737914637</v>
      </c>
      <c r="P37" s="50">
        <f t="shared" si="2"/>
        <v>52.548934402819555</v>
      </c>
      <c r="Q37" s="50">
        <f t="shared" si="3"/>
        <v>54.762139574402347</v>
      </c>
    </row>
    <row r="38" spans="1:17">
      <c r="A38" s="78"/>
      <c r="B38" s="46" t="str">
        <f t="shared" si="27"/>
        <v>CWF</v>
      </c>
      <c r="C38" s="79"/>
      <c r="D38" s="46">
        <f t="shared" si="27"/>
        <v>1200</v>
      </c>
      <c r="E38" s="46">
        <f t="shared" si="27"/>
        <v>1210</v>
      </c>
      <c r="F38" s="46">
        <f t="shared" si="27"/>
        <v>650.5</v>
      </c>
      <c r="G38" s="5">
        <f t="shared" si="29"/>
        <v>61.913433476394836</v>
      </c>
      <c r="H38" s="5">
        <f t="shared" si="29"/>
        <v>91.923004291845473</v>
      </c>
      <c r="I38" s="5">
        <f t="shared" si="29"/>
        <v>43.768111587982823</v>
      </c>
      <c r="J38" s="96"/>
      <c r="K38" s="52" t="str">
        <f>K4</f>
        <v>"Compensation",38,</v>
      </c>
      <c r="M38" s="46">
        <f t="shared" si="0"/>
        <v>6.5863166413455758</v>
      </c>
      <c r="N38" s="46">
        <f t="shared" si="5"/>
        <v>35</v>
      </c>
      <c r="O38" s="50">
        <f t="shared" si="1"/>
        <v>59.030518324571048</v>
      </c>
      <c r="P38" s="50">
        <f t="shared" si="2"/>
        <v>52.444201683225472</v>
      </c>
      <c r="Q38" s="50">
        <f t="shared" si="3"/>
        <v>54.42032595682231</v>
      </c>
    </row>
    <row r="39" spans="1:17">
      <c r="A39" s="78"/>
      <c r="B39" s="46" t="str">
        <f t="shared" si="27"/>
        <v>D65</v>
      </c>
      <c r="C39" s="79"/>
      <c r="D39" s="46">
        <f t="shared" si="27"/>
        <v>509.85</v>
      </c>
      <c r="E39" s="46">
        <f t="shared" si="27"/>
        <v>577.15</v>
      </c>
      <c r="F39" s="46">
        <f t="shared" si="27"/>
        <v>533.90000000000009</v>
      </c>
      <c r="G39" s="5">
        <f t="shared" si="29"/>
        <v>27.915879828326176</v>
      </c>
      <c r="H39" s="5">
        <f t="shared" si="29"/>
        <v>37.98553648068669</v>
      </c>
      <c r="I39" s="5">
        <f t="shared" si="29"/>
        <v>29.810171673819735</v>
      </c>
      <c r="J39" s="96"/>
      <c r="K39" s="53" t="str">
        <f>linefmt("CardGain",J42,J45,J48)</f>
        <v>"CardGain",14.96013,15.61711,10.47748,</v>
      </c>
      <c r="M39" s="46">
        <f t="shared" si="0"/>
        <v>4.4033949475960696</v>
      </c>
      <c r="N39" s="46">
        <f t="shared" si="5"/>
        <v>36</v>
      </c>
      <c r="O39" s="50">
        <f t="shared" si="1"/>
        <v>56.74286391122746</v>
      </c>
      <c r="P39" s="50">
        <f t="shared" si="2"/>
        <v>52.33946896363139</v>
      </c>
      <c r="Q39" s="50">
        <f t="shared" si="3"/>
        <v>54.078512339242266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"Range",1,0.9357502,0.9969957,</v>
      </c>
      <c r="M40" s="46">
        <f t="shared" si="0"/>
        <v>2.2204732538465564</v>
      </c>
      <c r="N40" s="46">
        <f t="shared" si="5"/>
        <v>37</v>
      </c>
      <c r="O40" s="50">
        <f t="shared" si="1"/>
        <v>54.455209497883871</v>
      </c>
      <c r="P40" s="50">
        <f t="shared" si="2"/>
        <v>52.234736244037315</v>
      </c>
      <c r="Q40" s="50">
        <f t="shared" si="3"/>
        <v>53.736698721662222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1.2648815796389528</v>
      </c>
      <c r="N41" s="46">
        <f t="shared" si="5"/>
        <v>38</v>
      </c>
      <c r="O41" s="50">
        <f t="shared" si="1"/>
        <v>52.167555084540297</v>
      </c>
      <c r="P41" s="50">
        <f t="shared" si="2"/>
        <v>52.130003524443232</v>
      </c>
      <c r="Q41" s="50">
        <f t="shared" si="3"/>
        <v>53.394885104082185</v>
      </c>
    </row>
    <row r="42" spans="1:17">
      <c r="A42" s="4"/>
      <c r="B42" s="46" t="s">
        <v>3</v>
      </c>
      <c r="C42" s="79">
        <f>C31</f>
        <v>0</v>
      </c>
      <c r="D42" s="46">
        <f>I42/$H$43</f>
        <v>0.19455206755089341</v>
      </c>
      <c r="E42" s="46">
        <f>H42/$H$43</f>
        <v>1.0217082810486164</v>
      </c>
      <c r="F42" s="46">
        <f>G42/$H$43</f>
        <v>-0.37307096851317439</v>
      </c>
      <c r="G42" s="46">
        <f t="array" ref="G42:I42">LINEST($D31:$D33,$G31:$I33,FALSE)</f>
        <v>-5.5811901501466687</v>
      </c>
      <c r="H42" s="46">
        <v>15.28488860239591</v>
      </c>
      <c r="I42" s="46">
        <v>2.9105242024946558</v>
      </c>
      <c r="J42" s="97">
        <f>H43</f>
        <v>14.960129898045333</v>
      </c>
      <c r="K42" s="53" t="str">
        <f t="shared" ref="K42:K50" si="30">linefmt("",D42,E42,F42)</f>
        <v>0.1945521,1.021708,-0.373071,</v>
      </c>
      <c r="M42" s="46">
        <f t="shared" si="0"/>
        <v>3.1731708153054328</v>
      </c>
      <c r="N42" s="46">
        <f t="shared" si="5"/>
        <v>39</v>
      </c>
      <c r="O42" s="50">
        <f t="shared" si="1"/>
        <v>49.879900671196708</v>
      </c>
      <c r="P42" s="50">
        <f t="shared" si="2"/>
        <v>52.02527080484915</v>
      </c>
      <c r="Q42" s="50">
        <f t="shared" si="3"/>
        <v>53.053071486502141</v>
      </c>
    </row>
    <row r="43" spans="1:17">
      <c r="A43" s="4"/>
      <c r="B43" s="46" t="s">
        <v>4</v>
      </c>
      <c r="C43" s="79"/>
      <c r="D43" s="46">
        <f>I43/$H$43</f>
        <v>3.3180505947641326E-2</v>
      </c>
      <c r="E43" s="46">
        <f>H43/$H$43</f>
        <v>1</v>
      </c>
      <c r="F43" s="46">
        <f>G43/$H$43</f>
        <v>-5.6434699978326876E-2</v>
      </c>
      <c r="G43" s="46">
        <f t="array" ref="G43:I43">LINEST($E31:$E33,$G31:$I33,FALSE)</f>
        <v>-0.84427044243298621</v>
      </c>
      <c r="H43" s="46">
        <v>14.960129898045333</v>
      </c>
      <c r="I43" s="46">
        <v>0.49638467905957995</v>
      </c>
      <c r="J43" s="97"/>
      <c r="K43" s="53" t="str">
        <f t="shared" si="30"/>
        <v>3.318051E-02,1,-0.0564347,</v>
      </c>
      <c r="M43" s="46">
        <f t="shared" si="0"/>
        <v>5.1190116110689843</v>
      </c>
      <c r="N43" s="46">
        <f t="shared" si="5"/>
        <v>40</v>
      </c>
      <c r="O43" s="50">
        <f t="shared" si="1"/>
        <v>47.59224625785312</v>
      </c>
      <c r="P43" s="50">
        <f t="shared" si="2"/>
        <v>51.920538085255068</v>
      </c>
      <c r="Q43" s="50">
        <f t="shared" si="3"/>
        <v>52.711257868922104</v>
      </c>
    </row>
    <row r="44" spans="1:17">
      <c r="A44" s="4"/>
      <c r="B44" s="46" t="s">
        <v>5</v>
      </c>
      <c r="C44" s="79"/>
      <c r="D44" s="46">
        <f>I44/$H$43</f>
        <v>-0.52559690281351235</v>
      </c>
      <c r="E44" s="46">
        <f>H44/$H$43</f>
        <v>0.3924794404522372</v>
      </c>
      <c r="F44" s="46">
        <f>G44/$H$43</f>
        <v>1.1175705666717397</v>
      </c>
      <c r="G44" s="46">
        <f t="array" ref="G44:I44">LINEST($F$31:$F$33,$G31:$I33,FALSE)</f>
        <v>16.719000847641357</v>
      </c>
      <c r="H44" s="46">
        <v>5.8715434114776164</v>
      </c>
      <c r="I44" s="46">
        <v>-7.8629979401004535</v>
      </c>
      <c r="J44" s="97"/>
      <c r="K44" s="53" t="str">
        <f t="shared" si="30"/>
        <v>-0.5255969,0.3924794,1.117571,</v>
      </c>
      <c r="M44" s="46">
        <f t="shared" si="0"/>
        <v>7.0648524068325145</v>
      </c>
      <c r="N44" s="46">
        <f t="shared" si="5"/>
        <v>41</v>
      </c>
      <c r="O44" s="50">
        <f t="shared" si="1"/>
        <v>45.304591844509545</v>
      </c>
      <c r="P44" s="50">
        <f t="shared" si="2"/>
        <v>51.815805365660985</v>
      </c>
      <c r="Q44" s="50">
        <f t="shared" si="3"/>
        <v>52.36944425134206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0.20935325841105612</v>
      </c>
      <c r="E45" s="46">
        <f>H45/$H$46</f>
        <v>1.0219633777310555</v>
      </c>
      <c r="F45" s="46">
        <f>G45/$H$46</f>
        <v>-0.44423574013681327</v>
      </c>
      <c r="G45" s="46">
        <f t="array" ref="G45:I45">LINEST($D34:$D36,$G34:$I36,FALSE)</f>
        <v>-6.9376783747880584</v>
      </c>
      <c r="H45" s="46">
        <v>15.96011438279718</v>
      </c>
      <c r="I45" s="46">
        <v>3.2694928443229045</v>
      </c>
      <c r="J45" s="97">
        <f>H46</f>
        <v>15.617109899017649</v>
      </c>
      <c r="K45" s="53" t="str">
        <f t="shared" si="30"/>
        <v>0.2093533,1.021963,-0.4442357,</v>
      </c>
      <c r="M45" s="46">
        <f t="shared" si="0"/>
        <v>9.010693202596066</v>
      </c>
      <c r="N45" s="46">
        <f t="shared" si="5"/>
        <v>42</v>
      </c>
      <c r="O45" s="50">
        <f t="shared" si="1"/>
        <v>43.016937431165957</v>
      </c>
      <c r="P45" s="50">
        <f t="shared" si="2"/>
        <v>51.71107264606691</v>
      </c>
      <c r="Q45" s="50">
        <f t="shared" si="3"/>
        <v>52.027630633762023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4.7311840685427958E-2</v>
      </c>
      <c r="E46" s="46">
        <f>H46/$H$46</f>
        <v>1</v>
      </c>
      <c r="F46" s="46">
        <f>G46/$H$46</f>
        <v>-0.13530784364777879</v>
      </c>
      <c r="G46" s="46">
        <f t="array" ref="G46:I46">LINEST($E34:$E36,$G34:$I36,FALSE)</f>
        <v>-2.1131174644464585</v>
      </c>
      <c r="H46" s="46">
        <v>15.617109899017649</v>
      </c>
      <c r="I46" s="46">
        <v>0.7388742155091429</v>
      </c>
      <c r="J46" s="97"/>
      <c r="K46" s="53" t="str">
        <f t="shared" si="30"/>
        <v>4.731184E-02,1,-0.1353078,</v>
      </c>
      <c r="M46" s="46">
        <f t="shared" si="0"/>
        <v>10.95653399835961</v>
      </c>
      <c r="N46" s="46">
        <f t="shared" si="5"/>
        <v>43</v>
      </c>
      <c r="O46" s="50">
        <f t="shared" si="1"/>
        <v>40.729283017822368</v>
      </c>
      <c r="P46" s="50">
        <f t="shared" si="2"/>
        <v>51.606339926472828</v>
      </c>
      <c r="Q46" s="50">
        <f t="shared" si="3"/>
        <v>51.685817016181979</v>
      </c>
    </row>
    <row r="47" spans="1:17">
      <c r="A47" s="4"/>
      <c r="B47" s="46" t="str">
        <f t="shared" si="31"/>
        <v>Z</v>
      </c>
      <c r="C47" s="79"/>
      <c r="D47" s="46">
        <f>I47/$H$46</f>
        <v>-0.52091012551422455</v>
      </c>
      <c r="E47" s="46">
        <f>H47/$H$46</f>
        <v>0.3916244845634404</v>
      </c>
      <c r="F47" s="46">
        <f>G47/$H$46</f>
        <v>1.0497088746493153</v>
      </c>
      <c r="G47" s="46">
        <f t="array" ref="G47:I47">LINEST($F$31:$F$33,$G34:$I36,FALSE)</f>
        <v>16.393418857372499</v>
      </c>
      <c r="H47" s="46">
        <v>6.1160426145733897</v>
      </c>
      <c r="I47" s="46">
        <v>-8.1351106776667219</v>
      </c>
      <c r="J47" s="97"/>
      <c r="K47" s="53" t="str">
        <f t="shared" si="30"/>
        <v>-0.5209101,0.3916245,1.049709,</v>
      </c>
      <c r="M47" s="46">
        <f t="shared" si="0"/>
        <v>13.059978602399966</v>
      </c>
      <c r="N47" s="46">
        <f t="shared" si="5"/>
        <v>44</v>
      </c>
      <c r="O47" s="50">
        <f t="shared" si="1"/>
        <v>38.44162860447878</v>
      </c>
      <c r="P47" s="50">
        <f t="shared" si="2"/>
        <v>51.501607206878745</v>
      </c>
      <c r="Q47" s="50">
        <f t="shared" si="3"/>
        <v>51.344003398601942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0.15148571408831168</v>
      </c>
      <c r="E48" s="46">
        <f>H48/$H$49</f>
        <v>1.104103608457679</v>
      </c>
      <c r="F48" s="46">
        <f>G48/$H$49</f>
        <v>8.3618374205744056E-2</v>
      </c>
      <c r="G48" s="46">
        <f t="array" ref="G48:I48">LINEST($D37:$D39,$G37:$I39,FALSE)</f>
        <v>0.87610997358990694</v>
      </c>
      <c r="H48" s="46">
        <v>11.568225194934843</v>
      </c>
      <c r="I48" s="46">
        <v>1.5871887755507457</v>
      </c>
      <c r="J48" s="97">
        <f>H49</f>
        <v>10.477481557273853</v>
      </c>
      <c r="K48" s="53" t="str">
        <f t="shared" si="30"/>
        <v>0.1514857,1.104104,8.361837E-02,</v>
      </c>
      <c r="M48" s="46">
        <f t="shared" si="0"/>
        <v>15.242900296149458</v>
      </c>
      <c r="N48" s="46">
        <f t="shared" si="5"/>
        <v>45</v>
      </c>
      <c r="O48" s="50">
        <f t="shared" si="1"/>
        <v>36.153974191135205</v>
      </c>
      <c r="P48" s="50">
        <f t="shared" si="2"/>
        <v>51.396874487284663</v>
      </c>
      <c r="Q48" s="50">
        <f t="shared" si="3"/>
        <v>51.002189781021897</v>
      </c>
    </row>
    <row r="49" spans="1:24">
      <c r="A49" s="4"/>
      <c r="B49" s="46" t="str">
        <f t="shared" si="31"/>
        <v>Y</v>
      </c>
      <c r="C49" s="79"/>
      <c r="D49" s="46">
        <f>I49/$H$49</f>
        <v>-7.3726724898179385E-2</v>
      </c>
      <c r="E49" s="46">
        <f>H49/$H$49</f>
        <v>1</v>
      </c>
      <c r="F49" s="46">
        <f>G49/$H$49</f>
        <v>0.64264682551087038</v>
      </c>
      <c r="G49" s="46">
        <f t="array" ref="G49:I49">LINEST($E37:$E39,$G37:$I39,FALSE)</f>
        <v>6.7333202621307322</v>
      </c>
      <c r="H49" s="46">
        <v>10.477481557273853</v>
      </c>
      <c r="I49" s="46">
        <v>-0.77247040039887749</v>
      </c>
      <c r="J49" s="97"/>
      <c r="K49" s="53" t="str">
        <f t="shared" si="30"/>
        <v>-7.372673E-02,1,0.6426468,</v>
      </c>
      <c r="M49" s="46">
        <f t="shared" si="0"/>
        <v>17.425821989898964</v>
      </c>
      <c r="N49" s="46">
        <f t="shared" si="5"/>
        <v>46</v>
      </c>
      <c r="O49" s="50">
        <f t="shared" si="1"/>
        <v>33.866319777791617</v>
      </c>
      <c r="P49" s="50">
        <f t="shared" si="2"/>
        <v>51.29214176769058</v>
      </c>
      <c r="Q49" s="50">
        <f t="shared" si="3"/>
        <v>50.660376163441853</v>
      </c>
    </row>
    <row r="50" spans="1:24">
      <c r="A50" s="4"/>
      <c r="B50" s="46" t="str">
        <f t="shared" si="31"/>
        <v>Z</v>
      </c>
      <c r="C50" s="79"/>
      <c r="D50" s="46">
        <f>I50/$H$49</f>
        <v>-0.79536073354136905</v>
      </c>
      <c r="E50" s="46">
        <f>H50/$H$49</f>
        <v>0.10824927080164222</v>
      </c>
      <c r="F50" s="46">
        <f>G50/$H$49</f>
        <v>2.3162627407953607</v>
      </c>
      <c r="G50" s="46">
        <f t="array" ref="G50:I50">LINEST($F$31:$F$33,$G37:$I39,FALSE)</f>
        <v>24.26860014848398</v>
      </c>
      <c r="H50" s="46">
        <v>1.1341797384125494</v>
      </c>
      <c r="I50" s="46">
        <v>-8.3333774170594968</v>
      </c>
      <c r="J50" s="97"/>
      <c r="K50" s="54" t="str">
        <f t="shared" si="30"/>
        <v>-0.7953607,0.1082493,2.316263,</v>
      </c>
      <c r="M50" s="46">
        <f t="shared" si="0"/>
        <v>19.60874368364847</v>
      </c>
      <c r="N50" s="46">
        <f t="shared" si="5"/>
        <v>47</v>
      </c>
      <c r="O50" s="50">
        <f t="shared" si="1"/>
        <v>31.578665364448028</v>
      </c>
      <c r="P50" s="50">
        <f t="shared" si="2"/>
        <v>51.187409048096498</v>
      </c>
      <c r="Q50" s="50">
        <f t="shared" si="3"/>
        <v>50.318562545861816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0.1851303466834204</v>
      </c>
      <c r="E51" s="46">
        <f t="shared" ref="E51:F51" si="32">(E42+E45+E48)/3</f>
        <v>1.0492584224124502</v>
      </c>
      <c r="F51" s="46">
        <f t="shared" si="32"/>
        <v>-0.24456277814808122</v>
      </c>
      <c r="J51" s="97">
        <f>(J42+J45+J48)/3</f>
        <v>13.684907118112278</v>
      </c>
      <c r="M51" s="46">
        <f t="shared" si="0"/>
        <v>21.791665377397962</v>
      </c>
      <c r="N51" s="46">
        <f t="shared" si="5"/>
        <v>48</v>
      </c>
      <c r="O51" s="50">
        <f t="shared" si="1"/>
        <v>29.291010951104454</v>
      </c>
      <c r="P51" s="50">
        <f t="shared" si="2"/>
        <v>51.082676328502416</v>
      </c>
      <c r="Q51" s="50">
        <f t="shared" si="3"/>
        <v>49.976748928281779</v>
      </c>
    </row>
    <row r="52" spans="1:24">
      <c r="B52" s="46" t="str">
        <f t="shared" si="31"/>
        <v>Y</v>
      </c>
      <c r="C52" s="79"/>
      <c r="D52" s="46">
        <f t="shared" ref="D52:F53" si="33">(D43+D46+D49)/3</f>
        <v>2.2552072449632996E-3</v>
      </c>
      <c r="E52" s="46">
        <f t="shared" si="33"/>
        <v>1</v>
      </c>
      <c r="F52" s="46">
        <f t="shared" si="33"/>
        <v>0.15030142729492157</v>
      </c>
      <c r="J52" s="97"/>
      <c r="M52" s="46">
        <f t="shared" si="0"/>
        <v>23.974587071147475</v>
      </c>
      <c r="N52" s="46">
        <f t="shared" si="5"/>
        <v>49</v>
      </c>
      <c r="O52" s="50">
        <f t="shared" si="1"/>
        <v>27.003356537760865</v>
      </c>
      <c r="P52" s="50">
        <f t="shared" si="2"/>
        <v>50.97794360890834</v>
      </c>
      <c r="Q52" s="50">
        <f t="shared" si="3"/>
        <v>49.634935310701735</v>
      </c>
    </row>
    <row r="53" spans="1:24" ht="15.75" thickBot="1">
      <c r="B53" s="46" t="str">
        <f t="shared" si="31"/>
        <v>Z</v>
      </c>
      <c r="C53" s="79"/>
      <c r="D53" s="46">
        <f t="shared" si="33"/>
        <v>-0.61395592062303528</v>
      </c>
      <c r="E53" s="46">
        <f t="shared" si="33"/>
        <v>0.29745106527243997</v>
      </c>
      <c r="F53" s="46">
        <f t="shared" si="33"/>
        <v>1.4945140607054721</v>
      </c>
      <c r="J53" s="100"/>
      <c r="M53" s="46">
        <f t="shared" si="0"/>
        <v>26.157508764896981</v>
      </c>
      <c r="N53" s="46">
        <f t="shared" si="5"/>
        <v>50</v>
      </c>
      <c r="O53" s="50">
        <f t="shared" si="1"/>
        <v>24.715702124417277</v>
      </c>
      <c r="P53" s="50">
        <f t="shared" si="2"/>
        <v>50.873210889314258</v>
      </c>
      <c r="Q53" s="50">
        <f t="shared" si="3"/>
        <v>49.293121693121691</v>
      </c>
    </row>
    <row r="54" spans="1:24">
      <c r="B54" s="79" t="s">
        <v>14</v>
      </c>
      <c r="C54" s="79"/>
      <c r="D54" s="19">
        <f>I54/$H$55</f>
        <v>0.19623420929154506</v>
      </c>
      <c r="E54" s="20">
        <f>H54/$H$55</f>
        <v>1.0460220419832658</v>
      </c>
      <c r="F54" s="21">
        <f>G54/$H$55</f>
        <v>-0.25876794359021627</v>
      </c>
      <c r="G54" s="46">
        <f t="array" ref="G54:I54">LINEST(D$31:D$39,$G$31:$I$39,FALSE)</f>
        <v>-3.4235424458553614</v>
      </c>
      <c r="H54" s="46">
        <v>13.839043624742887</v>
      </c>
      <c r="I54" s="46">
        <v>2.5962108579506049</v>
      </c>
      <c r="J54" s="98">
        <f>H55</f>
        <v>13.230164441376354</v>
      </c>
      <c r="M54" s="46">
        <f t="shared" si="0"/>
        <v>28.340430458646487</v>
      </c>
      <c r="N54" s="46">
        <f t="shared" si="5"/>
        <v>51</v>
      </c>
      <c r="O54" s="50">
        <f t="shared" si="1"/>
        <v>22.428047711073688</v>
      </c>
      <c r="P54" s="50">
        <f t="shared" si="2"/>
        <v>50.768478169720176</v>
      </c>
      <c r="Q54" s="50">
        <f t="shared" si="3"/>
        <v>48.951308075541647</v>
      </c>
    </row>
    <row r="55" spans="1:24" ht="15" customHeight="1">
      <c r="B55" s="79"/>
      <c r="C55" s="79"/>
      <c r="D55" s="22">
        <f>I55/$H$55</f>
        <v>1.9480808455267371E-2</v>
      </c>
      <c r="E55" s="18">
        <f>H55/$H$55</f>
        <v>1</v>
      </c>
      <c r="F55" s="23">
        <f>G55/$H$55</f>
        <v>0.11792337416981549</v>
      </c>
      <c r="G55" s="46">
        <f t="array" ref="G55:I55">LINEST(E$31:E$39,$G$31:$I$39,FALSE)</f>
        <v>1.5601456317486118</v>
      </c>
      <c r="H55" s="46">
        <v>13.230164441376354</v>
      </c>
      <c r="I55" s="46">
        <v>0.25773429931414221</v>
      </c>
      <c r="J55" s="98"/>
      <c r="M55" s="46">
        <f t="shared" si="0"/>
        <v>30.523352152395979</v>
      </c>
      <c r="N55" s="46">
        <f t="shared" si="5"/>
        <v>52</v>
      </c>
      <c r="O55" s="50">
        <f t="shared" si="1"/>
        <v>20.140393297730114</v>
      </c>
      <c r="P55" s="50">
        <f t="shared" si="2"/>
        <v>50.663745450126093</v>
      </c>
      <c r="Q55" s="50">
        <f t="shared" si="3"/>
        <v>48.60949445796161</v>
      </c>
    </row>
    <row r="56" spans="1:24" ht="15" customHeight="1" thickBot="1">
      <c r="B56" s="79"/>
      <c r="C56" s="79"/>
      <c r="D56" s="24">
        <f>I56/$H$55</f>
        <v>-0.58427735846388951</v>
      </c>
      <c r="E56" s="25">
        <f>H56/$H$55</f>
        <v>0.30967184420396526</v>
      </c>
      <c r="F56" s="26">
        <f>G56/$H$55</f>
        <v>1.4141780058854392</v>
      </c>
      <c r="G56" s="46">
        <f t="array" ref="G56:I56">LINEST(F$31:F$39,$G$31:$I$39,FALSE)</f>
        <v>18.709807567242059</v>
      </c>
      <c r="H56" s="46">
        <v>4.0970094216827393</v>
      </c>
      <c r="I56" s="46">
        <v>-7.7300855318502562</v>
      </c>
      <c r="J56" s="98"/>
      <c r="M56" s="46">
        <f t="shared" si="0"/>
        <v>32.706273846145486</v>
      </c>
      <c r="N56" s="46">
        <f t="shared" si="5"/>
        <v>53</v>
      </c>
      <c r="O56" s="50">
        <f t="shared" si="1"/>
        <v>17.852738884386525</v>
      </c>
      <c r="P56" s="50">
        <f t="shared" si="2"/>
        <v>50.559012730532011</v>
      </c>
      <c r="Q56" s="50">
        <f t="shared" si="3"/>
        <v>48.267680840381573</v>
      </c>
    </row>
    <row r="57" spans="1:24">
      <c r="M57" s="46">
        <f t="shared" si="0"/>
        <v>34.889195539894999</v>
      </c>
      <c r="N57" s="46">
        <f t="shared" si="5"/>
        <v>54</v>
      </c>
      <c r="O57" s="50">
        <f t="shared" si="1"/>
        <v>15.565084471042937</v>
      </c>
      <c r="P57" s="50">
        <f t="shared" si="2"/>
        <v>50.454280010937936</v>
      </c>
      <c r="Q57" s="50">
        <f t="shared" si="3"/>
        <v>47.925867222801529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37.072117233644505</v>
      </c>
      <c r="N58" s="46">
        <f t="shared" si="5"/>
        <v>55</v>
      </c>
      <c r="O58" s="50">
        <f t="shared" si="1"/>
        <v>13.277430057699348</v>
      </c>
      <c r="P58" s="50">
        <f t="shared" si="2"/>
        <v>50.349547291343853</v>
      </c>
      <c r="Q58" s="50">
        <f t="shared" si="3"/>
        <v>47.584053605221484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39.255038927393997</v>
      </c>
      <c r="N59" s="46">
        <f t="shared" si="5"/>
        <v>56</v>
      </c>
      <c r="O59" s="50">
        <f t="shared" si="1"/>
        <v>10.989775644355774</v>
      </c>
      <c r="P59" s="50">
        <f t="shared" si="2"/>
        <v>50.244814571749771</v>
      </c>
      <c r="Q59" s="50">
        <f t="shared" si="3"/>
        <v>47.242239987641447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519.95000000000005</v>
      </c>
      <c r="E60" s="32">
        <f t="shared" ref="E60:E68" si="37">getCCTfromXY(D22/SUM(D22:F22),E22/SUM(D22:F22))</f>
        <v>2881</v>
      </c>
      <c r="F60" s="31">
        <f t="shared" ref="F60:F68" si="38">V60</f>
        <v>537.03507375586571</v>
      </c>
      <c r="G60" s="32">
        <f t="shared" ref="G60:G68" si="39">getCCTfromXY(U60/X60,V60/X60)</f>
        <v>3045</v>
      </c>
      <c r="H60" s="33">
        <f>F60/D60-1</f>
        <v>3.2859070594991158E-2</v>
      </c>
      <c r="I60" s="34">
        <f t="shared" ref="I60:I68" si="40">G60/E60-1</f>
        <v>5.6924678930926786E-2</v>
      </c>
      <c r="M60" s="46">
        <f t="shared" si="0"/>
        <v>41.437960621143489</v>
      </c>
      <c r="N60" s="46">
        <f t="shared" si="5"/>
        <v>57</v>
      </c>
      <c r="O60" s="50">
        <f t="shared" si="1"/>
        <v>8.7021212310121996</v>
      </c>
      <c r="P60" s="50">
        <f t="shared" si="2"/>
        <v>50.140081852155689</v>
      </c>
      <c r="Q60" s="50">
        <f t="shared" si="3"/>
        <v>46.90042637006141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570.04070462640061</v>
      </c>
      <c r="V60" s="50">
        <f>$J$54*$J$31*($D$55*G22+$E$55*H22+$F$55*I22)</f>
        <v>537.03507375586571</v>
      </c>
      <c r="W60" s="50">
        <f>$J$54*$J$31*($D$56*G22+$E$56*H22+$F$56*I22)</f>
        <v>189.61961939374126</v>
      </c>
      <c r="X60" s="29">
        <f>SUM(U60:W60)</f>
        <v>1296.6953977760077</v>
      </c>
    </row>
    <row r="61" spans="1:24">
      <c r="A61" s="87"/>
      <c r="B61" s="48" t="str">
        <f t="shared" si="35"/>
        <v>CWF</v>
      </c>
      <c r="C61" s="93"/>
      <c r="D61" s="31">
        <f t="shared" si="36"/>
        <v>1210</v>
      </c>
      <c r="E61" s="32">
        <f t="shared" si="37"/>
        <v>3863</v>
      </c>
      <c r="F61" s="31">
        <f t="shared" si="38"/>
        <v>1158.4586216664843</v>
      </c>
      <c r="G61" s="32">
        <f t="shared" si="39"/>
        <v>3782</v>
      </c>
      <c r="H61" s="33">
        <f t="shared" ref="H61:H68" si="41">F61/D61-1</f>
        <v>-4.259618044092206E-2</v>
      </c>
      <c r="I61" s="34">
        <f t="shared" si="40"/>
        <v>-2.0968159461558389E-2</v>
      </c>
      <c r="M61" s="46">
        <f t="shared" si="0"/>
        <v>43.620882314893009</v>
      </c>
      <c r="N61" s="46">
        <f t="shared" si="5"/>
        <v>58</v>
      </c>
      <c r="O61" s="50">
        <f t="shared" si="1"/>
        <v>6.4144668176685968</v>
      </c>
      <c r="P61" s="50">
        <f t="shared" si="2"/>
        <v>50.035349132561606</v>
      </c>
      <c r="Q61" s="50">
        <f t="shared" si="3"/>
        <v>46.558612752481366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1155.2596122314114</v>
      </c>
      <c r="V61" s="50">
        <f>$J$54*$J$31*($D$55*G23+$E$55*H23+$F$55*I23)</f>
        <v>1158.4586216664843</v>
      </c>
      <c r="W61" s="50">
        <f>$J$54*$J$31*($D$56*G23+$E$56*H23+$F$56*I23)</f>
        <v>603.60923404367497</v>
      </c>
      <c r="X61" s="29">
        <f t="shared" ref="X61:X68" si="43">SUM(U61:W61)</f>
        <v>2917.3274679415704</v>
      </c>
    </row>
    <row r="62" spans="1:24">
      <c r="A62" s="87"/>
      <c r="B62" s="48" t="str">
        <f t="shared" si="35"/>
        <v>D65</v>
      </c>
      <c r="C62" s="93"/>
      <c r="D62" s="31">
        <f t="shared" si="36"/>
        <v>577.15</v>
      </c>
      <c r="E62" s="32">
        <f t="shared" si="37"/>
        <v>6365</v>
      </c>
      <c r="F62" s="31">
        <f t="shared" si="38"/>
        <v>579.44475873499562</v>
      </c>
      <c r="G62" s="32">
        <f t="shared" si="39"/>
        <v>6306</v>
      </c>
      <c r="H62" s="33">
        <f t="shared" si="41"/>
        <v>3.9760179069490142E-3</v>
      </c>
      <c r="I62" s="34">
        <f t="shared" si="40"/>
        <v>-9.2694422623723627E-3</v>
      </c>
      <c r="M62" s="46">
        <f t="shared" si="0"/>
        <v>45.803804008642501</v>
      </c>
      <c r="N62" s="46">
        <f t="shared" si="5"/>
        <v>59</v>
      </c>
      <c r="O62" s="50">
        <f t="shared" si="1"/>
        <v>4.1268124043250225</v>
      </c>
      <c r="P62" s="50">
        <f t="shared" si="2"/>
        <v>49.930616412967524</v>
      </c>
      <c r="Q62" s="50">
        <f t="shared" si="3"/>
        <v>46.216799134901322</v>
      </c>
      <c r="R62" s="78"/>
      <c r="S62" s="46" t="str">
        <f t="shared" si="42"/>
        <v>D65</v>
      </c>
      <c r="T62" s="79"/>
      <c r="U62" s="50">
        <f>$J$54*$J$31*($D$54*G24+$E$54*H24+$F$54*I24)</f>
        <v>513.08346572384983</v>
      </c>
      <c r="V62" s="50">
        <f>$J$54*$J$31*($D$55*G24+$E$55*H24+$F$55*I24)</f>
        <v>579.44475873499562</v>
      </c>
      <c r="W62" s="50">
        <f>$J$54*$J$31*($D$56*G24+$E$56*H24+$F$56*I24)</f>
        <v>532.3003725743406</v>
      </c>
      <c r="X62" s="29">
        <f t="shared" si="43"/>
        <v>1624.828597033186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519.95000000000005</v>
      </c>
      <c r="E63" s="32">
        <f t="shared" si="37"/>
        <v>2881</v>
      </c>
      <c r="F63" s="31">
        <f t="shared" si="38"/>
        <v>545.62359449847429</v>
      </c>
      <c r="G63" s="32">
        <f t="shared" si="39"/>
        <v>3208</v>
      </c>
      <c r="H63" s="33">
        <f t="shared" si="41"/>
        <v>4.9377044905229761E-2</v>
      </c>
      <c r="I63" s="34">
        <f t="shared" si="40"/>
        <v>0.11350225616105525</v>
      </c>
      <c r="M63" s="46">
        <f t="shared" si="0"/>
        <v>47.986725702392029</v>
      </c>
      <c r="N63" s="46">
        <f t="shared" si="5"/>
        <v>60</v>
      </c>
      <c r="O63" s="50">
        <f t="shared" si="1"/>
        <v>1.8391579909814197</v>
      </c>
      <c r="P63" s="50">
        <f t="shared" si="2"/>
        <v>49.825883693373449</v>
      </c>
      <c r="Q63" s="50">
        <f t="shared" si="3"/>
        <v>45.874985517321278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571.33378449002441</v>
      </c>
      <c r="V63" s="50">
        <f>$J$54*$J$34*($D$55*G25+$E$55*H25+$F$55*I25)</f>
        <v>545.62359449847429</v>
      </c>
      <c r="W63" s="50">
        <f>$J$54*$J$34*($D$56*G25+$E$56*H25+$F$56*I25)</f>
        <v>218.80708278266192</v>
      </c>
      <c r="X63" s="29">
        <f t="shared" si="43"/>
        <v>1335.7644617711605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1210</v>
      </c>
      <c r="E64" s="32">
        <f t="shared" si="37"/>
        <v>3863</v>
      </c>
      <c r="F64" s="31">
        <f t="shared" si="38"/>
        <v>1148.7269015820984</v>
      </c>
      <c r="G64" s="32">
        <f t="shared" si="39"/>
        <v>3868</v>
      </c>
      <c r="H64" s="33">
        <f t="shared" si="41"/>
        <v>-5.0638924312315314E-2</v>
      </c>
      <c r="I64" s="34">
        <f t="shared" si="40"/>
        <v>1.2943308309603108E-3</v>
      </c>
      <c r="M64" s="46">
        <f t="shared" si="0"/>
        <v>50.169647396141521</v>
      </c>
      <c r="N64" s="46">
        <f t="shared" si="5"/>
        <v>61</v>
      </c>
      <c r="O64" s="50">
        <f t="shared" si="1"/>
        <v>-0.44849642236215459</v>
      </c>
      <c r="P64" s="50">
        <f t="shared" si="2"/>
        <v>49.721150973779366</v>
      </c>
      <c r="Q64" s="50">
        <f t="shared" si="3"/>
        <v>45.533171899741241</v>
      </c>
      <c r="R64" s="78"/>
      <c r="S64" s="46" t="str">
        <f t="shared" si="42"/>
        <v>CWF</v>
      </c>
      <c r="T64" s="79"/>
      <c r="U64" s="50">
        <f>$J$54*$J$34*($D$54*G26+$E$54*H26+$F$54*I26)</f>
        <v>1139.4429623840515</v>
      </c>
      <c r="V64" s="50">
        <f>$J$54*$J$34*($D$55*G26+$E$55*H26+$F$55*I26)</f>
        <v>1148.7269015820984</v>
      </c>
      <c r="W64" s="50">
        <f>$J$54*$J$34*($D$56*G26+$E$56*H26+$F$56*I26)</f>
        <v>620.44181663945687</v>
      </c>
      <c r="X64" s="29">
        <f t="shared" si="43"/>
        <v>2908.611680605607</v>
      </c>
    </row>
    <row r="65" spans="1:24">
      <c r="A65" s="87"/>
      <c r="B65" s="48" t="str">
        <f t="shared" si="35"/>
        <v>D65</v>
      </c>
      <c r="C65" s="93"/>
      <c r="D65" s="31">
        <f t="shared" si="36"/>
        <v>577.15</v>
      </c>
      <c r="E65" s="32">
        <f t="shared" si="37"/>
        <v>6365</v>
      </c>
      <c r="F65" s="31">
        <f t="shared" si="38"/>
        <v>587.95490856341235</v>
      </c>
      <c r="G65" s="32">
        <f t="shared" si="39"/>
        <v>6333</v>
      </c>
      <c r="H65" s="33">
        <f t="shared" si="41"/>
        <v>1.8721144526401057E-2</v>
      </c>
      <c r="I65" s="34">
        <f t="shared" si="40"/>
        <v>-5.027494108405306E-3</v>
      </c>
      <c r="M65" s="46">
        <f t="shared" si="0"/>
        <v>52.352569089891013</v>
      </c>
      <c r="N65" s="46">
        <f t="shared" si="5"/>
        <v>62</v>
      </c>
      <c r="O65" s="50">
        <f t="shared" si="1"/>
        <v>-2.7361508357057289</v>
      </c>
      <c r="P65" s="50">
        <f t="shared" si="2"/>
        <v>49.616418254185284</v>
      </c>
      <c r="Q65" s="50">
        <f t="shared" si="3"/>
        <v>45.191358282161204</v>
      </c>
      <c r="R65" s="78"/>
      <c r="S65" s="46" t="str">
        <f t="shared" si="42"/>
        <v>D65</v>
      </c>
      <c r="T65" s="79"/>
      <c r="U65" s="50">
        <f>$J$54*$J$34*($D$54*G27+$E$54*H27+$F$54*I27)</f>
        <v>520.12162381735277</v>
      </c>
      <c r="V65" s="50">
        <f>$J$54*$J$34*($D$55*G27+$E$55*H27+$F$55*I27)</f>
        <v>587.95490856341235</v>
      </c>
      <c r="W65" s="50">
        <f>$J$54*$J$34*($D$56*G27+$E$56*H27+$F$56*I27)</f>
        <v>541.99376482972525</v>
      </c>
      <c r="X65" s="29">
        <f t="shared" si="43"/>
        <v>1650.0702972104903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519.95000000000005</v>
      </c>
      <c r="E66" s="32">
        <f t="shared" si="37"/>
        <v>2881</v>
      </c>
      <c r="F66" s="31">
        <f t="shared" si="38"/>
        <v>506.72035561580367</v>
      </c>
      <c r="G66" s="32">
        <f t="shared" si="39"/>
        <v>2566</v>
      </c>
      <c r="H66" s="33">
        <f t="shared" si="41"/>
        <v>-2.5444070360989279E-2</v>
      </c>
      <c r="I66" s="34">
        <f t="shared" si="40"/>
        <v>-0.10933703575147513</v>
      </c>
      <c r="M66" s="46">
        <f t="shared" si="0"/>
        <v>54.535490783640533</v>
      </c>
      <c r="N66" s="46">
        <f t="shared" si="5"/>
        <v>63</v>
      </c>
      <c r="O66" s="50">
        <f t="shared" si="1"/>
        <v>-5.0238052490493317</v>
      </c>
      <c r="P66" s="50">
        <f t="shared" si="2"/>
        <v>49.511685534591201</v>
      </c>
      <c r="Q66" s="50">
        <f t="shared" si="3"/>
        <v>44.84954466458116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564.07111112285293</v>
      </c>
      <c r="V66" s="50">
        <f>$J$54*$J$37*($D$55*G28+$E$55*H28+$F$55*I28)</f>
        <v>506.72035561580367</v>
      </c>
      <c r="W66" s="50">
        <f>$J$54*$J$37*($D$56*G28+$E$56*H28+$F$56*I28)</f>
        <v>92.170959681380168</v>
      </c>
      <c r="X66" s="29">
        <f t="shared" si="43"/>
        <v>1162.962426420037</v>
      </c>
    </row>
    <row r="67" spans="1:24">
      <c r="A67" s="87"/>
      <c r="B67" s="48" t="str">
        <f t="shared" si="35"/>
        <v>CWF</v>
      </c>
      <c r="C67" s="93"/>
      <c r="D67" s="31">
        <f t="shared" si="36"/>
        <v>1210</v>
      </c>
      <c r="E67" s="32">
        <f t="shared" si="37"/>
        <v>3863</v>
      </c>
      <c r="F67" s="31">
        <f t="shared" si="38"/>
        <v>1300.3983062255086</v>
      </c>
      <c r="G67" s="32">
        <f t="shared" si="39"/>
        <v>3935</v>
      </c>
      <c r="H67" s="33">
        <f t="shared" si="41"/>
        <v>7.4709343988023535E-2</v>
      </c>
      <c r="I67" s="34">
        <f t="shared" si="40"/>
        <v>1.863836396582963E-2</v>
      </c>
      <c r="R67" s="78"/>
      <c r="S67" s="46" t="str">
        <f t="shared" si="42"/>
        <v>CWF</v>
      </c>
      <c r="T67" s="79"/>
      <c r="U67" s="50">
        <f>$J$54*$J$37*($D$54*G29+$E$54*H29+$F$54*I29)</f>
        <v>1283.0248069603028</v>
      </c>
      <c r="V67" s="50">
        <f>$J$54*$J$37*($D$55*G29+$E$55*H29+$F$55*I29)</f>
        <v>1300.3983062255086</v>
      </c>
      <c r="W67" s="50">
        <f>$J$54*$J$37*($D$56*G29+$E$56*H29+$F$56*I29)</f>
        <v>716.90622370275639</v>
      </c>
      <c r="X67" s="29">
        <f t="shared" si="43"/>
        <v>3300.3293368885679</v>
      </c>
    </row>
    <row r="68" spans="1:24">
      <c r="A68" s="87"/>
      <c r="B68" s="48" t="str">
        <f t="shared" si="35"/>
        <v>D65</v>
      </c>
      <c r="C68" s="93"/>
      <c r="D68" s="31">
        <f t="shared" si="36"/>
        <v>577.15</v>
      </c>
      <c r="E68" s="32">
        <f t="shared" si="37"/>
        <v>6365</v>
      </c>
      <c r="F68" s="31">
        <f t="shared" si="38"/>
        <v>556.25798287926284</v>
      </c>
      <c r="G68" s="32">
        <f t="shared" si="39"/>
        <v>6105</v>
      </c>
      <c r="H68" s="33">
        <f t="shared" si="41"/>
        <v>-3.6198591563262772E-2</v>
      </c>
      <c r="I68" s="34">
        <f t="shared" si="40"/>
        <v>-4.0848389630793402E-2</v>
      </c>
      <c r="R68" s="78"/>
      <c r="S68" s="46" t="str">
        <f t="shared" si="42"/>
        <v>D65</v>
      </c>
      <c r="T68" s="79"/>
      <c r="U68" s="50">
        <f>$J$54*$J$37*($D$54*G30+$E$54*H30+$F$54*I30)</f>
        <v>496.10261874147312</v>
      </c>
      <c r="V68" s="50">
        <f>$J$54*$J$37*($D$55*G30+$E$55*H30+$F$55*I30)</f>
        <v>556.25798287926284</v>
      </c>
      <c r="W68" s="50">
        <f>$J$54*$J$37*($D$56*G30+$E$56*H30+$F$56*I30)</f>
        <v>497.57753764284951</v>
      </c>
      <c r="X68" s="29">
        <f t="shared" si="43"/>
        <v>1549.9381392635855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7.4709343988023535E-2</v>
      </c>
      <c r="G69" s="47"/>
      <c r="H69" s="36" t="str">
        <f>I59</f>
        <v>CCT</v>
      </c>
      <c r="I69" s="38">
        <f>MAX(MAX(I60:I68,-MIN(I60:I68)))</f>
        <v>0.11350225616105525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519.95000000000005</v>
      </c>
      <c r="E72" s="31">
        <f t="shared" ref="E72:E80" si="47">E60</f>
        <v>2881</v>
      </c>
      <c r="F72" s="31">
        <f t="shared" ref="F72:F80" si="48">V72</f>
        <v>551.84041941092755</v>
      </c>
      <c r="G72" s="32">
        <f t="shared" ref="G72:G80" si="49">getCCTfromXY(U72/X72,V72/X72)</f>
        <v>3060</v>
      </c>
      <c r="H72" s="33">
        <f>F72/D72-1</f>
        <v>6.1333627100543353E-2</v>
      </c>
      <c r="I72" s="34">
        <f t="shared" ref="I72:I80" si="50">G72/E72-1</f>
        <v>6.2131204442901877E-2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585.07183556797634</v>
      </c>
      <c r="V72" s="50">
        <f>$J$51*$J$31*($D$52*G22+$E$52*H22+$F$52*I22)</f>
        <v>551.84041941092755</v>
      </c>
      <c r="W72" s="50">
        <f>$J$51*$J$31*($D$53*G22+$E$53*H22+$F$53*I22)</f>
        <v>197.83057454136517</v>
      </c>
      <c r="X72" s="29">
        <f>SUM(U72:W72)</f>
        <v>1334.7428295202692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1210</v>
      </c>
      <c r="E73" s="31">
        <f t="shared" si="47"/>
        <v>3863</v>
      </c>
      <c r="F73" s="31">
        <f t="shared" si="48"/>
        <v>1200.9679872883071</v>
      </c>
      <c r="G73" s="32">
        <f t="shared" si="49"/>
        <v>3799</v>
      </c>
      <c r="H73" s="33">
        <f t="shared" ref="H73:H80" si="52">F73/D73-1</f>
        <v>-7.4644733154486387E-3</v>
      </c>
      <c r="I73" s="34">
        <f t="shared" si="50"/>
        <v>-1.6567434636293066E-2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1196.2852311751726</v>
      </c>
      <c r="V73" s="50">
        <f t="shared" ref="V73:V74" si="55">$J$51*$J$31*($D$52*G23+$E$52*H23+$F$52*I23)</f>
        <v>1200.9679872883071</v>
      </c>
      <c r="W73" s="50">
        <f t="shared" ref="W73:W74" si="56">$J$51*$J$31*($D$53*G23+$E$53*H23+$F$53*I23)</f>
        <v>630.19596124612849</v>
      </c>
      <c r="X73" s="29">
        <f t="shared" ref="X73:X80" si="57">SUM(U73:W73)</f>
        <v>3027.449179709608</v>
      </c>
    </row>
    <row r="74" spans="1:24">
      <c r="A74" s="87"/>
      <c r="B74" s="48" t="str">
        <f t="shared" si="46"/>
        <v>X</v>
      </c>
      <c r="C74" s="93"/>
      <c r="D74" s="31">
        <f t="shared" si="51"/>
        <v>577.15</v>
      </c>
      <c r="E74" s="31">
        <f t="shared" si="47"/>
        <v>6365</v>
      </c>
      <c r="F74" s="31">
        <f t="shared" si="48"/>
        <v>606.55399459804005</v>
      </c>
      <c r="G74" s="32">
        <f t="shared" si="49"/>
        <v>6454</v>
      </c>
      <c r="H74" s="33">
        <f t="shared" si="52"/>
        <v>5.0946884861890362E-2</v>
      </c>
      <c r="I74" s="34">
        <f t="shared" si="50"/>
        <v>1.3982717989002413E-2</v>
      </c>
      <c r="R74" s="78"/>
      <c r="S74" s="46" t="str">
        <f t="shared" si="53"/>
        <v>D65</v>
      </c>
      <c r="T74" s="79"/>
      <c r="U74" s="50">
        <f t="shared" si="54"/>
        <v>534.15395542212752</v>
      </c>
      <c r="V74" s="50">
        <f t="shared" si="55"/>
        <v>606.55399459804005</v>
      </c>
      <c r="W74" s="50">
        <f t="shared" si="56"/>
        <v>567.25181676849536</v>
      </c>
      <c r="X74" s="29">
        <f t="shared" si="57"/>
        <v>1707.9597667886628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519.95000000000005</v>
      </c>
      <c r="E75" s="31">
        <f t="shared" si="47"/>
        <v>2881</v>
      </c>
      <c r="F75" s="31">
        <f t="shared" si="48"/>
        <v>561.4641909117604</v>
      </c>
      <c r="G75" s="32">
        <f t="shared" si="49"/>
        <v>3233</v>
      </c>
      <c r="H75" s="33">
        <f t="shared" si="52"/>
        <v>7.9842659701433449E-2</v>
      </c>
      <c r="I75" s="34">
        <f t="shared" si="50"/>
        <v>0.12217979868101358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586.86230100613966</v>
      </c>
      <c r="V75" s="50">
        <f>$J$51*$J$34*($D$52*G25+$E$52*H25+$F$52*I25)</f>
        <v>561.4641909117604</v>
      </c>
      <c r="W75" s="50">
        <f>$J$51*$J$34*($D$53*G25+$E$53*H25+$F$53*I25)</f>
        <v>229.38252342328522</v>
      </c>
      <c r="X75" s="29">
        <f t="shared" si="57"/>
        <v>1377.7090153411852</v>
      </c>
    </row>
    <row r="76" spans="1:24">
      <c r="A76" s="87"/>
      <c r="B76" s="48" t="str">
        <f t="shared" si="46"/>
        <v>Z</v>
      </c>
      <c r="C76" s="93"/>
      <c r="D76" s="31">
        <f t="shared" si="51"/>
        <v>1210</v>
      </c>
      <c r="E76" s="31">
        <f t="shared" si="47"/>
        <v>3863</v>
      </c>
      <c r="F76" s="31">
        <f t="shared" si="48"/>
        <v>1191.4220853226145</v>
      </c>
      <c r="G76" s="32">
        <f t="shared" si="49"/>
        <v>3889</v>
      </c>
      <c r="H76" s="33">
        <f t="shared" si="52"/>
        <v>-1.5353648493707017E-2</v>
      </c>
      <c r="I76" s="34">
        <f t="shared" si="50"/>
        <v>6.7305203209939712E-3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1180.1575544522727</v>
      </c>
      <c r="V76" s="50">
        <f t="shared" ref="V76:V77" si="59">$J$51*$J$34*($D$52*G26+$E$52*H26+$F$52*I26)</f>
        <v>1191.4220853226145</v>
      </c>
      <c r="W76" s="50">
        <f t="shared" ref="W76:W77" si="60">$J$51*$J$34*($D$53*G26+$E$53*H26+$F$53*I26)</f>
        <v>648.88544129128479</v>
      </c>
      <c r="X76" s="29">
        <f t="shared" si="57"/>
        <v>3020.4650810661719</v>
      </c>
    </row>
    <row r="77" spans="1:24">
      <c r="A77" s="87"/>
      <c r="B77" s="48" t="str">
        <f t="shared" si="46"/>
        <v>X</v>
      </c>
      <c r="C77" s="93"/>
      <c r="D77" s="31">
        <f t="shared" si="51"/>
        <v>577.15</v>
      </c>
      <c r="E77" s="31">
        <f t="shared" si="47"/>
        <v>6365</v>
      </c>
      <c r="F77" s="31">
        <f t="shared" si="48"/>
        <v>615.50134394996121</v>
      </c>
      <c r="G77" s="32">
        <f t="shared" si="49"/>
        <v>6483</v>
      </c>
      <c r="H77" s="33">
        <f t="shared" si="52"/>
        <v>6.6449526033026451E-2</v>
      </c>
      <c r="I77" s="34">
        <f t="shared" si="50"/>
        <v>1.8538884524744725E-2</v>
      </c>
      <c r="R77" s="78"/>
      <c r="S77" s="46" t="str">
        <f t="shared" si="53"/>
        <v>D65</v>
      </c>
      <c r="T77" s="79"/>
      <c r="U77" s="50">
        <f t="shared" si="58"/>
        <v>541.49370609132029</v>
      </c>
      <c r="V77" s="50">
        <f t="shared" si="59"/>
        <v>615.50134394996121</v>
      </c>
      <c r="W77" s="50">
        <f t="shared" si="60"/>
        <v>577.64909567627251</v>
      </c>
      <c r="X77" s="29">
        <f t="shared" si="57"/>
        <v>1734.644145717554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519.95000000000005</v>
      </c>
      <c r="E78" s="31">
        <f t="shared" si="47"/>
        <v>2881</v>
      </c>
      <c r="F78" s="31">
        <f t="shared" si="48"/>
        <v>517.96690713586474</v>
      </c>
      <c r="G78" s="32">
        <f t="shared" si="49"/>
        <v>2557</v>
      </c>
      <c r="H78" s="33">
        <f t="shared" si="52"/>
        <v>-3.814006854765406E-3</v>
      </c>
      <c r="I78" s="34">
        <f t="shared" si="50"/>
        <v>-0.11246095105866016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577.29330414317076</v>
      </c>
      <c r="V78" s="50">
        <f>$J$51*$J$37*($D$52*G28+$E$52*H28+$F$52*I28)</f>
        <v>517.96690713586474</v>
      </c>
      <c r="W78" s="50">
        <f>$J$51*$J$37*($D$53*G28+$E$53*H28+$F$53*I28)</f>
        <v>92.636982739136769</v>
      </c>
      <c r="X78" s="29">
        <f t="shared" si="57"/>
        <v>1187.8971940181723</v>
      </c>
    </row>
    <row r="79" spans="1:24">
      <c r="A79" s="87"/>
      <c r="B79" s="48" t="str">
        <f t="shared" si="46"/>
        <v>Z</v>
      </c>
      <c r="C79" s="93"/>
      <c r="D79" s="31">
        <f t="shared" si="51"/>
        <v>1210</v>
      </c>
      <c r="E79" s="31">
        <f t="shared" si="47"/>
        <v>3863</v>
      </c>
      <c r="F79" s="31">
        <f t="shared" si="48"/>
        <v>1349.8934917449455</v>
      </c>
      <c r="G79" s="32">
        <f t="shared" si="49"/>
        <v>3953</v>
      </c>
      <c r="H79" s="33">
        <f t="shared" si="52"/>
        <v>0.11561445598755826</v>
      </c>
      <c r="I79" s="34">
        <f t="shared" si="50"/>
        <v>2.3297954957287148E-2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1330.2960115977019</v>
      </c>
      <c r="V79" s="50">
        <f t="shared" ref="V79:V80" si="62">$J$51*$J$37*($D$52*G29+$E$52*H29+$F$52*I29)</f>
        <v>1349.8934917449455</v>
      </c>
      <c r="W79" s="50">
        <f t="shared" ref="W79:W80" si="63">$J$51*$J$37*($D$53*G29+$E$53*H29+$F$53*I29)</f>
        <v>749.14650249880492</v>
      </c>
      <c r="X79" s="29">
        <f t="shared" si="57"/>
        <v>3429.3360058414519</v>
      </c>
    </row>
    <row r="80" spans="1:24">
      <c r="A80" s="87"/>
      <c r="B80" s="48" t="str">
        <f t="shared" si="46"/>
        <v>X</v>
      </c>
      <c r="C80" s="93"/>
      <c r="D80" s="31">
        <f t="shared" si="51"/>
        <v>577.15</v>
      </c>
      <c r="E80" s="31">
        <f t="shared" si="47"/>
        <v>6365</v>
      </c>
      <c r="F80" s="31">
        <f t="shared" si="48"/>
        <v>582.00546854776155</v>
      </c>
      <c r="G80" s="32">
        <f t="shared" si="49"/>
        <v>6240</v>
      </c>
      <c r="H80" s="33">
        <f t="shared" si="52"/>
        <v>8.4128364337894279E-3</v>
      </c>
      <c r="I80" s="34">
        <f t="shared" si="50"/>
        <v>-1.9638648860958341E-2</v>
      </c>
      <c r="R80" s="78"/>
      <c r="S80" s="46" t="str">
        <f t="shared" si="53"/>
        <v>D65</v>
      </c>
      <c r="T80" s="79"/>
      <c r="U80" s="50">
        <f t="shared" si="61"/>
        <v>516.38987325687674</v>
      </c>
      <c r="V80" s="50">
        <f t="shared" si="62"/>
        <v>582.00546854776155</v>
      </c>
      <c r="W80" s="50">
        <f t="shared" si="63"/>
        <v>529.76245136156115</v>
      </c>
      <c r="X80" s="29">
        <f t="shared" si="57"/>
        <v>1628.1577931661996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0.11561445598755826</v>
      </c>
      <c r="G81" s="47"/>
      <c r="H81" s="36" t="str">
        <f>I71</f>
        <v>CCT</v>
      </c>
      <c r="I81" s="38">
        <f>MAX(MAX(I72:I80,-MIN(I72:I80)))</f>
        <v>0.12217979868101358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519.95000000000005</v>
      </c>
      <c r="E84" s="31">
        <f t="shared" ref="E84:E92" si="67">E72</f>
        <v>2881</v>
      </c>
      <c r="F84" s="31">
        <f t="shared" ref="F84:F92" si="68">V84</f>
        <v>519.95000000000016</v>
      </c>
      <c r="G84" s="32">
        <f t="shared" ref="G84:G92" si="69">getCCTfromXY(U84/X84,V84/X84)</f>
        <v>2881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560.29999999999984</v>
      </c>
      <c r="V84" s="50">
        <f>$J$42*$J$31*($D$43*G22+$E$43*H22+$F$43*I22)</f>
        <v>519.95000000000016</v>
      </c>
      <c r="W84" s="50">
        <f>$J$42*$J$31*($D$44*G22+$E$44*H22+$F$44*I22)</f>
        <v>156.70000000000067</v>
      </c>
      <c r="X84" s="29">
        <f>SUM(U84:W84)</f>
        <v>1236.9500000000007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1210</v>
      </c>
      <c r="E85" s="31">
        <f t="shared" si="67"/>
        <v>3863</v>
      </c>
      <c r="F85" s="31">
        <f t="shared" si="68"/>
        <v>1210</v>
      </c>
      <c r="G85" s="32">
        <f t="shared" si="69"/>
        <v>3863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1200.0000000000002</v>
      </c>
      <c r="V85" s="50">
        <f t="shared" ref="V85:V86" si="75">$J$42*$J$31*($D$43*G23+$E$43*H23+$F$43*I23)</f>
        <v>1210</v>
      </c>
      <c r="W85" s="50">
        <f t="shared" ref="W85:W86" si="76">$J$42*$J$31*($D$44*G23+$E$44*H23+$F$44*I23)</f>
        <v>650.50000000000034</v>
      </c>
      <c r="X85" s="29">
        <f t="shared" ref="X85:X92" si="77">SUM(U85:W85)</f>
        <v>3060.5000000000005</v>
      </c>
    </row>
    <row r="86" spans="1:24">
      <c r="A86" s="87"/>
      <c r="B86" s="48">
        <f t="shared" si="66"/>
        <v>0</v>
      </c>
      <c r="C86" s="93"/>
      <c r="D86" s="31">
        <f t="shared" si="71"/>
        <v>577.15</v>
      </c>
      <c r="E86" s="31">
        <f t="shared" si="67"/>
        <v>6365</v>
      </c>
      <c r="F86" s="31">
        <f t="shared" si="68"/>
        <v>577.15</v>
      </c>
      <c r="G86" s="32">
        <f t="shared" si="69"/>
        <v>6365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509.85</v>
      </c>
      <c r="V86" s="50">
        <f t="shared" si="75"/>
        <v>577.15</v>
      </c>
      <c r="W86" s="50">
        <f t="shared" si="76"/>
        <v>533.90000000000032</v>
      </c>
      <c r="X86" s="29">
        <f t="shared" si="77"/>
        <v>1620.9000000000003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519.95000000000005</v>
      </c>
      <c r="E87" s="31">
        <f t="shared" si="67"/>
        <v>2881</v>
      </c>
      <c r="F87" s="31">
        <f t="shared" si="68"/>
        <v>519.9499999999997</v>
      </c>
      <c r="G87" s="32">
        <f t="shared" si="69"/>
        <v>2881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560.29999999999939</v>
      </c>
      <c r="V87" s="50">
        <f>$J$45*$J$34*($D$46*G25+$E$46*H25+$F$46*I25)</f>
        <v>519.9499999999997</v>
      </c>
      <c r="W87" s="50">
        <f>$J$45*$J$34*($D$47*G25+$E$47*H25+$F$47*I25)</f>
        <v>156.70000000000016</v>
      </c>
      <c r="X87" s="29">
        <f t="shared" si="77"/>
        <v>1236.9499999999994</v>
      </c>
    </row>
    <row r="88" spans="1:24">
      <c r="A88" s="87"/>
      <c r="B88" s="48">
        <f t="shared" si="66"/>
        <v>0</v>
      </c>
      <c r="C88" s="93"/>
      <c r="D88" s="31">
        <f t="shared" si="71"/>
        <v>1210</v>
      </c>
      <c r="E88" s="31">
        <f t="shared" si="67"/>
        <v>3863</v>
      </c>
      <c r="F88" s="31">
        <f t="shared" si="68"/>
        <v>1210.0000000000002</v>
      </c>
      <c r="G88" s="32">
        <f t="shared" si="69"/>
        <v>3863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1200</v>
      </c>
      <c r="V88" s="50">
        <f t="shared" ref="V88:V89" si="79">$J$45*$J$34*($D$46*G26+$E$46*H26+$F$46*I26)</f>
        <v>1210.0000000000002</v>
      </c>
      <c r="W88" s="50">
        <f t="shared" ref="W88:W89" si="80">$J$45*$J$34*($D$47*G26+$E$47*H26+$F$47*I26)</f>
        <v>650.50000000000011</v>
      </c>
      <c r="X88" s="29">
        <f t="shared" si="77"/>
        <v>3060.5</v>
      </c>
    </row>
    <row r="89" spans="1:24">
      <c r="A89" s="87"/>
      <c r="B89" s="48" t="str">
        <f t="shared" si="66"/>
        <v>A</v>
      </c>
      <c r="C89" s="93"/>
      <c r="D89" s="31">
        <f t="shared" si="71"/>
        <v>577.15</v>
      </c>
      <c r="E89" s="31">
        <f t="shared" si="67"/>
        <v>6365</v>
      </c>
      <c r="F89" s="31">
        <f t="shared" si="68"/>
        <v>577.15000000000009</v>
      </c>
      <c r="G89" s="32">
        <f t="shared" si="69"/>
        <v>6365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509.85</v>
      </c>
      <c r="V89" s="50">
        <f t="shared" si="79"/>
        <v>577.15000000000009</v>
      </c>
      <c r="W89" s="50">
        <f t="shared" si="80"/>
        <v>533.90000000000009</v>
      </c>
      <c r="X89" s="29">
        <f t="shared" si="77"/>
        <v>1620.9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519.95000000000005</v>
      </c>
      <c r="E90" s="31">
        <f t="shared" si="67"/>
        <v>2881</v>
      </c>
      <c r="F90" s="31">
        <f t="shared" si="68"/>
        <v>519.94999999999982</v>
      </c>
      <c r="G90" s="32">
        <f t="shared" si="69"/>
        <v>2881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560.29999999999973</v>
      </c>
      <c r="V90" s="50">
        <f>$J$48*$J$37*($D$49*G28+$E$49*H28+$F$49*I28)</f>
        <v>519.94999999999982</v>
      </c>
      <c r="W90" s="50">
        <f>$J$48*$J$37*($D$50*G28+$E$50*H28+$F$50*I28)</f>
        <v>156.69999999999999</v>
      </c>
      <c r="X90" s="29">
        <f t="shared" si="77"/>
        <v>1236.9499999999996</v>
      </c>
    </row>
    <row r="91" spans="1:24">
      <c r="A91" s="87"/>
      <c r="B91" s="48" t="str">
        <f t="shared" si="66"/>
        <v>D65</v>
      </c>
      <c r="C91" s="93"/>
      <c r="D91" s="31">
        <f t="shared" si="71"/>
        <v>1210</v>
      </c>
      <c r="E91" s="31">
        <f t="shared" si="67"/>
        <v>3863</v>
      </c>
      <c r="F91" s="31">
        <f t="shared" si="68"/>
        <v>1210</v>
      </c>
      <c r="G91" s="32">
        <f t="shared" si="69"/>
        <v>3863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1199.9999999999998</v>
      </c>
      <c r="V91" s="50">
        <f t="shared" ref="V91:V92" si="82">$J$48*$J$37*($D$49*G29+$E$49*H29+$F$49*I29)</f>
        <v>1210</v>
      </c>
      <c r="W91" s="50">
        <f t="shared" ref="W91:W92" si="83">$J$48*$J$37*($D$50*G29+$E$50*H29+$F$50*I29)</f>
        <v>650.50000000000011</v>
      </c>
      <c r="X91" s="29">
        <f t="shared" si="77"/>
        <v>3060.5</v>
      </c>
    </row>
    <row r="92" spans="1:24">
      <c r="A92" s="87"/>
      <c r="B92" s="48" t="str">
        <f t="shared" si="66"/>
        <v>A</v>
      </c>
      <c r="C92" s="93"/>
      <c r="D92" s="31">
        <f t="shared" si="71"/>
        <v>577.15</v>
      </c>
      <c r="E92" s="31">
        <f t="shared" si="67"/>
        <v>6365</v>
      </c>
      <c r="F92" s="31">
        <f t="shared" si="68"/>
        <v>577.14999999999986</v>
      </c>
      <c r="G92" s="32">
        <f t="shared" si="69"/>
        <v>6365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509.84999999999997</v>
      </c>
      <c r="V92" s="50">
        <f t="shared" si="82"/>
        <v>577.14999999999986</v>
      </c>
      <c r="W92" s="50">
        <f t="shared" si="83"/>
        <v>533.9</v>
      </c>
      <c r="X92" s="29">
        <f t="shared" si="77"/>
        <v>1620.8999999999996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2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7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1.7725562016676548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68.576097356057716</v>
      </c>
      <c r="N3" s="46">
        <v>0</v>
      </c>
      <c r="O3" s="50">
        <f>G$5-N3*G$7</f>
        <v>117.28828743870235</v>
      </c>
      <c r="P3" s="50">
        <f>H$5-N3*H$7</f>
        <v>48.712190082644632</v>
      </c>
      <c r="Q3" s="50">
        <f>I$5-N3*I$7</f>
        <v>58.208470465962243</v>
      </c>
    </row>
    <row r="4" spans="1:17">
      <c r="C4" s="46" t="s">
        <v>20</v>
      </c>
      <c r="D4" s="7">
        <v>530.20000000000005</v>
      </c>
      <c r="E4" s="7">
        <v>1210</v>
      </c>
      <c r="F4" s="7">
        <v>577.29999999999995</v>
      </c>
      <c r="G4" s="50">
        <f>AVERAGE(D4:F4)</f>
        <v>772.5</v>
      </c>
      <c r="H4" s="50">
        <f>G4</f>
        <v>772.5</v>
      </c>
      <c r="I4" s="50">
        <f>H4</f>
        <v>772.5</v>
      </c>
      <c r="K4" s="13" t="str">
        <f>linefmt("Compensation",B12)</f>
        <v>"Compensation",33,</v>
      </c>
      <c r="M4" s="46">
        <f t="shared" si="0"/>
        <v>66.512220213934228</v>
      </c>
      <c r="N4" s="46">
        <f>N3+1</f>
        <v>1</v>
      </c>
      <c r="O4" s="50">
        <f t="shared" ref="O4:O66" si="1">G$5-N4*G$7</f>
        <v>115.14188157253129</v>
      </c>
      <c r="P4" s="50">
        <f t="shared" ref="P4:P66" si="2">H$5-N4*H$7</f>
        <v>48.629661358597062</v>
      </c>
      <c r="Q4" s="50">
        <f t="shared" ref="Q4:Q66" si="3">I$5-N4*I$7</f>
        <v>57.891889493985886</v>
      </c>
    </row>
    <row r="5" spans="1:17">
      <c r="C5" s="46">
        <v>0</v>
      </c>
      <c r="D5" s="9">
        <v>80.5</v>
      </c>
      <c r="E5" s="9">
        <v>76.3</v>
      </c>
      <c r="F5" s="9">
        <v>43.5</v>
      </c>
      <c r="G5" s="50">
        <f>G$4/D$4*D5</f>
        <v>117.28828743870235</v>
      </c>
      <c r="H5" s="50">
        <f t="shared" ref="H5:I6" si="4">H$4/E$4*E5</f>
        <v>48.712190082644632</v>
      </c>
      <c r="I5" s="50">
        <f t="shared" si="4"/>
        <v>58.208470465962243</v>
      </c>
      <c r="K5" s="14" t="str">
        <f>linefmt("CardGain",J54)</f>
        <v>"CardGain",18.64961,</v>
      </c>
      <c r="M5" s="46">
        <f t="shared" si="0"/>
        <v>64.448343071810712</v>
      </c>
      <c r="N5" s="46">
        <f t="shared" ref="N5:N66" si="5">N4+1</f>
        <v>2</v>
      </c>
      <c r="O5" s="50">
        <f t="shared" si="1"/>
        <v>112.99547570636021</v>
      </c>
      <c r="P5" s="50">
        <f t="shared" si="2"/>
        <v>48.547132634549492</v>
      </c>
      <c r="Q5" s="50">
        <f t="shared" si="3"/>
        <v>57.575308522009529</v>
      </c>
    </row>
    <row r="6" spans="1:17">
      <c r="B6" s="50">
        <f>D5/4</f>
        <v>20.125</v>
      </c>
      <c r="C6" s="7">
        <v>41</v>
      </c>
      <c r="D6" s="9">
        <v>20.100000000000001</v>
      </c>
      <c r="E6" s="9">
        <v>71</v>
      </c>
      <c r="F6" s="9">
        <v>33.799999999999997</v>
      </c>
      <c r="G6" s="50">
        <f>G$4/D$4*D6</f>
        <v>29.285646925688418</v>
      </c>
      <c r="H6" s="50">
        <f t="shared" si="4"/>
        <v>45.328512396694215</v>
      </c>
      <c r="I6" s="50">
        <f t="shared" si="4"/>
        <v>45.228650614931574</v>
      </c>
      <c r="K6" s="14" t="str">
        <f>linefmt("Range",1,J34,J37)</f>
        <v>"Range",1,0.9167417,1.028009,</v>
      </c>
      <c r="M6" s="46">
        <f t="shared" si="0"/>
        <v>62.384465929687224</v>
      </c>
      <c r="N6" s="46">
        <f t="shared" si="5"/>
        <v>3</v>
      </c>
      <c r="O6" s="50">
        <f t="shared" si="1"/>
        <v>110.84906984018914</v>
      </c>
      <c r="P6" s="50">
        <f t="shared" si="2"/>
        <v>48.464603910501921</v>
      </c>
      <c r="Q6" s="50">
        <f t="shared" si="3"/>
        <v>57.258727550033171</v>
      </c>
    </row>
    <row r="7" spans="1:17">
      <c r="C7" s="46">
        <f>C5</f>
        <v>0</v>
      </c>
      <c r="D7" s="46">
        <f t="shared" ref="D7:F8" si="6">D$4/D5</f>
        <v>6.586335403726709</v>
      </c>
      <c r="E7" s="46">
        <f t="shared" si="6"/>
        <v>15.858453473132373</v>
      </c>
      <c r="F7" s="46">
        <f t="shared" si="6"/>
        <v>13.271264367816091</v>
      </c>
      <c r="G7" s="49">
        <f>(G5-G6)/($C6-$C5)</f>
        <v>2.1464058661710719</v>
      </c>
      <c r="H7" s="49">
        <f t="shared" ref="H7:I7" si="7">(H5-H6)/($C6-$C5)</f>
        <v>8.2528724047571139E-2</v>
      </c>
      <c r="I7" s="49">
        <f t="shared" si="7"/>
        <v>0.31658097197635776</v>
      </c>
      <c r="K7" s="14" t="str">
        <f>linefmt("CCM" )</f>
        <v>"CCM",</v>
      </c>
      <c r="M7" s="46">
        <f t="shared" si="0"/>
        <v>60.320588787563715</v>
      </c>
      <c r="N7" s="46">
        <f t="shared" si="5"/>
        <v>4</v>
      </c>
      <c r="O7" s="50">
        <f t="shared" si="1"/>
        <v>108.70266397401807</v>
      </c>
      <c r="P7" s="50">
        <f t="shared" si="2"/>
        <v>48.382075186454351</v>
      </c>
      <c r="Q7" s="50">
        <f t="shared" si="3"/>
        <v>56.942146578056814</v>
      </c>
    </row>
    <row r="8" spans="1:17">
      <c r="C8" s="46">
        <f>C6</f>
        <v>41</v>
      </c>
      <c r="D8" s="46">
        <f t="shared" si="6"/>
        <v>26.378109452736318</v>
      </c>
      <c r="E8" s="46">
        <f t="shared" si="6"/>
        <v>17.04225352112676</v>
      </c>
      <c r="F8" s="46">
        <f t="shared" si="6"/>
        <v>17.079881656804734</v>
      </c>
      <c r="K8" s="15" t="str">
        <f>linefmt("",D54,E54,F54)</f>
        <v>0.1725803,1.043182,-0.4691456,</v>
      </c>
      <c r="M8" s="46">
        <f t="shared" si="0"/>
        <v>58.256711645440227</v>
      </c>
      <c r="N8" s="46">
        <f t="shared" si="5"/>
        <v>5</v>
      </c>
      <c r="O8" s="50">
        <f t="shared" si="1"/>
        <v>106.556258107847</v>
      </c>
      <c r="P8" s="50">
        <f t="shared" si="2"/>
        <v>48.299546462406774</v>
      </c>
      <c r="Q8" s="50">
        <f t="shared" si="3"/>
        <v>56.625565606080457</v>
      </c>
    </row>
    <row r="9" spans="1:17">
      <c r="C9" s="46" t="s">
        <v>23</v>
      </c>
      <c r="D9" s="46">
        <f>(D8-D7)/($C8-$C7)</f>
        <v>0.48272619631730757</v>
      </c>
      <c r="E9" s="46">
        <f>(E8-E7)/($C8-$C7)</f>
        <v>2.8873171902302118E-2</v>
      </c>
      <c r="F9" s="46">
        <f>(F8-F7)/($C8-$C7)</f>
        <v>9.2893104609479096E-2</v>
      </c>
      <c r="K9" s="15" t="str">
        <f>linefmt("",D55,E55,F55)</f>
        <v>4.343336E-02,1,-0.188648,</v>
      </c>
      <c r="M9" s="46">
        <f t="shared" si="0"/>
        <v>56.192834503316718</v>
      </c>
      <c r="N9" s="46">
        <f t="shared" si="5"/>
        <v>6</v>
      </c>
      <c r="O9" s="50">
        <f t="shared" si="1"/>
        <v>104.40985224167592</v>
      </c>
      <c r="P9" s="50">
        <f t="shared" si="2"/>
        <v>48.217017738359203</v>
      </c>
      <c r="Q9" s="50">
        <f t="shared" si="3"/>
        <v>56.3089846341041</v>
      </c>
    </row>
    <row r="10" spans="1:17">
      <c r="K10" s="16" t="str">
        <f>linefmt("",D56,E56,F56)</f>
        <v>-0.4143169,0.297275,0.9540202,</v>
      </c>
      <c r="M10" s="46">
        <f t="shared" si="0"/>
        <v>54.128957361193223</v>
      </c>
      <c r="N10" s="46">
        <f t="shared" si="5"/>
        <v>7</v>
      </c>
      <c r="O10" s="50">
        <f t="shared" si="1"/>
        <v>102.26344637550486</v>
      </c>
      <c r="P10" s="50">
        <f t="shared" si="2"/>
        <v>48.134489014311633</v>
      </c>
      <c r="Q10" s="50">
        <f t="shared" si="3"/>
        <v>55.992403662127742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52.065080219069714</v>
      </c>
      <c r="N11" s="46">
        <f t="shared" si="5"/>
        <v>8</v>
      </c>
      <c r="O11" s="50">
        <f t="shared" si="1"/>
        <v>100.11704050933378</v>
      </c>
      <c r="P11" s="50">
        <f t="shared" si="2"/>
        <v>48.051960290264063</v>
      </c>
      <c r="Q11" s="50">
        <f t="shared" si="3"/>
        <v>55.675822690151378</v>
      </c>
    </row>
    <row r="12" spans="1:17">
      <c r="A12" s="46" t="s">
        <v>16</v>
      </c>
      <c r="B12" s="10">
        <f>MATCH(M2,M3:M66,0)-1</f>
        <v>33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Compensation=33</v>
      </c>
      <c r="M12" s="46">
        <f t="shared" si="0"/>
        <v>50.001203076946219</v>
      </c>
      <c r="N12" s="46">
        <f t="shared" si="5"/>
        <v>9</v>
      </c>
      <c r="O12" s="50">
        <f t="shared" si="1"/>
        <v>97.970634643162711</v>
      </c>
      <c r="P12" s="50">
        <f t="shared" si="2"/>
        <v>47.969431566216493</v>
      </c>
      <c r="Q12" s="50">
        <f t="shared" si="3"/>
        <v>55.359241718175021</v>
      </c>
    </row>
    <row r="13" spans="1:17">
      <c r="A13" s="78" t="s">
        <v>12</v>
      </c>
      <c r="B13" s="79" t="s">
        <v>0</v>
      </c>
      <c r="C13" s="46">
        <v>0</v>
      </c>
      <c r="D13" s="7">
        <v>546.70000000000005</v>
      </c>
      <c r="E13" s="7">
        <v>507.9</v>
      </c>
      <c r="F13" s="7">
        <v>156.9</v>
      </c>
      <c r="G13" s="8">
        <v>77.7</v>
      </c>
      <c r="H13" s="8">
        <v>30.6</v>
      </c>
      <c r="I13" s="8">
        <v>35</v>
      </c>
      <c r="M13" s="46">
        <f t="shared" si="0"/>
        <v>47.937325934822709</v>
      </c>
      <c r="N13" s="46">
        <f t="shared" si="5"/>
        <v>10</v>
      </c>
      <c r="O13" s="50">
        <f t="shared" si="1"/>
        <v>95.824228776991632</v>
      </c>
      <c r="P13" s="50">
        <f t="shared" si="2"/>
        <v>47.886902842168922</v>
      </c>
      <c r="Q13" s="50">
        <f t="shared" si="3"/>
        <v>55.042660746198663</v>
      </c>
    </row>
    <row r="14" spans="1:17">
      <c r="A14" s="78"/>
      <c r="B14" s="79"/>
      <c r="C14" s="46">
        <f>C13+1</f>
        <v>1</v>
      </c>
      <c r="D14" s="7">
        <v>552.4</v>
      </c>
      <c r="E14" s="7">
        <v>512.70000000000005</v>
      </c>
      <c r="F14" s="7">
        <v>156.19999999999999</v>
      </c>
      <c r="G14" s="8">
        <v>83.7</v>
      </c>
      <c r="H14" s="8">
        <v>33.799999999999997</v>
      </c>
      <c r="I14" s="8">
        <v>38.6</v>
      </c>
      <c r="M14" s="46">
        <f t="shared" si="0"/>
        <v>45.873448792699214</v>
      </c>
      <c r="N14" s="46">
        <f t="shared" si="5"/>
        <v>11</v>
      </c>
      <c r="O14" s="50">
        <f t="shared" si="1"/>
        <v>93.677822910820566</v>
      </c>
      <c r="P14" s="50">
        <f t="shared" si="2"/>
        <v>47.804374118121352</v>
      </c>
      <c r="Q14" s="50">
        <f t="shared" si="3"/>
        <v>54.726079774222306</v>
      </c>
    </row>
    <row r="15" spans="1:17">
      <c r="A15" s="78"/>
      <c r="B15" s="79"/>
      <c r="C15" s="46">
        <f>C14+1</f>
        <v>2</v>
      </c>
      <c r="D15" s="6">
        <f>2*(D13-D14)/(D13+D14)</f>
        <v>-1.0372122645800987E-2</v>
      </c>
      <c r="E15" s="6">
        <f t="shared" ref="E15:F15" si="8">2*(E13-E14)/(E13+E14)</f>
        <v>-9.4062316284539843E-3</v>
      </c>
      <c r="F15" s="6">
        <f t="shared" si="8"/>
        <v>4.4714148834239346E-3</v>
      </c>
      <c r="G15" s="8">
        <v>88</v>
      </c>
      <c r="H15" s="8">
        <v>29.1</v>
      </c>
      <c r="I15" s="8">
        <v>33.799999999999997</v>
      </c>
      <c r="M15" s="46">
        <f t="shared" si="0"/>
        <v>43.809571650575705</v>
      </c>
      <c r="N15" s="46">
        <f t="shared" si="5"/>
        <v>12</v>
      </c>
      <c r="O15" s="50">
        <f t="shared" si="1"/>
        <v>91.531417044649487</v>
      </c>
      <c r="P15" s="50">
        <f t="shared" si="2"/>
        <v>47.721845394073782</v>
      </c>
      <c r="Q15" s="50">
        <f t="shared" si="3"/>
        <v>54.409498802245949</v>
      </c>
    </row>
    <row r="16" spans="1:17">
      <c r="A16" s="78"/>
      <c r="B16" s="79" t="s">
        <v>1</v>
      </c>
      <c r="C16" s="46">
        <f>C13</f>
        <v>0</v>
      </c>
      <c r="D16" s="7">
        <v>1191</v>
      </c>
      <c r="E16" s="7">
        <v>1202</v>
      </c>
      <c r="F16" s="7">
        <v>641</v>
      </c>
      <c r="G16" s="8">
        <v>60.9</v>
      </c>
      <c r="H16" s="8">
        <v>71.599999999999994</v>
      </c>
      <c r="I16" s="8">
        <v>40.1</v>
      </c>
      <c r="M16" s="46">
        <f t="shared" si="0"/>
        <v>41.745694508452218</v>
      </c>
      <c r="N16" s="46">
        <f t="shared" si="5"/>
        <v>13</v>
      </c>
      <c r="O16" s="50">
        <f t="shared" si="1"/>
        <v>89.385011178478422</v>
      </c>
      <c r="P16" s="50">
        <f t="shared" si="2"/>
        <v>47.639316670026204</v>
      </c>
      <c r="Q16" s="50">
        <f t="shared" si="3"/>
        <v>54.092917830269592</v>
      </c>
    </row>
    <row r="17" spans="1:21">
      <c r="A17" s="78"/>
      <c r="B17" s="79"/>
      <c r="C17" s="46">
        <f t="shared" ref="C17:C21" si="9">C14</f>
        <v>1</v>
      </c>
      <c r="D17" s="7">
        <v>1192</v>
      </c>
      <c r="E17" s="7">
        <v>1203</v>
      </c>
      <c r="F17" s="7">
        <v>641</v>
      </c>
      <c r="G17" s="8">
        <v>66.3</v>
      </c>
      <c r="H17" s="8">
        <v>76.8</v>
      </c>
      <c r="I17" s="8">
        <v>44.1</v>
      </c>
      <c r="M17" s="46">
        <f t="shared" si="0"/>
        <v>39.681817366328723</v>
      </c>
      <c r="N17" s="46">
        <f t="shared" si="5"/>
        <v>14</v>
      </c>
      <c r="O17" s="50">
        <f t="shared" si="1"/>
        <v>87.238605312307357</v>
      </c>
      <c r="P17" s="50">
        <f t="shared" si="2"/>
        <v>47.556787945978634</v>
      </c>
      <c r="Q17" s="50">
        <f t="shared" si="3"/>
        <v>53.776336858293234</v>
      </c>
    </row>
    <row r="18" spans="1:21">
      <c r="A18" s="78"/>
      <c r="B18" s="79"/>
      <c r="C18" s="46">
        <f t="shared" si="9"/>
        <v>2</v>
      </c>
      <c r="D18" s="6">
        <f>2*(D16-D17)/(D16+D17)</f>
        <v>-8.3927822073017204E-4</v>
      </c>
      <c r="E18" s="6">
        <f t="shared" ref="E18:F18" si="10">2*(E16-E17)/(E16+E17)</f>
        <v>-8.3160083160083165E-4</v>
      </c>
      <c r="F18" s="6">
        <f t="shared" si="10"/>
        <v>0</v>
      </c>
      <c r="G18" s="8">
        <v>54.9</v>
      </c>
      <c r="H18" s="8">
        <v>63.6</v>
      </c>
      <c r="I18" s="8">
        <v>39.9</v>
      </c>
      <c r="M18" s="46">
        <f t="shared" si="0"/>
        <v>37.617940224205213</v>
      </c>
      <c r="N18" s="46">
        <f t="shared" si="5"/>
        <v>15</v>
      </c>
      <c r="O18" s="50">
        <f t="shared" si="1"/>
        <v>85.092199446136277</v>
      </c>
      <c r="P18" s="50">
        <f t="shared" si="2"/>
        <v>47.474259221931064</v>
      </c>
      <c r="Q18" s="50">
        <f t="shared" si="3"/>
        <v>53.459755886316877</v>
      </c>
    </row>
    <row r="19" spans="1:21">
      <c r="A19" s="78"/>
      <c r="B19" s="79" t="s">
        <v>2</v>
      </c>
      <c r="C19" s="46">
        <f t="shared" si="9"/>
        <v>0</v>
      </c>
      <c r="D19" s="7">
        <v>511.1</v>
      </c>
      <c r="E19" s="7">
        <v>578.29999999999995</v>
      </c>
      <c r="F19" s="7">
        <v>533.6</v>
      </c>
      <c r="G19" s="8">
        <v>26.1</v>
      </c>
      <c r="H19" s="8">
        <v>35.9</v>
      </c>
      <c r="I19" s="8">
        <v>29.5</v>
      </c>
      <c r="M19" s="46">
        <f t="shared" si="0"/>
        <v>35.554063082081704</v>
      </c>
      <c r="N19" s="46">
        <f t="shared" si="5"/>
        <v>16</v>
      </c>
      <c r="O19" s="50">
        <f t="shared" si="1"/>
        <v>82.945793579965198</v>
      </c>
      <c r="P19" s="50">
        <f t="shared" si="2"/>
        <v>47.391730497883493</v>
      </c>
      <c r="Q19" s="50">
        <f t="shared" si="3"/>
        <v>53.14317491434052</v>
      </c>
    </row>
    <row r="20" spans="1:21">
      <c r="A20" s="78"/>
      <c r="B20" s="79"/>
      <c r="C20" s="46">
        <f t="shared" si="9"/>
        <v>1</v>
      </c>
      <c r="D20" s="7">
        <v>512.4</v>
      </c>
      <c r="E20" s="7">
        <v>579.29999999999995</v>
      </c>
      <c r="F20" s="7">
        <v>533.79999999999995</v>
      </c>
      <c r="G20" s="8">
        <v>28.9</v>
      </c>
      <c r="H20" s="8">
        <v>39.6</v>
      </c>
      <c r="I20" s="8">
        <v>32.6</v>
      </c>
      <c r="M20" s="46">
        <f t="shared" si="0"/>
        <v>33.490185939958209</v>
      </c>
      <c r="N20" s="46">
        <f t="shared" si="5"/>
        <v>17</v>
      </c>
      <c r="O20" s="50">
        <f t="shared" si="1"/>
        <v>80.799387713794133</v>
      </c>
      <c r="P20" s="50">
        <f t="shared" si="2"/>
        <v>47.309201773835923</v>
      </c>
      <c r="Q20" s="50">
        <f t="shared" si="3"/>
        <v>52.826593942364163</v>
      </c>
    </row>
    <row r="21" spans="1:21">
      <c r="A21" s="78"/>
      <c r="B21" s="79"/>
      <c r="C21" s="46">
        <f t="shared" si="9"/>
        <v>2</v>
      </c>
      <c r="D21" s="6">
        <f>2*(D19-D20)/(D19+D20)</f>
        <v>-2.5403028822666429E-3</v>
      </c>
      <c r="E21" s="6">
        <f t="shared" ref="E21:F21" si="11">2*(E19-E20)/(E19+E20)</f>
        <v>-1.7277125086385626E-3</v>
      </c>
      <c r="F21" s="6">
        <f t="shared" si="11"/>
        <v>-3.7474236462419294E-4</v>
      </c>
      <c r="G21" s="8">
        <v>24.5</v>
      </c>
      <c r="H21" s="8">
        <v>34.700000000000003</v>
      </c>
      <c r="I21" s="8">
        <v>27.8</v>
      </c>
      <c r="M21" s="46">
        <f t="shared" si="0"/>
        <v>31.426308797834714</v>
      </c>
      <c r="N21" s="46">
        <f t="shared" si="5"/>
        <v>18</v>
      </c>
      <c r="O21" s="50">
        <f t="shared" si="1"/>
        <v>78.652981847623067</v>
      </c>
      <c r="P21" s="50">
        <f t="shared" si="2"/>
        <v>47.226673049788353</v>
      </c>
      <c r="Q21" s="50">
        <f t="shared" si="3"/>
        <v>52.510012970387805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549.54999999999995</v>
      </c>
      <c r="E22" s="46">
        <f t="shared" ref="E22:F22" si="12">(E13+E14)/2</f>
        <v>510.3</v>
      </c>
      <c r="F22" s="46">
        <f t="shared" si="12"/>
        <v>156.55000000000001</v>
      </c>
      <c r="G22" s="5">
        <f>G13</f>
        <v>77.7</v>
      </c>
      <c r="H22" s="5">
        <f t="shared" ref="H22:I22" si="13">H13</f>
        <v>30.6</v>
      </c>
      <c r="I22" s="5">
        <f t="shared" si="13"/>
        <v>35</v>
      </c>
      <c r="J22" s="99">
        <f>AVERAGE(G22:I24)</f>
        <v>45.266666666666673</v>
      </c>
      <c r="M22" s="46">
        <f t="shared" si="0"/>
        <v>29.362431655711205</v>
      </c>
      <c r="N22" s="46">
        <f t="shared" si="5"/>
        <v>19</v>
      </c>
      <c r="O22" s="50">
        <f t="shared" si="1"/>
        <v>76.506575981451988</v>
      </c>
      <c r="P22" s="50">
        <f t="shared" si="2"/>
        <v>47.144144325740783</v>
      </c>
      <c r="Q22" s="50">
        <f t="shared" si="3"/>
        <v>52.193431998411448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1191.5</v>
      </c>
      <c r="E23" s="46">
        <f>(E16+E17)/2</f>
        <v>1202.5</v>
      </c>
      <c r="F23" s="46">
        <f>(F16+F17)/2</f>
        <v>641</v>
      </c>
      <c r="G23" s="5">
        <f>G16</f>
        <v>60.9</v>
      </c>
      <c r="H23" s="5">
        <f>H16</f>
        <v>71.599999999999994</v>
      </c>
      <c r="I23" s="5">
        <f>I16</f>
        <v>40.1</v>
      </c>
      <c r="J23" s="99"/>
      <c r="M23" s="46">
        <f t="shared" si="0"/>
        <v>27.298554513587696</v>
      </c>
      <c r="N23" s="46">
        <f t="shared" si="5"/>
        <v>20</v>
      </c>
      <c r="O23" s="50">
        <f t="shared" si="1"/>
        <v>74.360170115280908</v>
      </c>
      <c r="P23" s="50">
        <f t="shared" si="2"/>
        <v>47.061615601693212</v>
      </c>
      <c r="Q23" s="50">
        <f t="shared" si="3"/>
        <v>51.876851026435091</v>
      </c>
    </row>
    <row r="24" spans="1:21">
      <c r="A24" s="78"/>
      <c r="B24" s="46" t="str">
        <f>B19</f>
        <v>D65</v>
      </c>
      <c r="C24" s="79"/>
      <c r="D24" s="46">
        <f>(D19+D20)/2</f>
        <v>511.75</v>
      </c>
      <c r="E24" s="46">
        <f>(E19+E20)/2</f>
        <v>578.79999999999995</v>
      </c>
      <c r="F24" s="46">
        <f>(F19+F20)/2</f>
        <v>533.70000000000005</v>
      </c>
      <c r="G24" s="5">
        <f>G19</f>
        <v>26.1</v>
      </c>
      <c r="H24" s="5">
        <f>H19</f>
        <v>35.9</v>
      </c>
      <c r="I24" s="5">
        <f>I19</f>
        <v>29.5</v>
      </c>
      <c r="J24" s="99"/>
      <c r="M24" s="46">
        <f t="shared" si="0"/>
        <v>25.234677371464208</v>
      </c>
      <c r="N24" s="46">
        <f t="shared" si="5"/>
        <v>21</v>
      </c>
      <c r="O24" s="50">
        <f t="shared" si="1"/>
        <v>72.213764249109843</v>
      </c>
      <c r="P24" s="50">
        <f t="shared" si="2"/>
        <v>46.979086877645635</v>
      </c>
      <c r="Q24" s="50">
        <f t="shared" si="3"/>
        <v>51.560270054458726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549.54999999999995</v>
      </c>
      <c r="E25" s="46">
        <f t="shared" ref="E25:F25" si="15">(E13+E14)/2</f>
        <v>510.3</v>
      </c>
      <c r="F25" s="46">
        <f t="shared" si="15"/>
        <v>156.55000000000001</v>
      </c>
      <c r="G25" s="5">
        <f t="shared" ref="G25:I25" si="16">G14</f>
        <v>83.7</v>
      </c>
      <c r="H25" s="5">
        <f t="shared" si="16"/>
        <v>33.799999999999997</v>
      </c>
      <c r="I25" s="5">
        <f t="shared" si="16"/>
        <v>38.6</v>
      </c>
      <c r="J25" s="99">
        <f>AVERAGE(G25:I27)</f>
        <v>49.37777777777778</v>
      </c>
      <c r="M25" s="46">
        <f t="shared" si="0"/>
        <v>23.170800229340713</v>
      </c>
      <c r="N25" s="46">
        <f t="shared" si="5"/>
        <v>22</v>
      </c>
      <c r="O25" s="50">
        <f t="shared" si="1"/>
        <v>70.067358382938778</v>
      </c>
      <c r="P25" s="50">
        <f t="shared" si="2"/>
        <v>46.896558153598065</v>
      </c>
      <c r="Q25" s="50">
        <f t="shared" si="3"/>
        <v>51.243689082482376</v>
      </c>
    </row>
    <row r="26" spans="1:21">
      <c r="A26" s="78"/>
      <c r="B26" s="46" t="str">
        <f>B16</f>
        <v>CWF</v>
      </c>
      <c r="C26" s="79"/>
      <c r="D26" s="46">
        <f>(D16+D17)/2</f>
        <v>1191.5</v>
      </c>
      <c r="E26" s="46">
        <f>(E16+E17)/2</f>
        <v>1202.5</v>
      </c>
      <c r="F26" s="46">
        <f>(F16+F17)/2</f>
        <v>641</v>
      </c>
      <c r="G26" s="5">
        <f>G17</f>
        <v>66.3</v>
      </c>
      <c r="H26" s="5">
        <f>H17</f>
        <v>76.8</v>
      </c>
      <c r="I26" s="5">
        <f>I17</f>
        <v>44.1</v>
      </c>
      <c r="J26" s="99"/>
      <c r="M26" s="46">
        <f t="shared" si="0"/>
        <v>21.106923087217204</v>
      </c>
      <c r="N26" s="46">
        <f t="shared" si="5"/>
        <v>23</v>
      </c>
      <c r="O26" s="50">
        <f t="shared" si="1"/>
        <v>67.920952516767699</v>
      </c>
      <c r="P26" s="50">
        <f t="shared" si="2"/>
        <v>46.814029429550494</v>
      </c>
      <c r="Q26" s="50">
        <f t="shared" si="3"/>
        <v>50.927108110506012</v>
      </c>
    </row>
    <row r="27" spans="1:21">
      <c r="A27" s="78"/>
      <c r="B27" s="46" t="str">
        <f>B19</f>
        <v>D65</v>
      </c>
      <c r="C27" s="79"/>
      <c r="D27" s="46">
        <f>(D19+D20)/2</f>
        <v>511.75</v>
      </c>
      <c r="E27" s="46">
        <f>(E19+E20)/2</f>
        <v>578.79999999999995</v>
      </c>
      <c r="F27" s="46">
        <f>(F19+F20)/2</f>
        <v>533.70000000000005</v>
      </c>
      <c r="G27" s="5">
        <f>G20</f>
        <v>28.9</v>
      </c>
      <c r="H27" s="5">
        <f>H20</f>
        <v>39.6</v>
      </c>
      <c r="I27" s="5">
        <f>I20</f>
        <v>32.6</v>
      </c>
      <c r="J27" s="99"/>
      <c r="M27" s="46">
        <f t="shared" si="0"/>
        <v>19.043045945093709</v>
      </c>
      <c r="N27" s="46">
        <f t="shared" si="5"/>
        <v>24</v>
      </c>
      <c r="O27" s="50">
        <f t="shared" si="1"/>
        <v>65.774546650596633</v>
      </c>
      <c r="P27" s="50">
        <f t="shared" si="2"/>
        <v>46.731500705502924</v>
      </c>
      <c r="Q27" s="50">
        <f t="shared" si="3"/>
        <v>50.610527138529655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549.54999999999995</v>
      </c>
      <c r="E28" s="46">
        <f t="shared" ref="E28:F28" si="17">(E13+E14)/2</f>
        <v>510.3</v>
      </c>
      <c r="F28" s="46">
        <f t="shared" si="17"/>
        <v>156.55000000000001</v>
      </c>
      <c r="G28" s="5">
        <f t="shared" ref="G28:I28" si="18">G15</f>
        <v>88</v>
      </c>
      <c r="H28" s="5">
        <f t="shared" si="18"/>
        <v>29.1</v>
      </c>
      <c r="I28" s="5">
        <f t="shared" si="18"/>
        <v>33.799999999999997</v>
      </c>
      <c r="J28" s="99">
        <f>AVERAGE(G28:I30)</f>
        <v>44.033333333333331</v>
      </c>
      <c r="M28" s="46">
        <f t="shared" si="0"/>
        <v>16.979168802970207</v>
      </c>
      <c r="N28" s="46">
        <f t="shared" si="5"/>
        <v>25</v>
      </c>
      <c r="O28" s="50">
        <f t="shared" si="1"/>
        <v>63.628140784425561</v>
      </c>
      <c r="P28" s="50">
        <f t="shared" si="2"/>
        <v>46.648971981455354</v>
      </c>
      <c r="Q28" s="50">
        <f t="shared" si="3"/>
        <v>50.293946166553297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1191.5</v>
      </c>
      <c r="E29" s="46">
        <f t="shared" si="20"/>
        <v>1202.5</v>
      </c>
      <c r="F29" s="46">
        <f t="shared" si="20"/>
        <v>641</v>
      </c>
      <c r="G29" s="5">
        <f t="shared" ref="G29:I29" si="21">G18</f>
        <v>54.9</v>
      </c>
      <c r="H29" s="5">
        <f t="shared" si="21"/>
        <v>63.6</v>
      </c>
      <c r="I29" s="5">
        <f t="shared" si="21"/>
        <v>39.9</v>
      </c>
      <c r="J29" s="99"/>
      <c r="M29" s="46">
        <f t="shared" si="0"/>
        <v>14.915291660846705</v>
      </c>
      <c r="N29" s="46">
        <f t="shared" si="5"/>
        <v>26</v>
      </c>
      <c r="O29" s="50">
        <f t="shared" si="1"/>
        <v>61.481734918254489</v>
      </c>
      <c r="P29" s="50">
        <f t="shared" si="2"/>
        <v>46.566443257407784</v>
      </c>
      <c r="Q29" s="50">
        <f t="shared" si="3"/>
        <v>49.97736519457694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511.75</v>
      </c>
      <c r="E30" s="46">
        <f t="shared" si="23"/>
        <v>578.79999999999995</v>
      </c>
      <c r="F30" s="46">
        <f t="shared" si="23"/>
        <v>533.70000000000005</v>
      </c>
      <c r="G30" s="5">
        <f t="shared" ref="G30:I30" si="24">G21</f>
        <v>24.5</v>
      </c>
      <c r="H30" s="5">
        <f t="shared" si="24"/>
        <v>34.700000000000003</v>
      </c>
      <c r="I30" s="5">
        <f t="shared" si="24"/>
        <v>27.8</v>
      </c>
      <c r="J30" s="99"/>
      <c r="M30" s="46">
        <f t="shared" si="0"/>
        <v>12.851414518723203</v>
      </c>
      <c r="N30" s="46">
        <f t="shared" si="5"/>
        <v>27</v>
      </c>
      <c r="O30" s="50">
        <f t="shared" si="1"/>
        <v>59.335329052083416</v>
      </c>
      <c r="P30" s="50">
        <f t="shared" si="2"/>
        <v>46.483914533360213</v>
      </c>
      <c r="Q30" s="50">
        <f t="shared" si="3"/>
        <v>49.660784222600583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549.54999999999995</v>
      </c>
      <c r="E31" s="46">
        <f t="shared" si="25"/>
        <v>510.3</v>
      </c>
      <c r="F31" s="46">
        <f t="shared" si="25"/>
        <v>156.55000000000001</v>
      </c>
      <c r="G31" s="5">
        <f t="shared" ref="G31:I33" si="26">G22*$J$31</f>
        <v>77.7</v>
      </c>
      <c r="H31" s="5">
        <f t="shared" si="26"/>
        <v>30.6</v>
      </c>
      <c r="I31" s="5">
        <f t="shared" si="26"/>
        <v>35</v>
      </c>
      <c r="J31" s="96">
        <f>J$22/J22</f>
        <v>1</v>
      </c>
      <c r="M31" s="46">
        <f t="shared" si="0"/>
        <v>10.787537376599701</v>
      </c>
      <c r="N31" s="46">
        <f t="shared" si="5"/>
        <v>28</v>
      </c>
      <c r="O31" s="50">
        <f t="shared" si="1"/>
        <v>57.188923185912344</v>
      </c>
      <c r="P31" s="50">
        <f t="shared" si="2"/>
        <v>46.401385809312643</v>
      </c>
      <c r="Q31" s="50">
        <f t="shared" si="3"/>
        <v>49.344203250624226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1191.5</v>
      </c>
      <c r="E32" s="46">
        <f t="shared" si="27"/>
        <v>1202.5</v>
      </c>
      <c r="F32" s="46">
        <f t="shared" si="27"/>
        <v>641</v>
      </c>
      <c r="G32" s="5">
        <f t="shared" si="26"/>
        <v>60.9</v>
      </c>
      <c r="H32" s="5">
        <f t="shared" si="26"/>
        <v>71.599999999999994</v>
      </c>
      <c r="I32" s="5">
        <f t="shared" si="26"/>
        <v>40.1</v>
      </c>
      <c r="J32" s="96"/>
      <c r="M32" s="46">
        <f t="shared" si="0"/>
        <v>8.7236602344762062</v>
      </c>
      <c r="N32" s="46">
        <f t="shared" si="5"/>
        <v>29</v>
      </c>
      <c r="O32" s="50">
        <f t="shared" si="1"/>
        <v>55.042517319741272</v>
      </c>
      <c r="P32" s="50">
        <f t="shared" si="2"/>
        <v>46.318857085265066</v>
      </c>
      <c r="Q32" s="50">
        <f t="shared" si="3"/>
        <v>49.027622278647868</v>
      </c>
    </row>
    <row r="33" spans="1:17">
      <c r="A33" s="78"/>
      <c r="B33" s="46" t="str">
        <f t="shared" si="27"/>
        <v>D65</v>
      </c>
      <c r="C33" s="79"/>
      <c r="D33" s="46">
        <f t="shared" si="27"/>
        <v>511.75</v>
      </c>
      <c r="E33" s="46">
        <f t="shared" si="27"/>
        <v>578.79999999999995</v>
      </c>
      <c r="F33" s="46">
        <f t="shared" si="27"/>
        <v>533.70000000000005</v>
      </c>
      <c r="G33" s="5">
        <f t="shared" si="26"/>
        <v>26.1</v>
      </c>
      <c r="H33" s="5">
        <f t="shared" si="26"/>
        <v>35.9</v>
      </c>
      <c r="I33" s="5">
        <f t="shared" si="26"/>
        <v>29.5</v>
      </c>
      <c r="J33" s="96"/>
      <c r="M33" s="46">
        <f t="shared" si="0"/>
        <v>6.6597830923527042</v>
      </c>
      <c r="N33" s="46">
        <f t="shared" si="5"/>
        <v>30</v>
      </c>
      <c r="O33" s="50">
        <f t="shared" si="1"/>
        <v>52.8961114535702</v>
      </c>
      <c r="P33" s="50">
        <f t="shared" si="2"/>
        <v>46.236328361217495</v>
      </c>
      <c r="Q33" s="50">
        <f t="shared" si="3"/>
        <v>48.711041306671511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549.54999999999995</v>
      </c>
      <c r="E34" s="46">
        <f t="shared" si="27"/>
        <v>510.3</v>
      </c>
      <c r="F34" s="46">
        <f t="shared" si="27"/>
        <v>156.55000000000001</v>
      </c>
      <c r="G34" s="5">
        <f t="shared" ref="G34:I36" si="28">G25*$J$34</f>
        <v>76.731278127812786</v>
      </c>
      <c r="H34" s="5">
        <f t="shared" si="28"/>
        <v>30.985868586858686</v>
      </c>
      <c r="I34" s="5">
        <f t="shared" si="28"/>
        <v>35.386228622862291</v>
      </c>
      <c r="J34" s="96">
        <f>J$22/J25</f>
        <v>0.91674167416741681</v>
      </c>
      <c r="M34" s="46">
        <f t="shared" si="0"/>
        <v>4.595905950229195</v>
      </c>
      <c r="N34" s="46">
        <f t="shared" si="5"/>
        <v>31</v>
      </c>
      <c r="O34" s="50">
        <f t="shared" si="1"/>
        <v>50.74970558739912</v>
      </c>
      <c r="P34" s="50">
        <f t="shared" si="2"/>
        <v>46.153799637169925</v>
      </c>
      <c r="Q34" s="50">
        <f t="shared" si="3"/>
        <v>48.394460334695154</v>
      </c>
    </row>
    <row r="35" spans="1:17">
      <c r="A35" s="78"/>
      <c r="B35" s="46" t="str">
        <f t="shared" si="27"/>
        <v>CWF</v>
      </c>
      <c r="C35" s="79"/>
      <c r="D35" s="46">
        <f t="shared" si="27"/>
        <v>1191.5</v>
      </c>
      <c r="E35" s="46">
        <f t="shared" si="27"/>
        <v>1202.5</v>
      </c>
      <c r="F35" s="46">
        <f t="shared" si="27"/>
        <v>641</v>
      </c>
      <c r="G35" s="5">
        <f t="shared" si="28"/>
        <v>60.77997299729973</v>
      </c>
      <c r="H35" s="5">
        <f t="shared" si="28"/>
        <v>70.405760576057602</v>
      </c>
      <c r="I35" s="5">
        <f t="shared" si="28"/>
        <v>40.428307830783083</v>
      </c>
      <c r="J35" s="96"/>
      <c r="M35" s="46">
        <f t="shared" si="0"/>
        <v>2.5320288081057001</v>
      </c>
      <c r="N35" s="46">
        <f t="shared" si="5"/>
        <v>32</v>
      </c>
      <c r="O35" s="50">
        <f t="shared" si="1"/>
        <v>48.603299721228055</v>
      </c>
      <c r="P35" s="50">
        <f t="shared" si="2"/>
        <v>46.071270913122355</v>
      </c>
      <c r="Q35" s="50">
        <f t="shared" si="3"/>
        <v>48.077879362718797</v>
      </c>
    </row>
    <row r="36" spans="1:17">
      <c r="A36" s="78"/>
      <c r="B36" s="46" t="str">
        <f t="shared" si="27"/>
        <v>D65</v>
      </c>
      <c r="C36" s="79"/>
      <c r="D36" s="46">
        <f t="shared" si="27"/>
        <v>511.75</v>
      </c>
      <c r="E36" s="46">
        <f t="shared" si="27"/>
        <v>578.79999999999995</v>
      </c>
      <c r="F36" s="46">
        <f t="shared" si="27"/>
        <v>533.70000000000005</v>
      </c>
      <c r="G36" s="5">
        <f t="shared" si="28"/>
        <v>26.493834383438344</v>
      </c>
      <c r="H36" s="5">
        <f t="shared" si="28"/>
        <v>36.302970297029709</v>
      </c>
      <c r="I36" s="5">
        <f t="shared" si="28"/>
        <v>29.885778577857788</v>
      </c>
      <c r="J36" s="96"/>
      <c r="M36" s="46">
        <f t="shared" si="0"/>
        <v>1.7725562016676548</v>
      </c>
      <c r="N36" s="46">
        <f t="shared" si="5"/>
        <v>33</v>
      </c>
      <c r="O36" s="50">
        <f t="shared" si="1"/>
        <v>46.45689385505699</v>
      </c>
      <c r="P36" s="50">
        <f t="shared" si="2"/>
        <v>45.988742189074785</v>
      </c>
      <c r="Q36" s="50">
        <f t="shared" si="3"/>
        <v>47.761298390742439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549.54999999999995</v>
      </c>
      <c r="E37" s="46">
        <f t="shared" si="27"/>
        <v>510.3</v>
      </c>
      <c r="F37" s="46">
        <f t="shared" si="27"/>
        <v>156.55000000000001</v>
      </c>
      <c r="G37" s="5">
        <f t="shared" ref="G37:I39" si="29">G28*$J$37</f>
        <v>90.464799394398199</v>
      </c>
      <c r="H37" s="5">
        <f t="shared" si="29"/>
        <v>29.915064345193041</v>
      </c>
      <c r="I37" s="5">
        <f t="shared" si="29"/>
        <v>34.746707040121123</v>
      </c>
      <c r="J37" s="96">
        <f>J$22/J28</f>
        <v>1.0280090840272522</v>
      </c>
      <c r="K37" s="51" t="str">
        <f>CHAR(34) &amp; "EEpromVersion" &amp;CHAR(34)  &amp; ",3,"</f>
        <v>"EEpromVersion",3,</v>
      </c>
      <c r="M37" s="46">
        <f t="shared" si="0"/>
        <v>3.1342294298801647</v>
      </c>
      <c r="N37" s="46">
        <f t="shared" si="5"/>
        <v>34</v>
      </c>
      <c r="O37" s="50">
        <f t="shared" si="1"/>
        <v>44.31048798888591</v>
      </c>
      <c r="P37" s="50">
        <f t="shared" si="2"/>
        <v>45.906213465027214</v>
      </c>
      <c r="Q37" s="50">
        <f t="shared" si="3"/>
        <v>47.444717418766075</v>
      </c>
    </row>
    <row r="38" spans="1:17">
      <c r="A38" s="78"/>
      <c r="B38" s="46" t="str">
        <f t="shared" si="27"/>
        <v>CWF</v>
      </c>
      <c r="C38" s="79"/>
      <c r="D38" s="46">
        <f t="shared" si="27"/>
        <v>1191.5</v>
      </c>
      <c r="E38" s="46">
        <f t="shared" si="27"/>
        <v>1202.5</v>
      </c>
      <c r="F38" s="46">
        <f t="shared" si="27"/>
        <v>641</v>
      </c>
      <c r="G38" s="5">
        <f t="shared" si="29"/>
        <v>56.437698713096147</v>
      </c>
      <c r="H38" s="5">
        <f t="shared" si="29"/>
        <v>65.381377744133246</v>
      </c>
      <c r="I38" s="5">
        <f t="shared" si="29"/>
        <v>41.017562452687365</v>
      </c>
      <c r="J38" s="96"/>
      <c r="K38" s="52" t="str">
        <f>K4</f>
        <v>"Compensation",33,</v>
      </c>
      <c r="M38" s="46">
        <f t="shared" si="0"/>
        <v>4.9640543240748798</v>
      </c>
      <c r="N38" s="46">
        <f t="shared" si="5"/>
        <v>35</v>
      </c>
      <c r="O38" s="50">
        <f t="shared" si="1"/>
        <v>42.164082122714845</v>
      </c>
      <c r="P38" s="50">
        <f t="shared" si="2"/>
        <v>45.823684740979644</v>
      </c>
      <c r="Q38" s="50">
        <f t="shared" si="3"/>
        <v>47.128136446789725</v>
      </c>
    </row>
    <row r="39" spans="1:17">
      <c r="A39" s="78"/>
      <c r="B39" s="46" t="str">
        <f t="shared" si="27"/>
        <v>D65</v>
      </c>
      <c r="C39" s="79"/>
      <c r="D39" s="46">
        <f t="shared" si="27"/>
        <v>511.75</v>
      </c>
      <c r="E39" s="46">
        <f t="shared" si="27"/>
        <v>578.79999999999995</v>
      </c>
      <c r="F39" s="46">
        <f t="shared" si="27"/>
        <v>533.70000000000005</v>
      </c>
      <c r="G39" s="5">
        <f t="shared" si="29"/>
        <v>25.18622255866768</v>
      </c>
      <c r="H39" s="5">
        <f t="shared" si="29"/>
        <v>35.671915215745656</v>
      </c>
      <c r="I39" s="5">
        <f t="shared" si="29"/>
        <v>28.578652535957612</v>
      </c>
      <c r="J39" s="96"/>
      <c r="K39" s="53" t="str">
        <f>linefmt("CardGain",J42,J45,J48)</f>
        <v>"CardGain",17.44926,18.49012,23.33142,</v>
      </c>
      <c r="M39" s="46">
        <f t="shared" si="0"/>
        <v>6.7938792182695948</v>
      </c>
      <c r="N39" s="46">
        <f t="shared" si="5"/>
        <v>36</v>
      </c>
      <c r="O39" s="50">
        <f t="shared" si="1"/>
        <v>40.017676256543766</v>
      </c>
      <c r="P39" s="50">
        <f t="shared" si="2"/>
        <v>45.741156016932074</v>
      </c>
      <c r="Q39" s="50">
        <f t="shared" si="3"/>
        <v>46.81155547481336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"Range",1,0.9167417,1.028009,</v>
      </c>
      <c r="M40" s="46">
        <f t="shared" si="0"/>
        <v>8.6237041124643099</v>
      </c>
      <c r="N40" s="46">
        <f t="shared" si="5"/>
        <v>37</v>
      </c>
      <c r="O40" s="50">
        <f t="shared" si="1"/>
        <v>37.8712703903727</v>
      </c>
      <c r="P40" s="50">
        <f t="shared" si="2"/>
        <v>45.658627292884503</v>
      </c>
      <c r="Q40" s="50">
        <f t="shared" si="3"/>
        <v>46.49497450283701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10.453529006659025</v>
      </c>
      <c r="N41" s="46">
        <f t="shared" si="5"/>
        <v>38</v>
      </c>
      <c r="O41" s="50">
        <f t="shared" si="1"/>
        <v>35.724864524201621</v>
      </c>
      <c r="P41" s="50">
        <f t="shared" si="2"/>
        <v>45.576098568836926</v>
      </c>
      <c r="Q41" s="50">
        <f t="shared" si="3"/>
        <v>46.178393530860646</v>
      </c>
    </row>
    <row r="42" spans="1:17">
      <c r="A42" s="4"/>
      <c r="B42" s="46" t="s">
        <v>3</v>
      </c>
      <c r="C42" s="79">
        <f>C31</f>
        <v>0</v>
      </c>
      <c r="D42" s="46">
        <f>I42/$H$43</f>
        <v>0.19376361836269251</v>
      </c>
      <c r="E42" s="46">
        <f>H42/$H$43</f>
        <v>1.0303287402937424</v>
      </c>
      <c r="F42" s="46">
        <f>G42/$H$43</f>
        <v>-0.431123598495399</v>
      </c>
      <c r="G42" s="46">
        <f t="array" ref="G42:I42">LINEST($D31:$D33,$G31:$I33,FALSE)</f>
        <v>-7.5227890983062444</v>
      </c>
      <c r="H42" s="46">
        <v>17.978477267780764</v>
      </c>
      <c r="I42" s="46">
        <v>3.3810323558124389</v>
      </c>
      <c r="J42" s="97">
        <f>H43</f>
        <v>17.449263098935951</v>
      </c>
      <c r="K42" s="53" t="str">
        <f t="shared" ref="K42:K50" si="30">linefmt("",D42,E42,F42)</f>
        <v>0.1937636,1.030329,-0.4311236,</v>
      </c>
      <c r="M42" s="46">
        <f t="shared" si="0"/>
        <v>12.283353900853733</v>
      </c>
      <c r="N42" s="46">
        <f t="shared" si="5"/>
        <v>39</v>
      </c>
      <c r="O42" s="50">
        <f t="shared" si="1"/>
        <v>33.578458658030556</v>
      </c>
      <c r="P42" s="50">
        <f t="shared" si="2"/>
        <v>45.493569844789356</v>
      </c>
      <c r="Q42" s="50">
        <f t="shared" si="3"/>
        <v>45.861812558884289</v>
      </c>
    </row>
    <row r="43" spans="1:17">
      <c r="A43" s="4"/>
      <c r="B43" s="46" t="s">
        <v>4</v>
      </c>
      <c r="C43" s="79"/>
      <c r="D43" s="46">
        <f>I43/$H$43</f>
        <v>4.0296894533709569E-2</v>
      </c>
      <c r="E43" s="46">
        <f>H43/$H$43</f>
        <v>1</v>
      </c>
      <c r="F43" s="46">
        <f>G43/$H$43</f>
        <v>-0.12817944886051047</v>
      </c>
      <c r="G43" s="46">
        <f t="array" ref="G43:I43">LINEST($E31:$E33,$G31:$I33,FALSE)</f>
        <v>-2.2366369270436532</v>
      </c>
      <c r="H43" s="46">
        <v>17.449263098935951</v>
      </c>
      <c r="I43" s="46">
        <v>0.70315111478877224</v>
      </c>
      <c r="J43" s="97"/>
      <c r="K43" s="53" t="str">
        <f t="shared" si="30"/>
        <v>4.029689E-02,1,-0.1281794,</v>
      </c>
      <c r="M43" s="46">
        <f t="shared" si="0"/>
        <v>14.113178795048455</v>
      </c>
      <c r="N43" s="46">
        <f t="shared" si="5"/>
        <v>40</v>
      </c>
      <c r="O43" s="50">
        <f t="shared" si="1"/>
        <v>31.432052791859476</v>
      </c>
      <c r="P43" s="50">
        <f t="shared" si="2"/>
        <v>45.411041120741785</v>
      </c>
      <c r="Q43" s="50">
        <f t="shared" si="3"/>
        <v>45.545231586907931</v>
      </c>
    </row>
    <row r="44" spans="1:17">
      <c r="A44" s="4"/>
      <c r="B44" s="46" t="s">
        <v>5</v>
      </c>
      <c r="C44" s="79"/>
      <c r="D44" s="46">
        <f>I44/$H$43</f>
        <v>-0.49683741888094696</v>
      </c>
      <c r="E44" s="46">
        <f>H44/$H$43</f>
        <v>0.34164173923755753</v>
      </c>
      <c r="F44" s="46">
        <f>G44/$H$43</f>
        <v>1.0606215943093882</v>
      </c>
      <c r="G44" s="46">
        <f t="array" ref="G44:I44">LINEST($F$31:$F$33,$G31:$I33,FALSE)</f>
        <v>18.507065247517424</v>
      </c>
      <c r="H44" s="46">
        <v>5.9613965935342108</v>
      </c>
      <c r="I44" s="46">
        <v>-8.6694468394498916</v>
      </c>
      <c r="J44" s="97"/>
      <c r="K44" s="53" t="str">
        <f t="shared" si="30"/>
        <v>-0.4968374,0.3416418,1.060622,</v>
      </c>
      <c r="M44" s="46">
        <f t="shared" si="0"/>
        <v>16.042865471005804</v>
      </c>
      <c r="N44" s="46">
        <f t="shared" si="5"/>
        <v>41</v>
      </c>
      <c r="O44" s="50">
        <f t="shared" si="1"/>
        <v>29.285646925688411</v>
      </c>
      <c r="P44" s="50">
        <f t="shared" si="2"/>
        <v>45.328512396694215</v>
      </c>
      <c r="Q44" s="50">
        <f t="shared" si="3"/>
        <v>45.228650614931574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0.20470641631415148</v>
      </c>
      <c r="E45" s="46">
        <f>H45/$H$46</f>
        <v>1.0280612236710926</v>
      </c>
      <c r="F45" s="46">
        <f>G45/$H$46</f>
        <v>-0.50419246860243938</v>
      </c>
      <c r="G45" s="46">
        <f t="array" ref="G45:I45">LINEST($D34:$D36,$G34:$I36,FALSE)</f>
        <v>-9.322577113909583</v>
      </c>
      <c r="H45" s="46">
        <v>19.008971042467568</v>
      </c>
      <c r="I45" s="46">
        <v>3.7850453361403558</v>
      </c>
      <c r="J45" s="97">
        <f>H46</f>
        <v>18.490115768191938</v>
      </c>
      <c r="K45" s="53" t="str">
        <f t="shared" si="30"/>
        <v>0.2047064,1.028061,-0.5041925,</v>
      </c>
      <c r="M45" s="46">
        <f t="shared" si="0"/>
        <v>18.106742613129313</v>
      </c>
      <c r="N45" s="46">
        <f t="shared" si="5"/>
        <v>42</v>
      </c>
      <c r="O45" s="50">
        <f t="shared" si="1"/>
        <v>27.139241059517332</v>
      </c>
      <c r="P45" s="50">
        <f t="shared" si="2"/>
        <v>45.245983672646645</v>
      </c>
      <c r="Q45" s="50">
        <f t="shared" si="3"/>
        <v>44.912069642955217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5.5832216977095762E-2</v>
      </c>
      <c r="E46" s="46">
        <f>H46/$H$46</f>
        <v>1</v>
      </c>
      <c r="F46" s="46">
        <f>G46/$H$46</f>
        <v>-0.21679102440461367</v>
      </c>
      <c r="G46" s="46">
        <f t="array" ref="G46:I46">LINEST($E34:$E36,$G34:$I36,FALSE)</f>
        <v>-4.0084911387462308</v>
      </c>
      <c r="H46" s="46">
        <v>18.490115768191938</v>
      </c>
      <c r="I46" s="46">
        <v>1.032344155501312</v>
      </c>
      <c r="J46" s="97"/>
      <c r="K46" s="53" t="str">
        <f t="shared" si="30"/>
        <v>5.583222E-02,1,-0.216791,</v>
      </c>
      <c r="M46" s="46">
        <f t="shared" si="0"/>
        <v>20.170619755252808</v>
      </c>
      <c r="N46" s="46">
        <f t="shared" si="5"/>
        <v>43</v>
      </c>
      <c r="O46" s="50">
        <f t="shared" si="1"/>
        <v>24.992835193346266</v>
      </c>
      <c r="P46" s="50">
        <f t="shared" si="2"/>
        <v>45.163454948599075</v>
      </c>
      <c r="Q46" s="50">
        <f t="shared" si="3"/>
        <v>44.59548867097886</v>
      </c>
    </row>
    <row r="47" spans="1:17">
      <c r="A47" s="4"/>
      <c r="B47" s="46" t="str">
        <f t="shared" si="31"/>
        <v>Z</v>
      </c>
      <c r="C47" s="79"/>
      <c r="D47" s="46">
        <f>I47/$H$46</f>
        <v>-0.4742577302640425</v>
      </c>
      <c r="E47" s="46">
        <f>H47/$H$46</f>
        <v>0.34977770995770069</v>
      </c>
      <c r="F47" s="46">
        <f>G47/$H$46</f>
        <v>0.9613604710211725</v>
      </c>
      <c r="G47" s="46">
        <f t="array" ref="G47:I47">LINEST($F$31:$F$33,$G34:$I36,FALSE)</f>
        <v>17.77566640414501</v>
      </c>
      <c r="H47" s="46">
        <v>6.4674303502509476</v>
      </c>
      <c r="I47" s="46">
        <v>-8.7690803365420908</v>
      </c>
      <c r="J47" s="97"/>
      <c r="K47" s="53" t="str">
        <f t="shared" si="30"/>
        <v>-0.4742577,0.3497777,0.9613605,</v>
      </c>
      <c r="M47" s="46">
        <f t="shared" si="0"/>
        <v>22.234496897376317</v>
      </c>
      <c r="N47" s="46">
        <f t="shared" si="5"/>
        <v>44</v>
      </c>
      <c r="O47" s="50">
        <f t="shared" si="1"/>
        <v>22.846429327175187</v>
      </c>
      <c r="P47" s="50">
        <f t="shared" si="2"/>
        <v>45.080926224551504</v>
      </c>
      <c r="Q47" s="50">
        <f t="shared" si="3"/>
        <v>44.278907699002502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0.19558901885527746</v>
      </c>
      <c r="E48" s="46">
        <f>H48/$H$49</f>
        <v>1.1012618044304787</v>
      </c>
      <c r="F48" s="46">
        <f>G48/$H$49</f>
        <v>-0.77947430629434411</v>
      </c>
      <c r="G48" s="46">
        <f t="array" ref="G48:I48">LINEST($D37:$D39,$G37:$I39,FALSE)</f>
        <v>-18.186242853605954</v>
      </c>
      <c r="H48" s="46">
        <v>25.694002302636658</v>
      </c>
      <c r="I48" s="46">
        <v>4.563369655262747</v>
      </c>
      <c r="J48" s="97">
        <f>H49</f>
        <v>23.3314205570985</v>
      </c>
      <c r="K48" s="53" t="str">
        <f t="shared" si="30"/>
        <v>0.195589,1.101262,-0.7794743,</v>
      </c>
      <c r="M48" s="46">
        <f t="shared" si="0"/>
        <v>24.298374039499812</v>
      </c>
      <c r="N48" s="46">
        <f t="shared" si="5"/>
        <v>45</v>
      </c>
      <c r="O48" s="50">
        <f t="shared" si="1"/>
        <v>20.700023461004122</v>
      </c>
      <c r="P48" s="50">
        <f t="shared" si="2"/>
        <v>44.998397500503934</v>
      </c>
      <c r="Q48" s="50">
        <f t="shared" si="3"/>
        <v>43.962326727026145</v>
      </c>
    </row>
    <row r="49" spans="1:24">
      <c r="A49" s="4"/>
      <c r="B49" s="46" t="str">
        <f t="shared" si="31"/>
        <v>Y</v>
      </c>
      <c r="C49" s="79"/>
      <c r="D49" s="46">
        <f>I49/$H$49</f>
        <v>8.6320972931670237E-2</v>
      </c>
      <c r="E49" s="46">
        <f>H49/$H$49</f>
        <v>1</v>
      </c>
      <c r="F49" s="46">
        <f>G49/$H$49</f>
        <v>-0.45622397719190488</v>
      </c>
      <c r="G49" s="46">
        <f t="array" ref="G49:I49">LINEST($E37:$E39,$G37:$I39,FALSE)</f>
        <v>-10.644353480096447</v>
      </c>
      <c r="H49" s="46">
        <v>23.3314205570985</v>
      </c>
      <c r="I49" s="46">
        <v>2.0139909223667143</v>
      </c>
      <c r="J49" s="97"/>
      <c r="K49" s="53" t="str">
        <f t="shared" si="30"/>
        <v>8.632097E-02,1,-0.456224,</v>
      </c>
      <c r="M49" s="46">
        <f t="shared" si="0"/>
        <v>26.362251181623314</v>
      </c>
      <c r="N49" s="46">
        <f t="shared" si="5"/>
        <v>46</v>
      </c>
      <c r="O49" s="50">
        <f t="shared" si="1"/>
        <v>18.553617594833042</v>
      </c>
      <c r="P49" s="50">
        <f t="shared" si="2"/>
        <v>44.915868776456357</v>
      </c>
      <c r="Q49" s="50">
        <f t="shared" si="3"/>
        <v>43.645745755049788</v>
      </c>
    </row>
    <row r="50" spans="1:24">
      <c r="A50" s="4"/>
      <c r="B50" s="46" t="str">
        <f t="shared" si="31"/>
        <v>Z</v>
      </c>
      <c r="C50" s="79"/>
      <c r="D50" s="46">
        <f>I50/$H$49</f>
        <v>-0.33106621490298394</v>
      </c>
      <c r="E50" s="46">
        <f>H50/$H$49</f>
        <v>9.5868700208427443E-2</v>
      </c>
      <c r="F50" s="46">
        <f>G50/$H$49</f>
        <v>0.97251679428597226</v>
      </c>
      <c r="G50" s="46">
        <f t="array" ref="G50:I50">LINEST($F$31:$F$33,$G37:$I39,FALSE)</f>
        <v>22.690198326327266</v>
      </c>
      <c r="H50" s="46">
        <v>2.2367529628252174</v>
      </c>
      <c r="I50" s="46">
        <v>-7.7242450921482693</v>
      </c>
      <c r="J50" s="97"/>
      <c r="K50" s="54" t="str">
        <f t="shared" si="30"/>
        <v>-0.3310662,0.0958687,0.9725168,</v>
      </c>
      <c r="M50" s="46">
        <f t="shared" si="0"/>
        <v>28.426128323746809</v>
      </c>
      <c r="N50" s="46">
        <f t="shared" si="5"/>
        <v>47</v>
      </c>
      <c r="O50" s="50">
        <f t="shared" si="1"/>
        <v>16.407211728661977</v>
      </c>
      <c r="P50" s="50">
        <f t="shared" si="2"/>
        <v>44.833340052408786</v>
      </c>
      <c r="Q50" s="50">
        <f t="shared" si="3"/>
        <v>43.329164783073431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0.19801968451070717</v>
      </c>
      <c r="E51" s="46">
        <f t="shared" ref="E51:F51" si="32">(E42+E45+E48)/3</f>
        <v>1.0532172561317712</v>
      </c>
      <c r="F51" s="46">
        <f t="shared" si="32"/>
        <v>-0.57159679113072748</v>
      </c>
      <c r="J51" s="97">
        <f>(J42+J45+J48)/3</f>
        <v>19.756933141408794</v>
      </c>
      <c r="M51" s="46">
        <f t="shared" si="0"/>
        <v>30.490005465870304</v>
      </c>
      <c r="N51" s="46">
        <f t="shared" si="5"/>
        <v>48</v>
      </c>
      <c r="O51" s="50">
        <f t="shared" si="1"/>
        <v>14.260805862490912</v>
      </c>
      <c r="P51" s="50">
        <f t="shared" si="2"/>
        <v>44.750811328361216</v>
      </c>
      <c r="Q51" s="50">
        <f t="shared" si="3"/>
        <v>43.012583811097073</v>
      </c>
    </row>
    <row r="52" spans="1:24">
      <c r="B52" s="46" t="str">
        <f t="shared" si="31"/>
        <v>Y</v>
      </c>
      <c r="C52" s="79"/>
      <c r="D52" s="46">
        <f t="shared" ref="D52:F53" si="33">(D43+D46+D49)/3</f>
        <v>6.0816694814158523E-2</v>
      </c>
      <c r="E52" s="46">
        <f t="shared" si="33"/>
        <v>1</v>
      </c>
      <c r="F52" s="46">
        <f t="shared" si="33"/>
        <v>-0.26706481681900968</v>
      </c>
      <c r="J52" s="97"/>
      <c r="M52" s="46">
        <f t="shared" si="0"/>
        <v>32.553882607993813</v>
      </c>
      <c r="N52" s="46">
        <f t="shared" si="5"/>
        <v>49</v>
      </c>
      <c r="O52" s="50">
        <f t="shared" si="1"/>
        <v>12.114399996319833</v>
      </c>
      <c r="P52" s="50">
        <f t="shared" si="2"/>
        <v>44.668282604313646</v>
      </c>
      <c r="Q52" s="50">
        <f t="shared" si="3"/>
        <v>42.696002839120709</v>
      </c>
    </row>
    <row r="53" spans="1:24" ht="15.75" thickBot="1">
      <c r="B53" s="46" t="str">
        <f t="shared" si="31"/>
        <v>Z</v>
      </c>
      <c r="C53" s="79"/>
      <c r="D53" s="46">
        <f t="shared" si="33"/>
        <v>-0.43405378801599115</v>
      </c>
      <c r="E53" s="46">
        <f t="shared" si="33"/>
        <v>0.26242938313456188</v>
      </c>
      <c r="F53" s="46">
        <f t="shared" si="33"/>
        <v>0.99816628653884443</v>
      </c>
      <c r="J53" s="100"/>
      <c r="M53" s="46">
        <f t="shared" si="0"/>
        <v>34.617759750117308</v>
      </c>
      <c r="N53" s="46">
        <f t="shared" si="5"/>
        <v>50</v>
      </c>
      <c r="O53" s="50">
        <f t="shared" si="1"/>
        <v>9.9679941301487673</v>
      </c>
      <c r="P53" s="50">
        <f t="shared" si="2"/>
        <v>44.585753880266076</v>
      </c>
      <c r="Q53" s="50">
        <f t="shared" si="3"/>
        <v>42.379421867144359</v>
      </c>
    </row>
    <row r="54" spans="1:24">
      <c r="B54" s="79" t="s">
        <v>14</v>
      </c>
      <c r="C54" s="79"/>
      <c r="D54" s="19">
        <f>I54/$H$55</f>
        <v>0.1725802597925141</v>
      </c>
      <c r="E54" s="20">
        <f>H54/$H$55</f>
        <v>1.0431816125024258</v>
      </c>
      <c r="F54" s="21">
        <f>G54/$H$55</f>
        <v>-0.46914555355739557</v>
      </c>
      <c r="G54" s="46">
        <f t="array" ref="G54:I54">LINEST(D$31:D$39,$G$31:$I$39,FALSE)</f>
        <v>-8.7493833495397553</v>
      </c>
      <c r="H54" s="46">
        <v>19.454934106837122</v>
      </c>
      <c r="I54" s="46">
        <v>3.2185551798118817</v>
      </c>
      <c r="J54" s="98">
        <f>H55</f>
        <v>18.649613714114313</v>
      </c>
      <c r="M54" s="46">
        <f t="shared" si="0"/>
        <v>36.681636892240817</v>
      </c>
      <c r="N54" s="46">
        <f t="shared" si="5"/>
        <v>51</v>
      </c>
      <c r="O54" s="50">
        <f t="shared" si="1"/>
        <v>7.8215882639776879</v>
      </c>
      <c r="P54" s="50">
        <f t="shared" si="2"/>
        <v>44.503225156218505</v>
      </c>
      <c r="Q54" s="50">
        <f t="shared" si="3"/>
        <v>42.062840895167994</v>
      </c>
    </row>
    <row r="55" spans="1:24" ht="15" customHeight="1">
      <c r="B55" s="79"/>
      <c r="C55" s="79"/>
      <c r="D55" s="22">
        <f>I55/$H$55</f>
        <v>4.3433358939637796E-2</v>
      </c>
      <c r="E55" s="18">
        <f>H55/$H$55</f>
        <v>1</v>
      </c>
      <c r="F55" s="23">
        <f>G55/$H$55</f>
        <v>-0.18864803371137964</v>
      </c>
      <c r="G55" s="46">
        <f t="array" ref="G55:I55">LINEST(E$31:E$39,$G$31:$I$39,FALSE)</f>
        <v>-3.5182129566444451</v>
      </c>
      <c r="H55" s="46">
        <v>18.649613714114313</v>
      </c>
      <c r="I55" s="46">
        <v>0.81001536653071859</v>
      </c>
      <c r="J55" s="98"/>
      <c r="M55" s="46">
        <f t="shared" si="0"/>
        <v>38.745514034364312</v>
      </c>
      <c r="N55" s="46">
        <f t="shared" si="5"/>
        <v>52</v>
      </c>
      <c r="O55" s="50">
        <f t="shared" si="1"/>
        <v>5.6751823978066227</v>
      </c>
      <c r="P55" s="50">
        <f t="shared" si="2"/>
        <v>44.420696432170935</v>
      </c>
      <c r="Q55" s="50">
        <f t="shared" si="3"/>
        <v>41.746259923191644</v>
      </c>
    </row>
    <row r="56" spans="1:24" ht="15" customHeight="1" thickBot="1">
      <c r="B56" s="79"/>
      <c r="C56" s="79"/>
      <c r="D56" s="24">
        <f>I56/$H$55</f>
        <v>-0.41431687294600444</v>
      </c>
      <c r="E56" s="25">
        <f>H56/$H$55</f>
        <v>0.29727503241517295</v>
      </c>
      <c r="F56" s="26">
        <f>G56/$H$55</f>
        <v>0.95402020633806039</v>
      </c>
      <c r="G56" s="46">
        <f t="array" ref="G56:I56">LINEST(F$31:F$39,$G$31:$I$39,FALSE)</f>
        <v>17.792108323664458</v>
      </c>
      <c r="H56" s="46">
        <v>5.5440645213937865</v>
      </c>
      <c r="I56" s="46">
        <v>-7.7268496356827621</v>
      </c>
      <c r="J56" s="98"/>
      <c r="M56" s="46">
        <f t="shared" si="0"/>
        <v>40.809391176487821</v>
      </c>
      <c r="N56" s="46">
        <f t="shared" si="5"/>
        <v>53</v>
      </c>
      <c r="O56" s="50">
        <f t="shared" si="1"/>
        <v>3.5287765316355433</v>
      </c>
      <c r="P56" s="50">
        <f t="shared" si="2"/>
        <v>44.338167708123365</v>
      </c>
      <c r="Q56" s="50">
        <f t="shared" si="3"/>
        <v>41.42967895121528</v>
      </c>
    </row>
    <row r="57" spans="1:24">
      <c r="M57" s="46">
        <f t="shared" si="0"/>
        <v>42.873268318611309</v>
      </c>
      <c r="N57" s="46">
        <f t="shared" si="5"/>
        <v>54</v>
      </c>
      <c r="O57" s="50">
        <f t="shared" si="1"/>
        <v>1.3823706654644781</v>
      </c>
      <c r="P57" s="50">
        <f t="shared" si="2"/>
        <v>44.255638984075787</v>
      </c>
      <c r="Q57" s="50">
        <f t="shared" si="3"/>
        <v>41.113097979238923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44.937145460734818</v>
      </c>
      <c r="N58" s="46">
        <f t="shared" si="5"/>
        <v>55</v>
      </c>
      <c r="O58" s="50">
        <f t="shared" si="1"/>
        <v>-0.76403520070660136</v>
      </c>
      <c r="P58" s="50">
        <f t="shared" si="2"/>
        <v>44.173110260028217</v>
      </c>
      <c r="Q58" s="50">
        <f t="shared" si="3"/>
        <v>40.796517007262565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47.001022602858313</v>
      </c>
      <c r="N59" s="46">
        <f t="shared" si="5"/>
        <v>56</v>
      </c>
      <c r="O59" s="50">
        <f t="shared" si="1"/>
        <v>-2.9104410668776666</v>
      </c>
      <c r="P59" s="50">
        <f t="shared" si="2"/>
        <v>44.090581535980647</v>
      </c>
      <c r="Q59" s="50">
        <f t="shared" si="3"/>
        <v>40.479936035286208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510.3</v>
      </c>
      <c r="E60" s="32">
        <f t="shared" ref="E60:E68" si="37">getCCTfromXY(D22/SUM(D22:F22),E22/SUM(D22:F22))</f>
        <v>2893</v>
      </c>
      <c r="F60" s="31">
        <f t="shared" ref="F60:F68" si="38">V60</f>
        <v>510.47892014877925</v>
      </c>
      <c r="G60" s="32">
        <f t="shared" ref="G60:G68" si="39">getCCTfromXY(U60/X60,V60/X60)</f>
        <v>3112</v>
      </c>
      <c r="H60" s="33">
        <f>F60/D60-1</f>
        <v>3.5061757550303163E-4</v>
      </c>
      <c r="I60" s="34">
        <f t="shared" ref="I60:I68" si="40">G60/E60-1</f>
        <v>7.5699965433805749E-2</v>
      </c>
      <c r="M60" s="46">
        <f t="shared" si="0"/>
        <v>49.064899744981822</v>
      </c>
      <c r="N60" s="46">
        <f t="shared" si="5"/>
        <v>57</v>
      </c>
      <c r="O60" s="50">
        <f t="shared" si="1"/>
        <v>-5.056846933048746</v>
      </c>
      <c r="P60" s="50">
        <f t="shared" si="2"/>
        <v>44.008052811933076</v>
      </c>
      <c r="Q60" s="50">
        <f t="shared" si="3"/>
        <v>40.163355063309851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539.17430390670779</v>
      </c>
      <c r="V60" s="50">
        <f>$J$54*$J$31*($D$55*G22+$E$55*H22+$F$55*I22)</f>
        <v>510.47892014877925</v>
      </c>
      <c r="W60" s="50">
        <f>$J$54*$J$31*($D$56*G22+$E$56*H22+$F$56*I22)</f>
        <v>191.99594899035537</v>
      </c>
      <c r="X60" s="29">
        <f>SUM(U60:W60)</f>
        <v>1241.6491730458424</v>
      </c>
    </row>
    <row r="61" spans="1:24">
      <c r="A61" s="87"/>
      <c r="B61" s="48" t="str">
        <f t="shared" si="35"/>
        <v>CWF</v>
      </c>
      <c r="C61" s="93"/>
      <c r="D61" s="31">
        <f t="shared" si="36"/>
        <v>1202.5</v>
      </c>
      <c r="E61" s="32">
        <f t="shared" si="37"/>
        <v>3857</v>
      </c>
      <c r="F61" s="31">
        <f t="shared" si="38"/>
        <v>1243.5619381908632</v>
      </c>
      <c r="G61" s="32">
        <f t="shared" si="39"/>
        <v>3776</v>
      </c>
      <c r="H61" s="33">
        <f t="shared" ref="H61:H68" si="41">F61/D61-1</f>
        <v>3.4147141946663684E-2</v>
      </c>
      <c r="I61" s="34">
        <f t="shared" si="40"/>
        <v>-2.100077780658538E-2</v>
      </c>
      <c r="M61" s="46">
        <f t="shared" si="0"/>
        <v>51.128776887105317</v>
      </c>
      <c r="N61" s="46">
        <f t="shared" si="5"/>
        <v>58</v>
      </c>
      <c r="O61" s="50">
        <f t="shared" si="1"/>
        <v>-7.2032527992198112</v>
      </c>
      <c r="P61" s="50">
        <f t="shared" si="2"/>
        <v>43.925524087885506</v>
      </c>
      <c r="Q61" s="50">
        <f t="shared" si="3"/>
        <v>39.846774091333494</v>
      </c>
      <c r="R61" s="78"/>
      <c r="S61" s="46" t="str">
        <f t="shared" ref="S61:S68" si="42">B61</f>
        <v>CWF</v>
      </c>
      <c r="T61" s="79"/>
      <c r="U61" s="50">
        <f>$J$54*$J$31*($D$54*G23+$E$54*H23+$F$54*I23)</f>
        <v>1238.1330201835374</v>
      </c>
      <c r="V61" s="50">
        <f>$J$54*$J$31*($D$55*G23+$E$55*H23+$F$55*I23)</f>
        <v>1243.5619381908632</v>
      </c>
      <c r="W61" s="50">
        <f>$J$54*$J$31*($D$56*G23+$E$56*H23+$F$56*I23)</f>
        <v>639.85342069765966</v>
      </c>
      <c r="X61" s="29">
        <f t="shared" ref="X61:X68" si="43">SUM(U61:W61)</f>
        <v>3121.5483790720605</v>
      </c>
    </row>
    <row r="62" spans="1:24">
      <c r="A62" s="87"/>
      <c r="B62" s="48" t="str">
        <f t="shared" si="35"/>
        <v>D65</v>
      </c>
      <c r="C62" s="93"/>
      <c r="D62" s="31">
        <f t="shared" si="36"/>
        <v>578.79999999999995</v>
      </c>
      <c r="E62" s="32">
        <f t="shared" si="37"/>
        <v>6340</v>
      </c>
      <c r="F62" s="31">
        <f t="shared" si="38"/>
        <v>586.87525118214444</v>
      </c>
      <c r="G62" s="32">
        <f t="shared" si="39"/>
        <v>6063</v>
      </c>
      <c r="H62" s="33">
        <f t="shared" si="41"/>
        <v>1.3951712477789258E-2</v>
      </c>
      <c r="I62" s="34">
        <f t="shared" si="40"/>
        <v>-4.3690851735015745E-2</v>
      </c>
      <c r="M62" s="46">
        <f t="shared" si="0"/>
        <v>53.192654029228827</v>
      </c>
      <c r="N62" s="46">
        <f t="shared" si="5"/>
        <v>59</v>
      </c>
      <c r="O62" s="50">
        <f t="shared" si="1"/>
        <v>-9.3496586653908906</v>
      </c>
      <c r="P62" s="50">
        <f t="shared" si="2"/>
        <v>43.842995363837936</v>
      </c>
      <c r="Q62" s="50">
        <f t="shared" si="3"/>
        <v>39.530193119357136</v>
      </c>
      <c r="R62" s="78"/>
      <c r="S62" s="46" t="str">
        <f t="shared" si="42"/>
        <v>D65</v>
      </c>
      <c r="T62" s="79"/>
      <c r="U62" s="50">
        <f>$J$54*$J$31*($D$54*G24+$E$54*H24+$F$54*I24)</f>
        <v>524.32961581712004</v>
      </c>
      <c r="V62" s="50">
        <f>$J$54*$J$31*($D$55*G24+$E$55*H24+$F$55*I24)</f>
        <v>586.87525118214444</v>
      </c>
      <c r="W62" s="50">
        <f>$J$54*$J$31*($D$56*G24+$E$56*H24+$F$56*I24)</f>
        <v>522.22833637481835</v>
      </c>
      <c r="X62" s="29">
        <f t="shared" si="43"/>
        <v>1633.433203374083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510.3</v>
      </c>
      <c r="E63" s="32">
        <f t="shared" si="37"/>
        <v>2893</v>
      </c>
      <c r="F63" s="31">
        <f t="shared" si="38"/>
        <v>515.53170609055792</v>
      </c>
      <c r="G63" s="32">
        <f t="shared" si="39"/>
        <v>3210</v>
      </c>
      <c r="H63" s="33">
        <f t="shared" si="41"/>
        <v>1.0252216520787671E-2</v>
      </c>
      <c r="I63" s="34">
        <f t="shared" si="40"/>
        <v>0.10957483581057725</v>
      </c>
      <c r="M63" s="46">
        <f t="shared" si="0"/>
        <v>55.256531171352322</v>
      </c>
      <c r="N63" s="46">
        <f t="shared" si="5"/>
        <v>60</v>
      </c>
      <c r="O63" s="50">
        <f t="shared" si="1"/>
        <v>-11.496064531561956</v>
      </c>
      <c r="P63" s="50">
        <f t="shared" si="2"/>
        <v>43.760466639790366</v>
      </c>
      <c r="Q63" s="50">
        <f t="shared" si="3"/>
        <v>39.213612147380779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540.18420475642972</v>
      </c>
      <c r="V63" s="50">
        <f>$J$54*$J$34*($D$55*G25+$E$55*H25+$F$55*I25)</f>
        <v>515.53170609055792</v>
      </c>
      <c r="W63" s="50">
        <f>$J$54*$J$34*($D$56*G25+$E$56*H25+$F$56*I25)</f>
        <v>208.49221907353208</v>
      </c>
      <c r="X63" s="29">
        <f t="shared" si="43"/>
        <v>1264.2081299205199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1202.5</v>
      </c>
      <c r="E64" s="32">
        <f t="shared" si="37"/>
        <v>3857</v>
      </c>
      <c r="F64" s="31">
        <f t="shared" si="38"/>
        <v>1220.0375536715569</v>
      </c>
      <c r="G64" s="32">
        <f t="shared" si="39"/>
        <v>3819</v>
      </c>
      <c r="H64" s="33">
        <f t="shared" si="41"/>
        <v>1.4584244217511033E-2</v>
      </c>
      <c r="I64" s="34">
        <f t="shared" si="40"/>
        <v>-9.8522167487684609E-3</v>
      </c>
      <c r="M64" s="46">
        <f t="shared" si="0"/>
        <v>57.320408313475831</v>
      </c>
      <c r="N64" s="46">
        <f t="shared" si="5"/>
        <v>61</v>
      </c>
      <c r="O64" s="50">
        <f t="shared" si="1"/>
        <v>-13.642470397733035</v>
      </c>
      <c r="P64" s="50">
        <f t="shared" si="2"/>
        <v>43.677937915742795</v>
      </c>
      <c r="Q64" s="50">
        <f t="shared" si="3"/>
        <v>38.897031175404422</v>
      </c>
      <c r="R64" s="78"/>
      <c r="S64" s="46" t="str">
        <f t="shared" si="42"/>
        <v>CWF</v>
      </c>
      <c r="T64" s="79"/>
      <c r="U64" s="50">
        <f>$J$54*$J$34*($D$54*G26+$E$54*H26+$F$54*I26)</f>
        <v>1211.640366283516</v>
      </c>
      <c r="V64" s="50">
        <f>$J$54*$J$34*($D$55*G26+$E$55*H26+$F$55*I26)</f>
        <v>1220.0375536715569</v>
      </c>
      <c r="W64" s="50">
        <f>$J$54*$J$34*($D$56*G26+$E$56*H26+$F$56*I26)</f>
        <v>640.0011993682175</v>
      </c>
      <c r="X64" s="29">
        <f t="shared" si="43"/>
        <v>3071.6791193232903</v>
      </c>
    </row>
    <row r="65" spans="1:24">
      <c r="A65" s="87"/>
      <c r="B65" s="48" t="str">
        <f t="shared" si="35"/>
        <v>D65</v>
      </c>
      <c r="C65" s="93"/>
      <c r="D65" s="31">
        <f t="shared" si="36"/>
        <v>578.79999999999995</v>
      </c>
      <c r="E65" s="32">
        <f t="shared" si="37"/>
        <v>6340</v>
      </c>
      <c r="F65" s="31">
        <f t="shared" si="38"/>
        <v>593.35225227144849</v>
      </c>
      <c r="G65" s="32">
        <f t="shared" si="39"/>
        <v>6067</v>
      </c>
      <c r="H65" s="33">
        <f t="shared" si="41"/>
        <v>2.5142108278245479E-2</v>
      </c>
      <c r="I65" s="34">
        <f t="shared" si="40"/>
        <v>-4.3059936908517393E-2</v>
      </c>
      <c r="M65" s="46">
        <f t="shared" si="0"/>
        <v>59.38428545559934</v>
      </c>
      <c r="N65" s="46">
        <f t="shared" si="5"/>
        <v>62</v>
      </c>
      <c r="O65" s="50">
        <f t="shared" si="1"/>
        <v>-15.788876263904115</v>
      </c>
      <c r="P65" s="50">
        <f t="shared" si="2"/>
        <v>43.595409191695225</v>
      </c>
      <c r="Q65" s="50">
        <f t="shared" si="3"/>
        <v>38.580450203428057</v>
      </c>
      <c r="R65" s="78"/>
      <c r="S65" s="46" t="str">
        <f t="shared" si="42"/>
        <v>D65</v>
      </c>
      <c r="T65" s="79"/>
      <c r="U65" s="50">
        <f>$J$54*$J$34*($D$54*G27+$E$54*H27+$F$54*I27)</f>
        <v>530.06162942193112</v>
      </c>
      <c r="V65" s="50">
        <f>$J$54*$J$34*($D$55*G27+$E$55*H27+$F$55*I27)</f>
        <v>593.35225227144849</v>
      </c>
      <c r="W65" s="50">
        <f>$J$54*$J$34*($D$56*G27+$E$56*H27+$F$56*I27)</f>
        <v>528.28314488576143</v>
      </c>
      <c r="X65" s="29">
        <f t="shared" si="43"/>
        <v>1651.697026579141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510.3</v>
      </c>
      <c r="E66" s="32">
        <f t="shared" si="37"/>
        <v>2893</v>
      </c>
      <c r="F66" s="31">
        <f t="shared" si="38"/>
        <v>508.93595700102276</v>
      </c>
      <c r="G66" s="32">
        <f t="shared" si="39"/>
        <v>2528</v>
      </c>
      <c r="H66" s="33">
        <f t="shared" si="41"/>
        <v>-2.6730217499064679E-3</v>
      </c>
      <c r="I66" s="34">
        <f t="shared" si="40"/>
        <v>-0.12616660905634292</v>
      </c>
      <c r="M66" s="46">
        <f t="shared" si="0"/>
        <v>61.448162597722813</v>
      </c>
      <c r="N66" s="46">
        <f t="shared" si="5"/>
        <v>63</v>
      </c>
      <c r="O66" s="50">
        <f t="shared" si="1"/>
        <v>-17.935282130075166</v>
      </c>
      <c r="P66" s="50">
        <f t="shared" si="2"/>
        <v>43.512880467647648</v>
      </c>
      <c r="Q66" s="50">
        <f t="shared" si="3"/>
        <v>38.263869231451707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569.14929429083475</v>
      </c>
      <c r="V66" s="50">
        <f>$J$54*$J$37*($D$55*G28+$E$55*H28+$F$55*I28)</f>
        <v>508.93595700102276</v>
      </c>
      <c r="W66" s="50">
        <f>$J$54*$J$37*($D$56*G28+$E$56*H28+$F$56*I28)</f>
        <v>85.060320197146524</v>
      </c>
      <c r="X66" s="29">
        <f t="shared" si="43"/>
        <v>1163.1455714890039</v>
      </c>
    </row>
    <row r="67" spans="1:24">
      <c r="A67" s="87"/>
      <c r="B67" s="48" t="str">
        <f t="shared" si="35"/>
        <v>CWF</v>
      </c>
      <c r="C67" s="93"/>
      <c r="D67" s="31">
        <f t="shared" si="36"/>
        <v>1202.5</v>
      </c>
      <c r="E67" s="32">
        <f t="shared" si="37"/>
        <v>3857</v>
      </c>
      <c r="F67" s="31">
        <f t="shared" si="38"/>
        <v>1120.744322562897</v>
      </c>
      <c r="G67" s="32">
        <f t="shared" si="39"/>
        <v>4103</v>
      </c>
      <c r="H67" s="33">
        <f t="shared" si="41"/>
        <v>-6.7988089344784175E-2</v>
      </c>
      <c r="I67" s="34">
        <f t="shared" si="40"/>
        <v>6.3780140005185393E-2</v>
      </c>
      <c r="R67" s="78"/>
      <c r="S67" s="46" t="str">
        <f t="shared" si="42"/>
        <v>CWF</v>
      </c>
      <c r="T67" s="79"/>
      <c r="U67" s="50">
        <f>$J$54*$J$37*($D$54*G29+$E$54*H29+$F$54*I29)</f>
        <v>1094.7598653937875</v>
      </c>
      <c r="V67" s="50">
        <f>$J$54*$J$37*($D$55*G29+$E$55*H29+$F$55*I29)</f>
        <v>1120.744322562897</v>
      </c>
      <c r="W67" s="50">
        <f>$J$54*$J$37*($D$56*G29+$E$56*H29+$F$56*I29)</f>
        <v>656.18187930191948</v>
      </c>
      <c r="X67" s="29">
        <f t="shared" si="43"/>
        <v>2871.6860672586035</v>
      </c>
    </row>
    <row r="68" spans="1:24">
      <c r="A68" s="87"/>
      <c r="B68" s="48" t="str">
        <f t="shared" si="35"/>
        <v>D65</v>
      </c>
      <c r="C68" s="93"/>
      <c r="D68" s="31">
        <f t="shared" si="36"/>
        <v>578.79999999999995</v>
      </c>
      <c r="E68" s="32">
        <f t="shared" si="37"/>
        <v>6340</v>
      </c>
      <c r="F68" s="31">
        <f t="shared" si="38"/>
        <v>585.12288087823083</v>
      </c>
      <c r="G68" s="32">
        <f t="shared" si="39"/>
        <v>5942</v>
      </c>
      <c r="H68" s="33">
        <f t="shared" si="41"/>
        <v>1.0924120383950964E-2</v>
      </c>
      <c r="I68" s="34">
        <f t="shared" si="40"/>
        <v>-6.2776025236593092E-2</v>
      </c>
      <c r="R68" s="78"/>
      <c r="S68" s="46" t="str">
        <f t="shared" si="42"/>
        <v>D65</v>
      </c>
      <c r="T68" s="79"/>
      <c r="U68" s="50">
        <f>$J$54*$J$37*($D$54*G30+$E$54*H30+$F$54*I30)</f>
        <v>525.01242041271735</v>
      </c>
      <c r="V68" s="50">
        <f>$J$54*$J$37*($D$55*G30+$E$55*H30+$F$55*I30)</f>
        <v>585.12288087823083</v>
      </c>
      <c r="W68" s="50">
        <f>$J$54*$J$37*($D$56*G30+$E$56*H30+$F$56*I30)</f>
        <v>511.63172662024209</v>
      </c>
      <c r="X68" s="29">
        <f t="shared" si="43"/>
        <v>1621.7670279111901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6.7988089344784175E-2</v>
      </c>
      <c r="G69" s="47"/>
      <c r="H69" s="36" t="str">
        <f>I59</f>
        <v>CCT</v>
      </c>
      <c r="I69" s="38">
        <f>MAX(MAX(I60:I68,-MIN(I60:I68)))</f>
        <v>0.12616660905634292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510.3</v>
      </c>
      <c r="E72" s="31">
        <f t="shared" ref="E72:E80" si="47">E60</f>
        <v>2893</v>
      </c>
      <c r="F72" s="31">
        <f t="shared" ref="F72:F80" si="48">V72</f>
        <v>513.24933527339385</v>
      </c>
      <c r="G72" s="32">
        <f t="shared" ref="G72:G80" si="49">getCCTfromXY(U72/X72,V72/X72)</f>
        <v>3042</v>
      </c>
      <c r="H72" s="33">
        <f>F72/D72-1</f>
        <v>5.7796105690648414E-3</v>
      </c>
      <c r="I72" s="34">
        <f t="shared" ref="I72:I80" si="50">G72/E72-1</f>
        <v>5.1503629450397437E-2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545.46303918287344</v>
      </c>
      <c r="V72" s="50">
        <f>$J$51*$J$31*($D$52*G22+$E$52*H22+$F$52*I22)</f>
        <v>513.24933527339385</v>
      </c>
      <c r="W72" s="50">
        <f>$J$51*$J$31*($D$53*G22+$E$53*H22+$F$53*I22)</f>
        <v>182.55761499607101</v>
      </c>
      <c r="X72" s="29">
        <f>SUM(U72:W72)</f>
        <v>1241.2699894523382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1202.5</v>
      </c>
      <c r="E73" s="31">
        <f t="shared" si="47"/>
        <v>3857</v>
      </c>
      <c r="F73" s="31">
        <f t="shared" si="48"/>
        <v>1276.1879841746875</v>
      </c>
      <c r="G73" s="32">
        <f t="shared" si="49"/>
        <v>3719</v>
      </c>
      <c r="H73" s="33">
        <f t="shared" ref="H73:H80" si="52">F73/D73-1</f>
        <v>6.1278988918659127E-2</v>
      </c>
      <c r="I73" s="34">
        <f t="shared" si="50"/>
        <v>-3.5779102929738182E-2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1275.2848047018713</v>
      </c>
      <c r="V73" s="50">
        <f t="shared" ref="V73:V74" si="55">$J$51*$J$31*($D$52*G23+$E$52*H23+$F$52*I23)</f>
        <v>1276.1879841746875</v>
      </c>
      <c r="W73" s="50">
        <f t="shared" ref="W73:W74" si="56">$J$51*$J$31*($D$53*G23+$E$53*H23+$F$53*I23)</f>
        <v>639.77960329412679</v>
      </c>
      <c r="X73" s="29">
        <f t="shared" ref="X73:X80" si="57">SUM(U73:W73)</f>
        <v>3191.2523921706857</v>
      </c>
    </row>
    <row r="74" spans="1:24">
      <c r="A74" s="87"/>
      <c r="B74" s="48" t="str">
        <f t="shared" si="46"/>
        <v>X</v>
      </c>
      <c r="C74" s="93"/>
      <c r="D74" s="31">
        <f t="shared" si="51"/>
        <v>578.79999999999995</v>
      </c>
      <c r="E74" s="31">
        <f t="shared" si="47"/>
        <v>6340</v>
      </c>
      <c r="F74" s="31">
        <f t="shared" si="48"/>
        <v>584.9811295760378</v>
      </c>
      <c r="G74" s="32">
        <f t="shared" si="49"/>
        <v>6409</v>
      </c>
      <c r="H74" s="33">
        <f t="shared" si="52"/>
        <v>1.0679214886036403E-2</v>
      </c>
      <c r="I74" s="34">
        <f t="shared" si="50"/>
        <v>1.0883280757097769E-2</v>
      </c>
      <c r="R74" s="78"/>
      <c r="S74" s="46" t="str">
        <f t="shared" si="53"/>
        <v>D65</v>
      </c>
      <c r="T74" s="79"/>
      <c r="U74" s="50">
        <f t="shared" si="54"/>
        <v>515.9860522986047</v>
      </c>
      <c r="V74" s="50">
        <f t="shared" si="55"/>
        <v>584.9811295760378</v>
      </c>
      <c r="W74" s="50">
        <f t="shared" si="56"/>
        <v>544.072676736174</v>
      </c>
      <c r="X74" s="29">
        <f t="shared" si="57"/>
        <v>1645.0398586108163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510.3</v>
      </c>
      <c r="E75" s="31">
        <f t="shared" si="47"/>
        <v>2893</v>
      </c>
      <c r="F75" s="31">
        <f t="shared" si="48"/>
        <v>517.67105640003888</v>
      </c>
      <c r="G75" s="32">
        <f t="shared" si="49"/>
        <v>3147</v>
      </c>
      <c r="H75" s="33">
        <f t="shared" si="52"/>
        <v>1.4444554967742329E-2</v>
      </c>
      <c r="I75" s="34">
        <f t="shared" si="50"/>
        <v>8.7798133425509794E-2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545.34075193224271</v>
      </c>
      <c r="V75" s="50">
        <f>$J$51*$J$34*($D$52*G25+$E$52*H25+$F$52*I25)</f>
        <v>517.67105640003888</v>
      </c>
      <c r="W75" s="50">
        <f>$J$51*$J$34*($D$53*G25+$E$53*H25+$F$53*I25)</f>
        <v>200.48231077656939</v>
      </c>
      <c r="X75" s="29">
        <f t="shared" si="57"/>
        <v>1263.494119108851</v>
      </c>
    </row>
    <row r="76" spans="1:24">
      <c r="A76" s="87"/>
      <c r="B76" s="48" t="str">
        <f t="shared" si="46"/>
        <v>Z</v>
      </c>
      <c r="C76" s="93"/>
      <c r="D76" s="31">
        <f t="shared" si="51"/>
        <v>1202.5</v>
      </c>
      <c r="E76" s="31">
        <f t="shared" si="47"/>
        <v>3857</v>
      </c>
      <c r="F76" s="31">
        <f t="shared" si="48"/>
        <v>1250.716979670829</v>
      </c>
      <c r="G76" s="32">
        <f t="shared" si="49"/>
        <v>3766</v>
      </c>
      <c r="H76" s="33">
        <f t="shared" si="52"/>
        <v>4.0097280391541812E-2</v>
      </c>
      <c r="I76" s="34">
        <f t="shared" si="50"/>
        <v>-2.3593466424682408E-2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1246.2575040096044</v>
      </c>
      <c r="V76" s="50">
        <f t="shared" ref="V76:V77" si="59">$J$51*$J$34*($D$52*G26+$E$52*H26+$F$52*I26)</f>
        <v>1250.716979670829</v>
      </c>
      <c r="W76" s="50">
        <f t="shared" ref="W76:W77" si="60">$J$51*$J$34*($D$53*G26+$E$53*H26+$F$53*I26)</f>
        <v>641.09147290373562</v>
      </c>
      <c r="X76" s="29">
        <f t="shared" si="57"/>
        <v>3138.0659565841688</v>
      </c>
    </row>
    <row r="77" spans="1:24">
      <c r="A77" s="87"/>
      <c r="B77" s="48" t="str">
        <f t="shared" si="46"/>
        <v>X</v>
      </c>
      <c r="C77" s="93"/>
      <c r="D77" s="31">
        <f t="shared" si="51"/>
        <v>578.79999999999995</v>
      </c>
      <c r="E77" s="31">
        <f t="shared" si="47"/>
        <v>6340</v>
      </c>
      <c r="F77" s="31">
        <f t="shared" si="48"/>
        <v>591.38028399655411</v>
      </c>
      <c r="G77" s="32">
        <f t="shared" si="49"/>
        <v>6414</v>
      </c>
      <c r="H77" s="33">
        <f t="shared" si="52"/>
        <v>2.1735114023072155E-2</v>
      </c>
      <c r="I77" s="34">
        <f t="shared" si="50"/>
        <v>1.1671924290220792E-2</v>
      </c>
      <c r="R77" s="78"/>
      <c r="S77" s="46" t="str">
        <f t="shared" si="53"/>
        <v>D65</v>
      </c>
      <c r="T77" s="79"/>
      <c r="U77" s="50">
        <f t="shared" si="58"/>
        <v>521.55538226443616</v>
      </c>
      <c r="V77" s="50">
        <f t="shared" si="59"/>
        <v>591.38028399655411</v>
      </c>
      <c r="W77" s="50">
        <f t="shared" si="60"/>
        <v>550.39246743117906</v>
      </c>
      <c r="X77" s="29">
        <f t="shared" si="57"/>
        <v>1663.3281336921693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510.3</v>
      </c>
      <c r="E78" s="31">
        <f t="shared" si="47"/>
        <v>2893</v>
      </c>
      <c r="F78" s="31">
        <f t="shared" si="48"/>
        <v>516.39113992368289</v>
      </c>
      <c r="G78" s="32">
        <f t="shared" si="49"/>
        <v>2434</v>
      </c>
      <c r="H78" s="33">
        <f t="shared" si="52"/>
        <v>1.1936390209059233E-2</v>
      </c>
      <c r="I78" s="34">
        <f t="shared" si="50"/>
        <v>-0.15865883166263395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584.01033586037681</v>
      </c>
      <c r="V78" s="50">
        <f>$J$51*$J$37*($D$52*G28+$E$52*H28+$F$52*I28)</f>
        <v>516.39113992368289</v>
      </c>
      <c r="W78" s="50">
        <f>$J$51*$J$37*($D$53*G28+$E$53*H28+$F$53*I28)</f>
        <v>64.545793075218455</v>
      </c>
      <c r="X78" s="29">
        <f t="shared" si="57"/>
        <v>1164.947268859278</v>
      </c>
    </row>
    <row r="79" spans="1:24">
      <c r="A79" s="87"/>
      <c r="B79" s="48" t="str">
        <f t="shared" si="46"/>
        <v>Z</v>
      </c>
      <c r="C79" s="93"/>
      <c r="D79" s="31">
        <f t="shared" si="51"/>
        <v>1202.5</v>
      </c>
      <c r="E79" s="31">
        <f t="shared" si="47"/>
        <v>3857</v>
      </c>
      <c r="F79" s="31">
        <f t="shared" si="48"/>
        <v>1143.1239860325995</v>
      </c>
      <c r="G79" s="32">
        <f t="shared" si="49"/>
        <v>4080</v>
      </c>
      <c r="H79" s="33">
        <f t="shared" si="52"/>
        <v>-4.9377142592432866E-2</v>
      </c>
      <c r="I79" s="34">
        <f t="shared" si="50"/>
        <v>5.7816956183562418E-2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1118.065857684406</v>
      </c>
      <c r="V79" s="50">
        <f t="shared" ref="V79:V80" si="62">$J$51*$J$37*($D$52*G29+$E$52*H29+$F$52*I29)</f>
        <v>1143.1239860325995</v>
      </c>
      <c r="W79" s="50">
        <f t="shared" ref="W79:W80" si="63">$J$51*$J$37*($D$53*G29+$E$53*H29+$F$53*I29)</f>
        <v>663.89905457603072</v>
      </c>
      <c r="X79" s="29">
        <f t="shared" si="57"/>
        <v>2925.0888982930364</v>
      </c>
    </row>
    <row r="80" spans="1:24">
      <c r="A80" s="87"/>
      <c r="B80" s="48" t="str">
        <f t="shared" si="46"/>
        <v>X</v>
      </c>
      <c r="C80" s="93"/>
      <c r="D80" s="31">
        <f t="shared" si="51"/>
        <v>578.79999999999995</v>
      </c>
      <c r="E80" s="31">
        <f t="shared" si="47"/>
        <v>6340</v>
      </c>
      <c r="F80" s="31">
        <f t="shared" si="48"/>
        <v>584.2383041299521</v>
      </c>
      <c r="G80" s="32">
        <f t="shared" si="49"/>
        <v>6252</v>
      </c>
      <c r="H80" s="33">
        <f t="shared" si="52"/>
        <v>9.3958260710991226E-3</v>
      </c>
      <c r="I80" s="34">
        <f t="shared" si="50"/>
        <v>-1.3880126182965302E-2</v>
      </c>
      <c r="R80" s="78"/>
      <c r="S80" s="46" t="str">
        <f t="shared" si="53"/>
        <v>D65</v>
      </c>
      <c r="T80" s="79"/>
      <c r="U80" s="50">
        <f t="shared" si="61"/>
        <v>518.06982596843761</v>
      </c>
      <c r="V80" s="50">
        <f t="shared" si="62"/>
        <v>584.2383041299521</v>
      </c>
      <c r="W80" s="50">
        <f t="shared" si="63"/>
        <v>532.5566455753609</v>
      </c>
      <c r="X80" s="29">
        <f t="shared" si="57"/>
        <v>1634.8647756737505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6.1278988918659127E-2</v>
      </c>
      <c r="G81" s="47"/>
      <c r="H81" s="36" t="str">
        <f>I71</f>
        <v>CCT</v>
      </c>
      <c r="I81" s="38">
        <f>MAX(MAX(I72:I80,-MIN(I72:I80)))</f>
        <v>0.15865883166263395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510.3</v>
      </c>
      <c r="E84" s="31">
        <f t="shared" ref="E84:E92" si="67">E72</f>
        <v>2893</v>
      </c>
      <c r="F84" s="31">
        <f t="shared" ref="F84:F92" si="68">V84</f>
        <v>510.2999999999999</v>
      </c>
      <c r="G84" s="32">
        <f t="shared" ref="G84:G92" si="69">getCCTfromXY(U84/X84,V84/X84)</f>
        <v>2893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549.54999999999927</v>
      </c>
      <c r="V84" s="50">
        <f>$J$42*$J$31*($D$43*G22+$E$43*H22+$F$43*I22)</f>
        <v>510.2999999999999</v>
      </c>
      <c r="W84" s="50">
        <f>$J$42*$J$31*($D$44*G22+$E$44*H22+$F$44*I22)</f>
        <v>156.55000000000018</v>
      </c>
      <c r="X84" s="29">
        <f>SUM(U84:W84)</f>
        <v>1216.3999999999994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1202.5</v>
      </c>
      <c r="E85" s="31">
        <f t="shared" si="67"/>
        <v>3857</v>
      </c>
      <c r="F85" s="31">
        <f t="shared" si="68"/>
        <v>1202.4999999999998</v>
      </c>
      <c r="G85" s="32">
        <f t="shared" si="69"/>
        <v>3857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1191.4999999999995</v>
      </c>
      <c r="V85" s="50">
        <f t="shared" ref="V85:V86" si="75">$J$42*$J$31*($D$43*G23+$E$43*H23+$F$43*I23)</f>
        <v>1202.4999999999998</v>
      </c>
      <c r="W85" s="50">
        <f t="shared" ref="W85:W86" si="76">$J$42*$J$31*($D$44*G23+$E$44*H23+$F$44*I23)</f>
        <v>640.99999999999989</v>
      </c>
      <c r="X85" s="29">
        <f t="shared" ref="X85:X92" si="77">SUM(U85:W85)</f>
        <v>3034.9999999999991</v>
      </c>
    </row>
    <row r="86" spans="1:24">
      <c r="A86" s="87"/>
      <c r="B86" s="48">
        <f t="shared" si="66"/>
        <v>0</v>
      </c>
      <c r="C86" s="93"/>
      <c r="D86" s="31">
        <f t="shared" si="71"/>
        <v>578.79999999999995</v>
      </c>
      <c r="E86" s="31">
        <f t="shared" si="67"/>
        <v>6340</v>
      </c>
      <c r="F86" s="31">
        <f t="shared" si="68"/>
        <v>578.79999999999984</v>
      </c>
      <c r="G86" s="32">
        <f t="shared" si="69"/>
        <v>6340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511.74999999999983</v>
      </c>
      <c r="V86" s="50">
        <f t="shared" si="75"/>
        <v>578.79999999999984</v>
      </c>
      <c r="W86" s="50">
        <f t="shared" si="76"/>
        <v>533.69999999999993</v>
      </c>
      <c r="X86" s="29">
        <f t="shared" si="77"/>
        <v>1624.2499999999995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510.3</v>
      </c>
      <c r="E87" s="31">
        <f t="shared" si="67"/>
        <v>2893</v>
      </c>
      <c r="F87" s="31">
        <f t="shared" si="68"/>
        <v>510.30000000000052</v>
      </c>
      <c r="G87" s="32">
        <f t="shared" si="69"/>
        <v>2893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549.5500000000003</v>
      </c>
      <c r="V87" s="50">
        <f>$J$45*$J$34*($D$46*G25+$E$46*H25+$F$46*I25)</f>
        <v>510.30000000000052</v>
      </c>
      <c r="W87" s="50">
        <f>$J$45*$J$34*($D$47*G25+$E$47*H25+$F$47*I25)</f>
        <v>156.5499999999997</v>
      </c>
      <c r="X87" s="29">
        <f t="shared" si="77"/>
        <v>1216.4000000000005</v>
      </c>
    </row>
    <row r="88" spans="1:24">
      <c r="A88" s="87"/>
      <c r="B88" s="48">
        <f t="shared" si="66"/>
        <v>0</v>
      </c>
      <c r="C88" s="93"/>
      <c r="D88" s="31">
        <f t="shared" si="71"/>
        <v>1202.5</v>
      </c>
      <c r="E88" s="31">
        <f t="shared" si="67"/>
        <v>3857</v>
      </c>
      <c r="F88" s="31">
        <f t="shared" si="68"/>
        <v>1202.5</v>
      </c>
      <c r="G88" s="32">
        <f t="shared" si="69"/>
        <v>3857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1191.5</v>
      </c>
      <c r="V88" s="50">
        <f t="shared" ref="V88:V89" si="79">$J$45*$J$34*($D$46*G26+$E$46*H26+$F$46*I26)</f>
        <v>1202.5</v>
      </c>
      <c r="W88" s="50">
        <f t="shared" ref="W88:W89" si="80">$J$45*$J$34*($D$47*G26+$E$47*H26+$F$47*I26)</f>
        <v>640.99999999999989</v>
      </c>
      <c r="X88" s="29">
        <f t="shared" si="77"/>
        <v>3035</v>
      </c>
    </row>
    <row r="89" spans="1:24">
      <c r="A89" s="87"/>
      <c r="B89" s="48" t="str">
        <f t="shared" si="66"/>
        <v>A</v>
      </c>
      <c r="C89" s="93"/>
      <c r="D89" s="31">
        <f t="shared" si="71"/>
        <v>578.79999999999995</v>
      </c>
      <c r="E89" s="31">
        <f t="shared" si="67"/>
        <v>6340</v>
      </c>
      <c r="F89" s="31">
        <f t="shared" si="68"/>
        <v>578.79999999999984</v>
      </c>
      <c r="G89" s="32">
        <f t="shared" si="69"/>
        <v>6340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511.74999999999994</v>
      </c>
      <c r="V89" s="50">
        <f t="shared" si="79"/>
        <v>578.79999999999984</v>
      </c>
      <c r="W89" s="50">
        <f t="shared" si="80"/>
        <v>533.69999999999993</v>
      </c>
      <c r="X89" s="29">
        <f t="shared" si="77"/>
        <v>1624.2499999999995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510.3</v>
      </c>
      <c r="E90" s="31">
        <f t="shared" si="67"/>
        <v>2893</v>
      </c>
      <c r="F90" s="31">
        <f t="shared" si="68"/>
        <v>510.30000000000013</v>
      </c>
      <c r="G90" s="32">
        <f t="shared" si="69"/>
        <v>2893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549.54999999999961</v>
      </c>
      <c r="V90" s="50">
        <f>$J$48*$J$37*($D$49*G28+$E$49*H28+$F$49*I28)</f>
        <v>510.30000000000013</v>
      </c>
      <c r="W90" s="50">
        <f>$J$48*$J$37*($D$50*G28+$E$50*H28+$F$50*I28)</f>
        <v>156.54999999999976</v>
      </c>
      <c r="X90" s="29">
        <f t="shared" si="77"/>
        <v>1216.3999999999994</v>
      </c>
    </row>
    <row r="91" spans="1:24">
      <c r="A91" s="87"/>
      <c r="B91" s="48" t="str">
        <f t="shared" si="66"/>
        <v>D65</v>
      </c>
      <c r="C91" s="93"/>
      <c r="D91" s="31">
        <f t="shared" si="71"/>
        <v>1202.5</v>
      </c>
      <c r="E91" s="31">
        <f t="shared" si="67"/>
        <v>3857</v>
      </c>
      <c r="F91" s="31">
        <f t="shared" si="68"/>
        <v>1202.4999999999998</v>
      </c>
      <c r="G91" s="32">
        <f t="shared" si="69"/>
        <v>3857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1191.4999999999998</v>
      </c>
      <c r="V91" s="50">
        <f t="shared" ref="V91:V92" si="82">$J$48*$J$37*($D$49*G29+$E$49*H29+$F$49*I29)</f>
        <v>1202.4999999999998</v>
      </c>
      <c r="W91" s="50">
        <f t="shared" ref="W91:W92" si="83">$J$48*$J$37*($D$50*G29+$E$50*H29+$F$50*I29)</f>
        <v>641</v>
      </c>
      <c r="X91" s="29">
        <f t="shared" si="77"/>
        <v>3034.9999999999995</v>
      </c>
    </row>
    <row r="92" spans="1:24">
      <c r="A92" s="87"/>
      <c r="B92" s="48" t="str">
        <f t="shared" si="66"/>
        <v>A</v>
      </c>
      <c r="C92" s="93"/>
      <c r="D92" s="31">
        <f t="shared" si="71"/>
        <v>578.79999999999995</v>
      </c>
      <c r="E92" s="31">
        <f t="shared" si="67"/>
        <v>6340</v>
      </c>
      <c r="F92" s="31">
        <f t="shared" si="68"/>
        <v>578.79999999999973</v>
      </c>
      <c r="G92" s="32">
        <f t="shared" si="69"/>
        <v>6340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511.75</v>
      </c>
      <c r="V92" s="50">
        <f t="shared" si="82"/>
        <v>578.79999999999973</v>
      </c>
      <c r="W92" s="50">
        <f t="shared" si="83"/>
        <v>533.70000000000016</v>
      </c>
      <c r="X92" s="29">
        <f t="shared" si="77"/>
        <v>1624.25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1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8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1.3243207219212465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87.926504386944259</v>
      </c>
      <c r="N3" s="46">
        <v>0</v>
      </c>
      <c r="O3" s="50">
        <f>G$5-N3*G$7</f>
        <v>143.76942585866308</v>
      </c>
      <c r="P3" s="50">
        <f>H$5-N3*H$7</f>
        <v>55.842921471718824</v>
      </c>
      <c r="Q3" s="50">
        <f>I$5-N3*I$7</f>
        <v>66.510363081880413</v>
      </c>
    </row>
    <row r="4" spans="1:17">
      <c r="C4" s="46" t="s">
        <v>20</v>
      </c>
      <c r="D4" s="7">
        <v>523.1</v>
      </c>
      <c r="E4" s="7">
        <v>1214</v>
      </c>
      <c r="F4" s="7">
        <v>579.29999999999995</v>
      </c>
      <c r="G4" s="50">
        <f>AVERAGE(D4:F4)</f>
        <v>772.13333333333321</v>
      </c>
      <c r="H4" s="50">
        <f>G4</f>
        <v>772.13333333333321</v>
      </c>
      <c r="I4" s="50">
        <f>H4</f>
        <v>772.13333333333321</v>
      </c>
      <c r="K4" s="13" t="str">
        <f>linefmt("Compensation",B12)</f>
        <v>"Compensation",38,</v>
      </c>
      <c r="M4" s="46">
        <f t="shared" si="0"/>
        <v>85.613281103307273</v>
      </c>
      <c r="N4" s="46">
        <f>N3+1</f>
        <v>1</v>
      </c>
      <c r="O4" s="50">
        <f t="shared" ref="O4:O66" si="1">G$5-N4*G$7</f>
        <v>141.35068038442154</v>
      </c>
      <c r="P4" s="50">
        <f t="shared" ref="P4:P66" si="2">H$5-N4*H$7</f>
        <v>55.737399281114264</v>
      </c>
      <c r="Q4" s="50">
        <f t="shared" ref="Q4:Q66" si="3">I$5-N4*I$7</f>
        <v>66.158969288953742</v>
      </c>
    </row>
    <row r="5" spans="1:17">
      <c r="C5" s="46">
        <v>0</v>
      </c>
      <c r="D5" s="9">
        <v>97.4</v>
      </c>
      <c r="E5" s="9">
        <v>87.8</v>
      </c>
      <c r="F5" s="9">
        <v>49.9</v>
      </c>
      <c r="G5" s="50">
        <f>G$4/D$4*D5</f>
        <v>143.76942585866308</v>
      </c>
      <c r="H5" s="50">
        <f t="shared" ref="H5:I6" si="4">H$4/E$4*E5</f>
        <v>55.842921471718824</v>
      </c>
      <c r="I5" s="50">
        <f t="shared" si="4"/>
        <v>66.510363081880413</v>
      </c>
      <c r="K5" s="14" t="str">
        <f>linefmt("CardGain",J54)</f>
        <v>"CardGain",13.17634,</v>
      </c>
      <c r="M5" s="46">
        <f t="shared" si="0"/>
        <v>83.300057819670258</v>
      </c>
      <c r="N5" s="46">
        <f t="shared" ref="N5:N66" si="5">N4+1</f>
        <v>2</v>
      </c>
      <c r="O5" s="50">
        <f t="shared" si="1"/>
        <v>138.93193491017996</v>
      </c>
      <c r="P5" s="50">
        <f t="shared" si="2"/>
        <v>55.631877090509697</v>
      </c>
      <c r="Q5" s="50">
        <f t="shared" si="3"/>
        <v>65.807575496027056</v>
      </c>
    </row>
    <row r="6" spans="1:17">
      <c r="B6" s="50">
        <f>D5/4</f>
        <v>24.35</v>
      </c>
      <c r="C6" s="7">
        <v>44</v>
      </c>
      <c r="D6" s="9">
        <v>25.3</v>
      </c>
      <c r="E6" s="9">
        <v>80.5</v>
      </c>
      <c r="F6" s="9">
        <v>38.299999999999997</v>
      </c>
      <c r="G6" s="50">
        <f>G$4/D$4*D6</f>
        <v>37.344624992034653</v>
      </c>
      <c r="H6" s="50">
        <f t="shared" si="4"/>
        <v>51.199945085118053</v>
      </c>
      <c r="I6" s="50">
        <f t="shared" si="4"/>
        <v>51.049036193106616</v>
      </c>
      <c r="K6" s="14" t="str">
        <f>linefmt("Range",1,J34,J37)</f>
        <v>"Range",1,0.9485851,0.9379311,</v>
      </c>
      <c r="M6" s="46">
        <f t="shared" si="0"/>
        <v>80.986834536033285</v>
      </c>
      <c r="N6" s="46">
        <f t="shared" si="5"/>
        <v>3</v>
      </c>
      <c r="O6" s="50">
        <f t="shared" si="1"/>
        <v>136.51318943593841</v>
      </c>
      <c r="P6" s="50">
        <f t="shared" si="2"/>
        <v>55.526354899905137</v>
      </c>
      <c r="Q6" s="50">
        <f t="shared" si="3"/>
        <v>65.456181703100384</v>
      </c>
    </row>
    <row r="7" spans="1:17">
      <c r="C7" s="46">
        <f>C5</f>
        <v>0</v>
      </c>
      <c r="D7" s="46">
        <f t="shared" ref="D7:F8" si="6">D$4/D5</f>
        <v>5.3706365503080082</v>
      </c>
      <c r="E7" s="46">
        <f t="shared" si="6"/>
        <v>13.826879271070615</v>
      </c>
      <c r="F7" s="46">
        <f t="shared" si="6"/>
        <v>11.609218436873746</v>
      </c>
      <c r="G7" s="49">
        <f>(G5-G6)/($C6-$C5)</f>
        <v>2.4187454742415553</v>
      </c>
      <c r="H7" s="49">
        <f t="shared" ref="H7:I7" si="7">(H5-H6)/($C6-$C5)</f>
        <v>0.105522190604563</v>
      </c>
      <c r="I7" s="49">
        <f t="shared" si="7"/>
        <v>0.35139379292667722</v>
      </c>
      <c r="K7" s="14" t="str">
        <f>linefmt("CCM" )</f>
        <v>"CCM",</v>
      </c>
      <c r="M7" s="46">
        <f t="shared" si="0"/>
        <v>78.673611252396299</v>
      </c>
      <c r="N7" s="46">
        <f t="shared" si="5"/>
        <v>4</v>
      </c>
      <c r="O7" s="50">
        <f t="shared" si="1"/>
        <v>134.09444396169687</v>
      </c>
      <c r="P7" s="50">
        <f t="shared" si="2"/>
        <v>55.420832709300569</v>
      </c>
      <c r="Q7" s="50">
        <f t="shared" si="3"/>
        <v>65.104787910173698</v>
      </c>
    </row>
    <row r="8" spans="1:17">
      <c r="C8" s="46">
        <f>C6</f>
        <v>44</v>
      </c>
      <c r="D8" s="46">
        <f t="shared" si="6"/>
        <v>20.675889328063242</v>
      </c>
      <c r="E8" s="46">
        <f t="shared" si="6"/>
        <v>15.080745341614907</v>
      </c>
      <c r="F8" s="46">
        <f t="shared" si="6"/>
        <v>15.125326370757181</v>
      </c>
      <c r="K8" s="15" t="str">
        <f>linefmt("",D54,E54,F54)</f>
        <v>0.2030089,1.045195,-0.261417,</v>
      </c>
      <c r="M8" s="46">
        <f t="shared" si="0"/>
        <v>76.360387968759284</v>
      </c>
      <c r="N8" s="46">
        <f t="shared" si="5"/>
        <v>5</v>
      </c>
      <c r="O8" s="50">
        <f t="shared" si="1"/>
        <v>131.67569848745529</v>
      </c>
      <c r="P8" s="50">
        <f t="shared" si="2"/>
        <v>55.315310518696009</v>
      </c>
      <c r="Q8" s="50">
        <f t="shared" si="3"/>
        <v>64.753394117247026</v>
      </c>
    </row>
    <row r="9" spans="1:17">
      <c r="C9" s="46" t="s">
        <v>23</v>
      </c>
      <c r="D9" s="46">
        <f>(D8-D7)/($C8-$C7)</f>
        <v>0.34784665403989168</v>
      </c>
      <c r="E9" s="46">
        <f>(E8-E7)/($C8-$C7)</f>
        <v>2.8496956148733921E-2</v>
      </c>
      <c r="F9" s="46">
        <f>(F8-F7)/($C8-$C7)</f>
        <v>7.9911543951896244E-2</v>
      </c>
      <c r="K9" s="15" t="str">
        <f>linefmt("",D55,E55,F55)</f>
        <v>0.0110881,1,0.1168116,</v>
      </c>
      <c r="M9" s="46">
        <f t="shared" si="0"/>
        <v>74.047164685122297</v>
      </c>
      <c r="N9" s="46">
        <f t="shared" si="5"/>
        <v>6</v>
      </c>
      <c r="O9" s="50">
        <f t="shared" si="1"/>
        <v>129.25695301321375</v>
      </c>
      <c r="P9" s="50">
        <f t="shared" si="2"/>
        <v>55.209788328091449</v>
      </c>
      <c r="Q9" s="50">
        <f t="shared" si="3"/>
        <v>64.402000324320355</v>
      </c>
    </row>
    <row r="10" spans="1:17">
      <c r="K10" s="16" t="str">
        <f>linefmt("",D56,E56,F56)</f>
        <v>-0.6413372,0.3212232,1.406599,</v>
      </c>
      <c r="M10" s="46">
        <f t="shared" si="0"/>
        <v>71.733941401485311</v>
      </c>
      <c r="N10" s="46">
        <f t="shared" si="5"/>
        <v>7</v>
      </c>
      <c r="O10" s="50">
        <f t="shared" si="1"/>
        <v>126.8382075389722</v>
      </c>
      <c r="P10" s="50">
        <f t="shared" si="2"/>
        <v>55.104266137486881</v>
      </c>
      <c r="Q10" s="50">
        <f t="shared" si="3"/>
        <v>64.050606531393669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69.42071811784831</v>
      </c>
      <c r="N11" s="46">
        <f t="shared" si="5"/>
        <v>8</v>
      </c>
      <c r="O11" s="50">
        <f t="shared" si="1"/>
        <v>124.41946206473064</v>
      </c>
      <c r="P11" s="50">
        <f t="shared" si="2"/>
        <v>54.998743946882321</v>
      </c>
      <c r="Q11" s="50">
        <f t="shared" si="3"/>
        <v>63.699212738466997</v>
      </c>
    </row>
    <row r="12" spans="1:17">
      <c r="A12" s="46" t="s">
        <v>16</v>
      </c>
      <c r="B12" s="10">
        <f>MATCH(M2,M3:M66,0)-1</f>
        <v>38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Compensation=38</v>
      </c>
      <c r="M12" s="46">
        <f t="shared" si="0"/>
        <v>67.107494834211337</v>
      </c>
      <c r="N12" s="46">
        <f t="shared" si="5"/>
        <v>9</v>
      </c>
      <c r="O12" s="50">
        <f t="shared" si="1"/>
        <v>122.00071659048909</v>
      </c>
      <c r="P12" s="50">
        <f t="shared" si="2"/>
        <v>54.893221756277761</v>
      </c>
      <c r="Q12" s="50">
        <f t="shared" si="3"/>
        <v>63.347818945540318</v>
      </c>
    </row>
    <row r="13" spans="1:17">
      <c r="A13" s="78" t="s">
        <v>12</v>
      </c>
      <c r="B13" s="79" t="s">
        <v>0</v>
      </c>
      <c r="C13" s="46">
        <v>0</v>
      </c>
      <c r="D13" s="7">
        <v>560</v>
      </c>
      <c r="E13" s="7">
        <v>519.6</v>
      </c>
      <c r="F13" s="7">
        <v>156.5</v>
      </c>
      <c r="G13" s="8">
        <v>96.3</v>
      </c>
      <c r="H13" s="8">
        <v>34.4</v>
      </c>
      <c r="I13" s="8">
        <v>45.9</v>
      </c>
      <c r="M13" s="46">
        <f t="shared" si="0"/>
        <v>64.794271550574337</v>
      </c>
      <c r="N13" s="46">
        <f t="shared" si="5"/>
        <v>10</v>
      </c>
      <c r="O13" s="50">
        <f t="shared" si="1"/>
        <v>119.58197111624753</v>
      </c>
      <c r="P13" s="50">
        <f t="shared" si="2"/>
        <v>54.787699565673194</v>
      </c>
      <c r="Q13" s="50">
        <f t="shared" si="3"/>
        <v>62.996425152613639</v>
      </c>
    </row>
    <row r="14" spans="1:17">
      <c r="A14" s="78"/>
      <c r="B14" s="79"/>
      <c r="C14" s="46">
        <f>C13+1</f>
        <v>1</v>
      </c>
      <c r="D14" s="7">
        <v>563.79999999999995</v>
      </c>
      <c r="E14" s="7">
        <v>522.9</v>
      </c>
      <c r="F14" s="7">
        <v>156.4</v>
      </c>
      <c r="G14" s="8">
        <v>99.4</v>
      </c>
      <c r="H14" s="8">
        <v>36.9</v>
      </c>
      <c r="I14" s="8">
        <v>49</v>
      </c>
      <c r="M14" s="46">
        <f t="shared" si="0"/>
        <v>62.48104826693735</v>
      </c>
      <c r="N14" s="46">
        <f t="shared" si="5"/>
        <v>11</v>
      </c>
      <c r="O14" s="50">
        <f t="shared" si="1"/>
        <v>117.16322564200598</v>
      </c>
      <c r="P14" s="50">
        <f t="shared" si="2"/>
        <v>54.682177375068633</v>
      </c>
      <c r="Q14" s="50">
        <f t="shared" si="3"/>
        <v>62.645031359686968</v>
      </c>
    </row>
    <row r="15" spans="1:17">
      <c r="A15" s="78"/>
      <c r="B15" s="79"/>
      <c r="C15" s="46">
        <f>C14+1</f>
        <v>2</v>
      </c>
      <c r="D15" s="6">
        <f>2*(D13-D14)/(D13+D14)</f>
        <v>-6.7627691760098856E-3</v>
      </c>
      <c r="E15" s="6">
        <f t="shared" ref="E15:F15" si="8">2*(E13-E14)/(E13+E14)</f>
        <v>-6.3309352517984738E-3</v>
      </c>
      <c r="F15" s="6">
        <f t="shared" si="8"/>
        <v>6.3918184723550219E-4</v>
      </c>
      <c r="G15" s="8">
        <v>109.8</v>
      </c>
      <c r="H15" s="8">
        <v>34.799999999999997</v>
      </c>
      <c r="I15" s="8">
        <v>48.2</v>
      </c>
      <c r="M15" s="46">
        <f t="shared" si="0"/>
        <v>60.167824983300356</v>
      </c>
      <c r="N15" s="46">
        <f t="shared" si="5"/>
        <v>12</v>
      </c>
      <c r="O15" s="50">
        <f t="shared" si="1"/>
        <v>114.74448016776442</v>
      </c>
      <c r="P15" s="50">
        <f t="shared" si="2"/>
        <v>54.576655184464066</v>
      </c>
      <c r="Q15" s="50">
        <f t="shared" si="3"/>
        <v>62.293637566760289</v>
      </c>
    </row>
    <row r="16" spans="1:17">
      <c r="A16" s="78"/>
      <c r="B16" s="79" t="s">
        <v>1</v>
      </c>
      <c r="C16" s="46">
        <f>C13</f>
        <v>0</v>
      </c>
      <c r="D16" s="7">
        <v>1208</v>
      </c>
      <c r="E16" s="7">
        <v>1217</v>
      </c>
      <c r="F16" s="7">
        <v>655</v>
      </c>
      <c r="G16" s="8">
        <v>69.099999999999994</v>
      </c>
      <c r="H16" s="8">
        <v>81.7</v>
      </c>
      <c r="I16" s="8">
        <v>45.2</v>
      </c>
      <c r="M16" s="46">
        <f t="shared" si="0"/>
        <v>57.854601699663355</v>
      </c>
      <c r="N16" s="46">
        <f t="shared" si="5"/>
        <v>13</v>
      </c>
      <c r="O16" s="50">
        <f t="shared" si="1"/>
        <v>112.32573469352286</v>
      </c>
      <c r="P16" s="50">
        <f t="shared" si="2"/>
        <v>54.471132993859506</v>
      </c>
      <c r="Q16" s="50">
        <f t="shared" si="3"/>
        <v>61.94224377383361</v>
      </c>
    </row>
    <row r="17" spans="1:21">
      <c r="A17" s="78"/>
      <c r="B17" s="79"/>
      <c r="C17" s="46">
        <f t="shared" ref="C17:C21" si="9">C14</f>
        <v>1</v>
      </c>
      <c r="D17" s="7">
        <v>1209</v>
      </c>
      <c r="E17" s="7">
        <v>1219</v>
      </c>
      <c r="F17" s="7">
        <v>654</v>
      </c>
      <c r="G17" s="8">
        <v>72.2</v>
      </c>
      <c r="H17" s="8">
        <v>85</v>
      </c>
      <c r="I17" s="8">
        <v>48.4</v>
      </c>
      <c r="M17" s="46">
        <f t="shared" si="0"/>
        <v>55.541378416026369</v>
      </c>
      <c r="N17" s="46">
        <f t="shared" si="5"/>
        <v>14</v>
      </c>
      <c r="O17" s="50">
        <f t="shared" si="1"/>
        <v>109.90698921928131</v>
      </c>
      <c r="P17" s="50">
        <f t="shared" si="2"/>
        <v>54.365610803254945</v>
      </c>
      <c r="Q17" s="50">
        <f t="shared" si="3"/>
        <v>61.590849980906931</v>
      </c>
    </row>
    <row r="18" spans="1:21">
      <c r="A18" s="78"/>
      <c r="B18" s="79"/>
      <c r="C18" s="46">
        <f t="shared" si="9"/>
        <v>2</v>
      </c>
      <c r="D18" s="6">
        <f>2*(D16-D17)/(D16+D17)</f>
        <v>-8.2747207281754236E-4</v>
      </c>
      <c r="E18" s="6">
        <f t="shared" ref="E18:F18" si="10">2*(E16-E17)/(E16+E17)</f>
        <v>-1.6420361247947454E-3</v>
      </c>
      <c r="F18" s="6">
        <f t="shared" si="10"/>
        <v>1.5278838808250573E-3</v>
      </c>
      <c r="G18" s="8">
        <v>62.3</v>
      </c>
      <c r="H18" s="8">
        <v>100.9</v>
      </c>
      <c r="I18" s="8">
        <v>47.5</v>
      </c>
      <c r="M18" s="46">
        <f t="shared" si="0"/>
        <v>53.228155132389375</v>
      </c>
      <c r="N18" s="46">
        <f t="shared" si="5"/>
        <v>15</v>
      </c>
      <c r="O18" s="50">
        <f t="shared" si="1"/>
        <v>107.48824374503975</v>
      </c>
      <c r="P18" s="50">
        <f t="shared" si="2"/>
        <v>54.260088612650378</v>
      </c>
      <c r="Q18" s="50">
        <f t="shared" si="3"/>
        <v>61.239456187980252</v>
      </c>
    </row>
    <row r="19" spans="1:21">
      <c r="A19" s="78"/>
      <c r="B19" s="79" t="s">
        <v>2</v>
      </c>
      <c r="C19" s="46">
        <f t="shared" si="9"/>
        <v>0</v>
      </c>
      <c r="D19" s="7">
        <v>512.79999999999995</v>
      </c>
      <c r="E19" s="7">
        <v>580.1</v>
      </c>
      <c r="F19" s="7">
        <v>534.6</v>
      </c>
      <c r="G19" s="8">
        <v>30.1</v>
      </c>
      <c r="H19" s="8">
        <v>39.9</v>
      </c>
      <c r="I19" s="8">
        <v>33.4</v>
      </c>
      <c r="M19" s="46">
        <f t="shared" si="0"/>
        <v>50.914931848752374</v>
      </c>
      <c r="N19" s="46">
        <f t="shared" si="5"/>
        <v>16</v>
      </c>
      <c r="O19" s="50">
        <f t="shared" si="1"/>
        <v>105.06949827079819</v>
      </c>
      <c r="P19" s="50">
        <f t="shared" si="2"/>
        <v>54.154566422045818</v>
      </c>
      <c r="Q19" s="50">
        <f t="shared" si="3"/>
        <v>60.888062395053581</v>
      </c>
    </row>
    <row r="20" spans="1:21">
      <c r="A20" s="78"/>
      <c r="B20" s="79"/>
      <c r="C20" s="46">
        <f t="shared" si="9"/>
        <v>1</v>
      </c>
      <c r="D20" s="7">
        <v>513.5</v>
      </c>
      <c r="E20" s="7">
        <v>580.6</v>
      </c>
      <c r="F20" s="7">
        <v>534.70000000000005</v>
      </c>
      <c r="G20" s="8">
        <v>32.4</v>
      </c>
      <c r="H20" s="8">
        <v>42.7</v>
      </c>
      <c r="I20" s="8">
        <v>35.799999999999997</v>
      </c>
      <c r="M20" s="46">
        <f t="shared" si="0"/>
        <v>48.601708565115395</v>
      </c>
      <c r="N20" s="46">
        <f t="shared" si="5"/>
        <v>17</v>
      </c>
      <c r="O20" s="50">
        <f t="shared" si="1"/>
        <v>102.65075279655665</v>
      </c>
      <c r="P20" s="50">
        <f t="shared" si="2"/>
        <v>54.04904423144125</v>
      </c>
      <c r="Q20" s="50">
        <f t="shared" si="3"/>
        <v>60.536668602126902</v>
      </c>
    </row>
    <row r="21" spans="1:21">
      <c r="A21" s="78"/>
      <c r="B21" s="79"/>
      <c r="C21" s="46">
        <f t="shared" si="9"/>
        <v>2</v>
      </c>
      <c r="D21" s="6">
        <f>2*(D19-D20)/(D19+D20)</f>
        <v>-1.3641235506188162E-3</v>
      </c>
      <c r="E21" s="6">
        <f t="shared" ref="E21:F21" si="11">2*(E19-E20)/(E19+E20)</f>
        <v>-8.6154906521926421E-4</v>
      </c>
      <c r="F21" s="6">
        <f t="shared" si="11"/>
        <v>-1.8703824932202884E-4</v>
      </c>
      <c r="G21" s="8">
        <v>29.4</v>
      </c>
      <c r="H21" s="8">
        <v>41.4</v>
      </c>
      <c r="I21" s="8">
        <v>33.200000000000003</v>
      </c>
      <c r="M21" s="46">
        <f t="shared" si="0"/>
        <v>46.288485281478408</v>
      </c>
      <c r="N21" s="46">
        <f t="shared" si="5"/>
        <v>18</v>
      </c>
      <c r="O21" s="50">
        <f t="shared" si="1"/>
        <v>100.2320073223151</v>
      </c>
      <c r="P21" s="50">
        <f t="shared" si="2"/>
        <v>53.94352204083669</v>
      </c>
      <c r="Q21" s="50">
        <f t="shared" si="3"/>
        <v>60.185274809200223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561.9</v>
      </c>
      <c r="E22" s="46">
        <f t="shared" ref="E22:F22" si="12">(E13+E14)/2</f>
        <v>521.25</v>
      </c>
      <c r="F22" s="46">
        <f t="shared" si="12"/>
        <v>156.44999999999999</v>
      </c>
      <c r="G22" s="5">
        <f>G13</f>
        <v>96.3</v>
      </c>
      <c r="H22" s="5">
        <f t="shared" ref="H22:I22" si="13">H13</f>
        <v>34.4</v>
      </c>
      <c r="I22" s="5">
        <f t="shared" si="13"/>
        <v>45.9</v>
      </c>
      <c r="J22" s="99">
        <f>AVERAGE(G22:I24)</f>
        <v>52.888888888888886</v>
      </c>
      <c r="M22" s="46">
        <f t="shared" si="0"/>
        <v>43.975261997841393</v>
      </c>
      <c r="N22" s="46">
        <f t="shared" si="5"/>
        <v>19</v>
      </c>
      <c r="O22" s="50">
        <f t="shared" si="1"/>
        <v>97.813261848073523</v>
      </c>
      <c r="P22" s="50">
        <f t="shared" si="2"/>
        <v>53.83799985023213</v>
      </c>
      <c r="Q22" s="50">
        <f t="shared" si="3"/>
        <v>59.833881016273544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1208.5</v>
      </c>
      <c r="E23" s="46">
        <f>(E16+E17)/2</f>
        <v>1218</v>
      </c>
      <c r="F23" s="46">
        <f>(F16+F17)/2</f>
        <v>654.5</v>
      </c>
      <c r="G23" s="5">
        <f>G16</f>
        <v>69.099999999999994</v>
      </c>
      <c r="H23" s="5">
        <f>H16</f>
        <v>81.7</v>
      </c>
      <c r="I23" s="5">
        <f>I16</f>
        <v>45.2</v>
      </c>
      <c r="J23" s="99"/>
      <c r="M23" s="46">
        <f t="shared" si="0"/>
        <v>41.662038714204414</v>
      </c>
      <c r="N23" s="46">
        <f t="shared" si="5"/>
        <v>20</v>
      </c>
      <c r="O23" s="50">
        <f t="shared" si="1"/>
        <v>95.394516373831976</v>
      </c>
      <c r="P23" s="50">
        <f t="shared" si="2"/>
        <v>53.732477659627563</v>
      </c>
      <c r="Q23" s="50">
        <f t="shared" si="3"/>
        <v>59.482487223346865</v>
      </c>
    </row>
    <row r="24" spans="1:21">
      <c r="A24" s="78"/>
      <c r="B24" s="46" t="str">
        <f>B19</f>
        <v>D65</v>
      </c>
      <c r="C24" s="79"/>
      <c r="D24" s="46">
        <f>(D19+D20)/2</f>
        <v>513.15</v>
      </c>
      <c r="E24" s="46">
        <f>(E19+E20)/2</f>
        <v>580.35</v>
      </c>
      <c r="F24" s="46">
        <f>(F19+F20)/2</f>
        <v>534.65000000000009</v>
      </c>
      <c r="G24" s="5">
        <f>G19</f>
        <v>30.1</v>
      </c>
      <c r="H24" s="5">
        <f>H19</f>
        <v>39.9</v>
      </c>
      <c r="I24" s="5">
        <f>I19</f>
        <v>33.4</v>
      </c>
      <c r="J24" s="99"/>
      <c r="M24" s="46">
        <f t="shared" si="0"/>
        <v>39.348815430567427</v>
      </c>
      <c r="N24" s="46">
        <f t="shared" si="5"/>
        <v>21</v>
      </c>
      <c r="O24" s="50">
        <f t="shared" si="1"/>
        <v>92.97577089959043</v>
      </c>
      <c r="P24" s="50">
        <f t="shared" si="2"/>
        <v>53.626955469023002</v>
      </c>
      <c r="Q24" s="50">
        <f t="shared" si="3"/>
        <v>59.131093430420194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561.9</v>
      </c>
      <c r="E25" s="46">
        <f t="shared" ref="E25:F25" si="15">(E13+E14)/2</f>
        <v>521.25</v>
      </c>
      <c r="F25" s="46">
        <f t="shared" si="15"/>
        <v>156.44999999999999</v>
      </c>
      <c r="G25" s="5">
        <f t="shared" ref="G25:I25" si="16">G14</f>
        <v>99.4</v>
      </c>
      <c r="H25" s="5">
        <f t="shared" si="16"/>
        <v>36.9</v>
      </c>
      <c r="I25" s="5">
        <f t="shared" si="16"/>
        <v>49</v>
      </c>
      <c r="J25" s="99">
        <f>AVERAGE(G25:I27)</f>
        <v>55.755555555555553</v>
      </c>
      <c r="M25" s="46">
        <f t="shared" si="0"/>
        <v>37.035592146930426</v>
      </c>
      <c r="N25" s="46">
        <f t="shared" si="5"/>
        <v>22</v>
      </c>
      <c r="O25" s="50">
        <f t="shared" si="1"/>
        <v>90.557025425348868</v>
      </c>
      <c r="P25" s="50">
        <f t="shared" si="2"/>
        <v>53.521433278418442</v>
      </c>
      <c r="Q25" s="50">
        <f t="shared" si="3"/>
        <v>58.779699637493515</v>
      </c>
    </row>
    <row r="26" spans="1:21">
      <c r="A26" s="78"/>
      <c r="B26" s="46" t="str">
        <f>B16</f>
        <v>CWF</v>
      </c>
      <c r="C26" s="79"/>
      <c r="D26" s="46">
        <f>(D16+D17)/2</f>
        <v>1208.5</v>
      </c>
      <c r="E26" s="46">
        <f>(E16+E17)/2</f>
        <v>1218</v>
      </c>
      <c r="F26" s="46">
        <f>(F16+F17)/2</f>
        <v>654.5</v>
      </c>
      <c r="G26" s="5">
        <f>G17</f>
        <v>72.2</v>
      </c>
      <c r="H26" s="5">
        <f>H17</f>
        <v>85</v>
      </c>
      <c r="I26" s="5">
        <f>I17</f>
        <v>48.4</v>
      </c>
      <c r="J26" s="99"/>
      <c r="M26" s="46">
        <f t="shared" si="0"/>
        <v>34.722368863293433</v>
      </c>
      <c r="N26" s="46">
        <f t="shared" si="5"/>
        <v>23</v>
      </c>
      <c r="O26" s="50">
        <f t="shared" si="1"/>
        <v>88.138279951107307</v>
      </c>
      <c r="P26" s="50">
        <f t="shared" si="2"/>
        <v>53.415911087813875</v>
      </c>
      <c r="Q26" s="50">
        <f t="shared" si="3"/>
        <v>58.428305844566836</v>
      </c>
    </row>
    <row r="27" spans="1:21">
      <c r="A27" s="78"/>
      <c r="B27" s="46" t="str">
        <f>B19</f>
        <v>D65</v>
      </c>
      <c r="C27" s="79"/>
      <c r="D27" s="46">
        <f>(D19+D20)/2</f>
        <v>513.15</v>
      </c>
      <c r="E27" s="46">
        <f>(E19+E20)/2</f>
        <v>580.35</v>
      </c>
      <c r="F27" s="46">
        <f>(F19+F20)/2</f>
        <v>534.65000000000009</v>
      </c>
      <c r="G27" s="5">
        <f>G20</f>
        <v>32.4</v>
      </c>
      <c r="H27" s="5">
        <f>H20</f>
        <v>42.7</v>
      </c>
      <c r="I27" s="5">
        <f>I20</f>
        <v>35.799999999999997</v>
      </c>
      <c r="J27" s="99"/>
      <c r="M27" s="46">
        <f t="shared" si="0"/>
        <v>32.409145579656446</v>
      </c>
      <c r="N27" s="46">
        <f t="shared" si="5"/>
        <v>24</v>
      </c>
      <c r="O27" s="50">
        <f t="shared" si="1"/>
        <v>85.719534476865761</v>
      </c>
      <c r="P27" s="50">
        <f t="shared" si="2"/>
        <v>53.310388897209315</v>
      </c>
      <c r="Q27" s="50">
        <f t="shared" si="3"/>
        <v>58.076912051640164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561.9</v>
      </c>
      <c r="E28" s="46">
        <f t="shared" ref="E28:F28" si="17">(E13+E14)/2</f>
        <v>521.25</v>
      </c>
      <c r="F28" s="46">
        <f t="shared" si="17"/>
        <v>156.44999999999999</v>
      </c>
      <c r="G28" s="5">
        <f t="shared" ref="G28:I28" si="18">G15</f>
        <v>109.8</v>
      </c>
      <c r="H28" s="5">
        <f t="shared" si="18"/>
        <v>34.799999999999997</v>
      </c>
      <c r="I28" s="5">
        <f t="shared" si="18"/>
        <v>48.2</v>
      </c>
      <c r="J28" s="99">
        <f>AVERAGE(G28:I30)</f>
        <v>56.388888888888886</v>
      </c>
      <c r="M28" s="46">
        <f t="shared" si="0"/>
        <v>30.095922296019452</v>
      </c>
      <c r="N28" s="46">
        <f t="shared" si="5"/>
        <v>25</v>
      </c>
      <c r="O28" s="50">
        <f t="shared" si="1"/>
        <v>83.300789002624199</v>
      </c>
      <c r="P28" s="50">
        <f t="shared" si="2"/>
        <v>53.204866706604747</v>
      </c>
      <c r="Q28" s="50">
        <f t="shared" si="3"/>
        <v>57.725518258713485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1208.5</v>
      </c>
      <c r="E29" s="46">
        <f t="shared" si="20"/>
        <v>1218</v>
      </c>
      <c r="F29" s="46">
        <f t="shared" si="20"/>
        <v>654.5</v>
      </c>
      <c r="G29" s="5">
        <f t="shared" ref="G29:I29" si="21">G18</f>
        <v>62.3</v>
      </c>
      <c r="H29" s="5">
        <f t="shared" si="21"/>
        <v>100.9</v>
      </c>
      <c r="I29" s="5">
        <f t="shared" si="21"/>
        <v>47.5</v>
      </c>
      <c r="J29" s="99"/>
      <c r="M29" s="46">
        <f t="shared" si="0"/>
        <v>27.782699012382452</v>
      </c>
      <c r="N29" s="46">
        <f t="shared" si="5"/>
        <v>26</v>
      </c>
      <c r="O29" s="50">
        <f t="shared" si="1"/>
        <v>80.882043528382638</v>
      </c>
      <c r="P29" s="50">
        <f t="shared" si="2"/>
        <v>53.099344516000187</v>
      </c>
      <c r="Q29" s="50">
        <f t="shared" si="3"/>
        <v>57.374124465786807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513.15</v>
      </c>
      <c r="E30" s="46">
        <f t="shared" si="23"/>
        <v>580.35</v>
      </c>
      <c r="F30" s="46">
        <f t="shared" si="23"/>
        <v>534.65000000000009</v>
      </c>
      <c r="G30" s="5">
        <f t="shared" ref="G30:I30" si="24">G21</f>
        <v>29.4</v>
      </c>
      <c r="H30" s="5">
        <f t="shared" si="24"/>
        <v>41.4</v>
      </c>
      <c r="I30" s="5">
        <f t="shared" si="24"/>
        <v>33.200000000000003</v>
      </c>
      <c r="J30" s="99"/>
      <c r="M30" s="46">
        <f t="shared" si="0"/>
        <v>25.469475728745465</v>
      </c>
      <c r="N30" s="46">
        <f t="shared" si="5"/>
        <v>27</v>
      </c>
      <c r="O30" s="50">
        <f t="shared" si="1"/>
        <v>78.463298054141092</v>
      </c>
      <c r="P30" s="50">
        <f t="shared" si="2"/>
        <v>52.993822325395627</v>
      </c>
      <c r="Q30" s="50">
        <f t="shared" si="3"/>
        <v>57.022730672860128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561.9</v>
      </c>
      <c r="E31" s="46">
        <f t="shared" si="25"/>
        <v>521.25</v>
      </c>
      <c r="F31" s="46">
        <f t="shared" si="25"/>
        <v>156.44999999999999</v>
      </c>
      <c r="G31" s="5">
        <f t="shared" ref="G31:I33" si="26">G22*$J$31</f>
        <v>96.3</v>
      </c>
      <c r="H31" s="5">
        <f t="shared" si="26"/>
        <v>34.4</v>
      </c>
      <c r="I31" s="5">
        <f t="shared" si="26"/>
        <v>45.9</v>
      </c>
      <c r="J31" s="96">
        <f>J$22/J22</f>
        <v>1</v>
      </c>
      <c r="M31" s="46">
        <f t="shared" si="0"/>
        <v>23.156252445108471</v>
      </c>
      <c r="N31" s="46">
        <f t="shared" si="5"/>
        <v>28</v>
      </c>
      <c r="O31" s="50">
        <f t="shared" si="1"/>
        <v>76.044552579899531</v>
      </c>
      <c r="P31" s="50">
        <f t="shared" si="2"/>
        <v>52.888300134791059</v>
      </c>
      <c r="Q31" s="50">
        <f t="shared" si="3"/>
        <v>56.671336879933449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1208.5</v>
      </c>
      <c r="E32" s="46">
        <f t="shared" si="27"/>
        <v>1218</v>
      </c>
      <c r="F32" s="46">
        <f t="shared" si="27"/>
        <v>654.5</v>
      </c>
      <c r="G32" s="5">
        <f t="shared" si="26"/>
        <v>69.099999999999994</v>
      </c>
      <c r="H32" s="5">
        <f t="shared" si="26"/>
        <v>81.7</v>
      </c>
      <c r="I32" s="5">
        <f t="shared" si="26"/>
        <v>45.2</v>
      </c>
      <c r="J32" s="96"/>
      <c r="M32" s="46">
        <f t="shared" si="0"/>
        <v>20.843029161471485</v>
      </c>
      <c r="N32" s="46">
        <f t="shared" si="5"/>
        <v>29</v>
      </c>
      <c r="O32" s="50">
        <f t="shared" si="1"/>
        <v>73.625807105657984</v>
      </c>
      <c r="P32" s="50">
        <f t="shared" si="2"/>
        <v>52.782777944186499</v>
      </c>
      <c r="Q32" s="50">
        <f t="shared" si="3"/>
        <v>56.319943087006777</v>
      </c>
    </row>
    <row r="33" spans="1:17">
      <c r="A33" s="78"/>
      <c r="B33" s="46" t="str">
        <f t="shared" si="27"/>
        <v>D65</v>
      </c>
      <c r="C33" s="79"/>
      <c r="D33" s="46">
        <f t="shared" si="27"/>
        <v>513.15</v>
      </c>
      <c r="E33" s="46">
        <f t="shared" si="27"/>
        <v>580.35</v>
      </c>
      <c r="F33" s="46">
        <f t="shared" si="27"/>
        <v>534.65000000000009</v>
      </c>
      <c r="G33" s="5">
        <f t="shared" si="26"/>
        <v>30.1</v>
      </c>
      <c r="H33" s="5">
        <f t="shared" si="26"/>
        <v>39.9</v>
      </c>
      <c r="I33" s="5">
        <f t="shared" si="26"/>
        <v>33.4</v>
      </c>
      <c r="J33" s="96"/>
      <c r="M33" s="46">
        <f t="shared" si="0"/>
        <v>18.529805877834491</v>
      </c>
      <c r="N33" s="46">
        <f t="shared" si="5"/>
        <v>30</v>
      </c>
      <c r="O33" s="50">
        <f t="shared" si="1"/>
        <v>71.207061631416423</v>
      </c>
      <c r="P33" s="50">
        <f t="shared" si="2"/>
        <v>52.677255753581932</v>
      </c>
      <c r="Q33" s="50">
        <f t="shared" si="3"/>
        <v>55.968549294080098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561.9</v>
      </c>
      <c r="E34" s="46">
        <f t="shared" si="27"/>
        <v>521.25</v>
      </c>
      <c r="F34" s="46">
        <f t="shared" si="27"/>
        <v>156.44999999999999</v>
      </c>
      <c r="G34" s="5">
        <f t="shared" ref="G34:I36" si="28">G25*$J$34</f>
        <v>94.289358310083699</v>
      </c>
      <c r="H34" s="5">
        <f t="shared" si="28"/>
        <v>35.002789956157827</v>
      </c>
      <c r="I34" s="5">
        <f t="shared" si="28"/>
        <v>46.480669589477877</v>
      </c>
      <c r="J34" s="96">
        <f>J$22/J25</f>
        <v>0.94858509366281385</v>
      </c>
      <c r="M34" s="46">
        <f t="shared" si="0"/>
        <v>16.216582594197504</v>
      </c>
      <c r="N34" s="46">
        <f t="shared" si="5"/>
        <v>31</v>
      </c>
      <c r="O34" s="50">
        <f t="shared" si="1"/>
        <v>68.788316157174876</v>
      </c>
      <c r="P34" s="50">
        <f t="shared" si="2"/>
        <v>52.571733562977371</v>
      </c>
      <c r="Q34" s="50">
        <f t="shared" si="3"/>
        <v>55.61715550115342</v>
      </c>
    </row>
    <row r="35" spans="1:17">
      <c r="A35" s="78"/>
      <c r="B35" s="46" t="str">
        <f t="shared" si="27"/>
        <v>CWF</v>
      </c>
      <c r="C35" s="79"/>
      <c r="D35" s="46">
        <f t="shared" si="27"/>
        <v>1208.5</v>
      </c>
      <c r="E35" s="46">
        <f t="shared" si="27"/>
        <v>1218</v>
      </c>
      <c r="F35" s="46">
        <f t="shared" si="27"/>
        <v>654.5</v>
      </c>
      <c r="G35" s="5">
        <f t="shared" si="28"/>
        <v>68.487843762455157</v>
      </c>
      <c r="H35" s="5">
        <f t="shared" si="28"/>
        <v>80.629732961339172</v>
      </c>
      <c r="I35" s="5">
        <f t="shared" si="28"/>
        <v>45.911518533280187</v>
      </c>
      <c r="J35" s="96"/>
      <c r="M35" s="46">
        <f t="shared" si="0"/>
        <v>13.903359310560504</v>
      </c>
      <c r="N35" s="46">
        <f t="shared" si="5"/>
        <v>32</v>
      </c>
      <c r="O35" s="50">
        <f t="shared" si="1"/>
        <v>66.369570682933315</v>
      </c>
      <c r="P35" s="50">
        <f t="shared" si="2"/>
        <v>52.466211372372811</v>
      </c>
      <c r="Q35" s="50">
        <f t="shared" si="3"/>
        <v>55.265761708226741</v>
      </c>
    </row>
    <row r="36" spans="1:17">
      <c r="A36" s="78"/>
      <c r="B36" s="46" t="str">
        <f t="shared" si="27"/>
        <v>D65</v>
      </c>
      <c r="C36" s="79"/>
      <c r="D36" s="46">
        <f t="shared" si="27"/>
        <v>513.15</v>
      </c>
      <c r="E36" s="46">
        <f t="shared" si="27"/>
        <v>580.35</v>
      </c>
      <c r="F36" s="46">
        <f t="shared" si="27"/>
        <v>534.65000000000009</v>
      </c>
      <c r="G36" s="5">
        <f t="shared" si="28"/>
        <v>30.734157034675167</v>
      </c>
      <c r="H36" s="5">
        <f t="shared" si="28"/>
        <v>40.504583499402152</v>
      </c>
      <c r="I36" s="5">
        <f t="shared" si="28"/>
        <v>33.95934635312873</v>
      </c>
      <c r="J36" s="96"/>
      <c r="M36" s="46">
        <f t="shared" si="0"/>
        <v>11.59013602692351</v>
      </c>
      <c r="N36" s="46">
        <f t="shared" si="5"/>
        <v>33</v>
      </c>
      <c r="O36" s="50">
        <f t="shared" si="1"/>
        <v>63.950825208691754</v>
      </c>
      <c r="P36" s="50">
        <f t="shared" si="2"/>
        <v>52.360689181768244</v>
      </c>
      <c r="Q36" s="50">
        <f t="shared" si="3"/>
        <v>54.914367915300062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561.9</v>
      </c>
      <c r="E37" s="46">
        <f t="shared" si="27"/>
        <v>521.25</v>
      </c>
      <c r="F37" s="46">
        <f t="shared" si="27"/>
        <v>156.44999999999999</v>
      </c>
      <c r="G37" s="5">
        <f t="shared" ref="G37:I39" si="29">G28*$J$37</f>
        <v>102.98482758620689</v>
      </c>
      <c r="H37" s="5">
        <f t="shared" si="29"/>
        <v>32.639999999999993</v>
      </c>
      <c r="I37" s="5">
        <f t="shared" si="29"/>
        <v>45.208275862068966</v>
      </c>
      <c r="J37" s="96">
        <f>J$22/J28</f>
        <v>0.93793103448275861</v>
      </c>
      <c r="K37" s="51" t="str">
        <f>CHAR(34) &amp; "EEpromVersion" &amp;CHAR(34)  &amp; ",3,"</f>
        <v>"EEpromVersion",3,</v>
      </c>
      <c r="M37" s="46">
        <f t="shared" si="0"/>
        <v>9.2769127432865233</v>
      </c>
      <c r="N37" s="46">
        <f t="shared" si="5"/>
        <v>34</v>
      </c>
      <c r="O37" s="50">
        <f t="shared" si="1"/>
        <v>61.532079734450207</v>
      </c>
      <c r="P37" s="50">
        <f t="shared" si="2"/>
        <v>52.255166991163684</v>
      </c>
      <c r="Q37" s="50">
        <f t="shared" si="3"/>
        <v>54.56297412237339</v>
      </c>
    </row>
    <row r="38" spans="1:17">
      <c r="A38" s="78"/>
      <c r="B38" s="46" t="str">
        <f t="shared" si="27"/>
        <v>CWF</v>
      </c>
      <c r="C38" s="79"/>
      <c r="D38" s="46">
        <f t="shared" si="27"/>
        <v>1208.5</v>
      </c>
      <c r="E38" s="46">
        <f t="shared" si="27"/>
        <v>1218</v>
      </c>
      <c r="F38" s="46">
        <f t="shared" si="27"/>
        <v>654.5</v>
      </c>
      <c r="G38" s="5">
        <f t="shared" si="29"/>
        <v>58.433103448275858</v>
      </c>
      <c r="H38" s="5">
        <f t="shared" si="29"/>
        <v>94.637241379310353</v>
      </c>
      <c r="I38" s="5">
        <f t="shared" si="29"/>
        <v>44.551724137931032</v>
      </c>
      <c r="J38" s="96"/>
      <c r="K38" s="52" t="str">
        <f>K4</f>
        <v>"Compensation",38,</v>
      </c>
      <c r="M38" s="46">
        <f t="shared" si="0"/>
        <v>6.9636894596495296</v>
      </c>
      <c r="N38" s="46">
        <f t="shared" si="5"/>
        <v>35</v>
      </c>
      <c r="O38" s="50">
        <f t="shared" si="1"/>
        <v>59.113334260208646</v>
      </c>
      <c r="P38" s="50">
        <f t="shared" si="2"/>
        <v>52.149644800559116</v>
      </c>
      <c r="Q38" s="50">
        <f t="shared" si="3"/>
        <v>54.211580329446711</v>
      </c>
    </row>
    <row r="39" spans="1:17">
      <c r="A39" s="78"/>
      <c r="B39" s="46" t="str">
        <f t="shared" si="27"/>
        <v>D65</v>
      </c>
      <c r="C39" s="79"/>
      <c r="D39" s="46">
        <f t="shared" si="27"/>
        <v>513.15</v>
      </c>
      <c r="E39" s="46">
        <f t="shared" si="27"/>
        <v>580.35</v>
      </c>
      <c r="F39" s="46">
        <f t="shared" si="27"/>
        <v>534.65000000000009</v>
      </c>
      <c r="G39" s="5">
        <f t="shared" si="29"/>
        <v>27.575172413793101</v>
      </c>
      <c r="H39" s="5">
        <f t="shared" si="29"/>
        <v>38.830344827586202</v>
      </c>
      <c r="I39" s="5">
        <f t="shared" si="29"/>
        <v>31.139310344827589</v>
      </c>
      <c r="J39" s="96"/>
      <c r="K39" s="53" t="str">
        <f>linefmt("CardGain",J42,J45,J48)</f>
        <v>"CardGain",15.03848,15.77155,10.47967,</v>
      </c>
      <c r="M39" s="46">
        <f t="shared" si="0"/>
        <v>4.650466176012543</v>
      </c>
      <c r="N39" s="46">
        <f t="shared" si="5"/>
        <v>36</v>
      </c>
      <c r="O39" s="50">
        <f t="shared" si="1"/>
        <v>56.694588785967099</v>
      </c>
      <c r="P39" s="50">
        <f t="shared" si="2"/>
        <v>52.044122609954556</v>
      </c>
      <c r="Q39" s="50">
        <f t="shared" si="3"/>
        <v>53.860186536520033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"Range",1,0.9485851,0.9379311,</v>
      </c>
      <c r="M40" s="46">
        <f t="shared" si="0"/>
        <v>2.3372428923755422</v>
      </c>
      <c r="N40" s="46">
        <f t="shared" si="5"/>
        <v>37</v>
      </c>
      <c r="O40" s="50">
        <f t="shared" si="1"/>
        <v>54.275843311725538</v>
      </c>
      <c r="P40" s="50">
        <f t="shared" si="2"/>
        <v>51.938600419349996</v>
      </c>
      <c r="Q40" s="50">
        <f t="shared" si="3"/>
        <v>53.508792743593361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1.3243207219212465</v>
      </c>
      <c r="N41" s="46">
        <f t="shared" si="5"/>
        <v>38</v>
      </c>
      <c r="O41" s="50">
        <f t="shared" si="1"/>
        <v>51.857097837483977</v>
      </c>
      <c r="P41" s="50">
        <f t="shared" si="2"/>
        <v>51.833078228745428</v>
      </c>
      <c r="Q41" s="50">
        <f t="shared" si="3"/>
        <v>53.157398950666675</v>
      </c>
    </row>
    <row r="42" spans="1:17">
      <c r="A42" s="4"/>
      <c r="B42" s="46" t="s">
        <v>3</v>
      </c>
      <c r="C42" s="79">
        <f>C31</f>
        <v>0</v>
      </c>
      <c r="D42" s="46">
        <f>I42/$H$43</f>
        <v>0.20674192545040268</v>
      </c>
      <c r="E42" s="46">
        <f>H42/$H$43</f>
        <v>1.0221917278387709</v>
      </c>
      <c r="F42" s="46">
        <f>G42/$H$43</f>
        <v>-0.38580624096276933</v>
      </c>
      <c r="G42" s="46">
        <f t="array" ref="G42:I42">LINEST($D31:$D33,$G31:$I33,FALSE)</f>
        <v>-5.8019413184304787</v>
      </c>
      <c r="H42" s="46">
        <v>15.372214835886819</v>
      </c>
      <c r="I42" s="46">
        <v>3.1090853183951435</v>
      </c>
      <c r="J42" s="97">
        <f>H43</f>
        <v>15.038484872489068</v>
      </c>
      <c r="K42" s="53" t="str">
        <f t="shared" ref="K42:K50" si="30">linefmt("",D42,E42,F42)</f>
        <v>0.2067419,1.022192,-0.3858062,</v>
      </c>
      <c r="M42" s="46">
        <f t="shared" si="0"/>
        <v>3.3676527944975732</v>
      </c>
      <c r="N42" s="46">
        <f t="shared" si="5"/>
        <v>39</v>
      </c>
      <c r="O42" s="50">
        <f t="shared" si="1"/>
        <v>49.43835236324243</v>
      </c>
      <c r="P42" s="50">
        <f t="shared" si="2"/>
        <v>51.727556038140868</v>
      </c>
      <c r="Q42" s="50">
        <f t="shared" si="3"/>
        <v>52.806005157740003</v>
      </c>
    </row>
    <row r="43" spans="1:17">
      <c r="A43" s="4"/>
      <c r="B43" s="46" t="s">
        <v>4</v>
      </c>
      <c r="C43" s="79"/>
      <c r="D43" s="46">
        <f>I43/$H$43</f>
        <v>3.7498518877131008E-2</v>
      </c>
      <c r="E43" s="46">
        <f>H43/$H$43</f>
        <v>1</v>
      </c>
      <c r="F43" s="46">
        <f>G43/$H$43</f>
        <v>-7.2985530045780178E-2</v>
      </c>
      <c r="G43" s="46">
        <f t="array" ref="G43:I43">LINEST($E31:$E33,$G31:$I33,FALSE)</f>
        <v>-1.0975917895040617</v>
      </c>
      <c r="H43" s="46">
        <v>15.038484872489068</v>
      </c>
      <c r="I43" s="46">
        <v>0.56392090887448043</v>
      </c>
      <c r="J43" s="97"/>
      <c r="K43" s="53" t="str">
        <f t="shared" si="30"/>
        <v>3.749852E-02,1,-7.298553E-02,</v>
      </c>
      <c r="M43" s="46">
        <f t="shared" si="0"/>
        <v>5.4350044758124554</v>
      </c>
      <c r="N43" s="46">
        <f t="shared" si="5"/>
        <v>40</v>
      </c>
      <c r="O43" s="50">
        <f t="shared" si="1"/>
        <v>47.019606889000869</v>
      </c>
      <c r="P43" s="50">
        <f t="shared" si="2"/>
        <v>51.622033847536301</v>
      </c>
      <c r="Q43" s="50">
        <f t="shared" si="3"/>
        <v>52.454611364813324</v>
      </c>
    </row>
    <row r="44" spans="1:17">
      <c r="A44" s="4"/>
      <c r="B44" s="46" t="s">
        <v>5</v>
      </c>
      <c r="C44" s="79"/>
      <c r="D44" s="46">
        <f>I44/$H$43</f>
        <v>-0.55157243480455431</v>
      </c>
      <c r="E44" s="46">
        <f>H44/$H$43</f>
        <v>0.39904768203057805</v>
      </c>
      <c r="F44" s="46">
        <f>G44/$H$43</f>
        <v>1.0848037881480299</v>
      </c>
      <c r="G44" s="46">
        <f t="array" ref="G44:I44">LINEST($F$31:$F$33,$G31:$I33,FALSE)</f>
        <v>16.313805357682984</v>
      </c>
      <c r="H44" s="46">
        <v>6.0010725296186758</v>
      </c>
      <c r="I44" s="46">
        <v>-8.2948137168902534</v>
      </c>
      <c r="J44" s="97"/>
      <c r="K44" s="53" t="str">
        <f t="shared" si="30"/>
        <v>-0.5515724,0.3990477,1.084804,</v>
      </c>
      <c r="M44" s="46">
        <f t="shared" si="0"/>
        <v>7.5023561571273234</v>
      </c>
      <c r="N44" s="46">
        <f t="shared" si="5"/>
        <v>41</v>
      </c>
      <c r="O44" s="50">
        <f t="shared" si="1"/>
        <v>44.600861414759322</v>
      </c>
      <c r="P44" s="50">
        <f t="shared" si="2"/>
        <v>51.516511656931741</v>
      </c>
      <c r="Q44" s="50">
        <f t="shared" si="3"/>
        <v>52.103217571886645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0.22961817357521813</v>
      </c>
      <c r="E45" s="46">
        <f>H45/$H$46</f>
        <v>1.0225374054005063</v>
      </c>
      <c r="F45" s="46">
        <f>G45/$H$46</f>
        <v>-0.46932981155731435</v>
      </c>
      <c r="G45" s="46">
        <f t="array" ref="G45:I45">LINEST($D34:$D36,$G34:$I36,FALSE)</f>
        <v>-7.4020574922730029</v>
      </c>
      <c r="H45" s="46">
        <v>16.126997425668339</v>
      </c>
      <c r="I45" s="46">
        <v>3.6214339686515444</v>
      </c>
      <c r="J45" s="97">
        <f>H46</f>
        <v>15.771547662211667</v>
      </c>
      <c r="K45" s="53" t="str">
        <f t="shared" si="30"/>
        <v>0.2296182,1.022537,-0.4693298,</v>
      </c>
      <c r="M45" s="46">
        <f t="shared" si="0"/>
        <v>9.5697078384422127</v>
      </c>
      <c r="N45" s="46">
        <f t="shared" si="5"/>
        <v>42</v>
      </c>
      <c r="O45" s="50">
        <f t="shared" si="1"/>
        <v>42.182115940517761</v>
      </c>
      <c r="P45" s="50">
        <f t="shared" si="2"/>
        <v>51.41098946632718</v>
      </c>
      <c r="Q45" s="50">
        <f t="shared" si="3"/>
        <v>51.751823778959974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5.9772054801329522E-2</v>
      </c>
      <c r="E46" s="46">
        <f>H46/$H$46</f>
        <v>1</v>
      </c>
      <c r="F46" s="46">
        <f>G46/$H$46</f>
        <v>-0.16326435351259536</v>
      </c>
      <c r="G46" s="46">
        <f t="array" ref="G46:I46">LINEST($E34:$E36,$G34:$I36,FALSE)</f>
        <v>-2.5749315329640723</v>
      </c>
      <c r="H46" s="46">
        <v>15.771547662211667</v>
      </c>
      <c r="I46" s="46">
        <v>0.94269781116749629</v>
      </c>
      <c r="J46" s="97"/>
      <c r="K46" s="53" t="str">
        <f t="shared" si="30"/>
        <v>5.977206E-02,1,-0.1632643,</v>
      </c>
      <c r="M46" s="46">
        <f t="shared" si="0"/>
        <v>11.637059519757095</v>
      </c>
      <c r="N46" s="46">
        <f t="shared" si="5"/>
        <v>43</v>
      </c>
      <c r="O46" s="50">
        <f t="shared" si="1"/>
        <v>39.7633704662762</v>
      </c>
      <c r="P46" s="50">
        <f t="shared" si="2"/>
        <v>51.305467275722613</v>
      </c>
      <c r="Q46" s="50">
        <f t="shared" si="3"/>
        <v>51.400429986033295</v>
      </c>
    </row>
    <row r="47" spans="1:17">
      <c r="A47" s="4"/>
      <c r="B47" s="46" t="str">
        <f t="shared" si="31"/>
        <v>Z</v>
      </c>
      <c r="C47" s="79"/>
      <c r="D47" s="46">
        <f>I47/$H$46</f>
        <v>-0.54285742670350456</v>
      </c>
      <c r="E47" s="46">
        <f>H47/$H$46</f>
        <v>0.39779582354330378</v>
      </c>
      <c r="F47" s="46">
        <f>G47/$H$46</f>
        <v>1.0150773908695214</v>
      </c>
      <c r="G47" s="46">
        <f t="array" ref="G47:I47">LINEST($F$31:$F$33,$G34:$I36,FALSE)</f>
        <v>16.009341450932119</v>
      </c>
      <c r="H47" s="46">
        <v>6.2738557908419574</v>
      </c>
      <c r="I47" s="46">
        <v>-8.5617017790398986</v>
      </c>
      <c r="J47" s="97"/>
      <c r="K47" s="53" t="str">
        <f t="shared" si="30"/>
        <v>-0.5428574,0.3977958,1.015077,</v>
      </c>
      <c r="M47" s="46">
        <f t="shared" si="0"/>
        <v>13.8553200930834</v>
      </c>
      <c r="N47" s="46">
        <f t="shared" si="5"/>
        <v>44</v>
      </c>
      <c r="O47" s="50">
        <f t="shared" si="1"/>
        <v>37.344624992034653</v>
      </c>
      <c r="P47" s="50">
        <f t="shared" si="2"/>
        <v>51.199945085118053</v>
      </c>
      <c r="Q47" s="50">
        <f t="shared" si="3"/>
        <v>51.049036193106616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0.13447752999752327</v>
      </c>
      <c r="E48" s="46">
        <f>H48/$H$49</f>
        <v>1.0928096997323473</v>
      </c>
      <c r="F48" s="46">
        <f>G48/$H$49</f>
        <v>9.0684045246912925E-2</v>
      </c>
      <c r="G48" s="46">
        <f t="array" ref="G48:I48">LINEST($D37:$D39,$G37:$I39,FALSE)</f>
        <v>0.95033846781241127</v>
      </c>
      <c r="H48" s="46">
        <v>11.452280197982612</v>
      </c>
      <c r="I48" s="46">
        <v>1.409279542670097</v>
      </c>
      <c r="J48" s="97">
        <f>H49</f>
        <v>10.479665582019928</v>
      </c>
      <c r="K48" s="53" t="str">
        <f t="shared" si="30"/>
        <v>0.1344775,1.09281,9.068405E-02,</v>
      </c>
      <c r="M48" s="46">
        <f t="shared" si="0"/>
        <v>16.1685433767204</v>
      </c>
      <c r="N48" s="46">
        <f t="shared" si="5"/>
        <v>45</v>
      </c>
      <c r="O48" s="50">
        <f t="shared" si="1"/>
        <v>34.925879517793092</v>
      </c>
      <c r="P48" s="50">
        <f t="shared" si="2"/>
        <v>51.094422894513492</v>
      </c>
      <c r="Q48" s="50">
        <f t="shared" si="3"/>
        <v>50.697642400179937</v>
      </c>
    </row>
    <row r="49" spans="1:24">
      <c r="A49" s="4"/>
      <c r="B49" s="46" t="str">
        <f t="shared" si="31"/>
        <v>Y</v>
      </c>
      <c r="C49" s="79"/>
      <c r="D49" s="46">
        <f>I49/$H$49</f>
        <v>-0.11001897228440187</v>
      </c>
      <c r="E49" s="46">
        <f>H49/$H$49</f>
        <v>1</v>
      </c>
      <c r="F49" s="46">
        <f>G49/$H$49</f>
        <v>0.62885537996238638</v>
      </c>
      <c r="G49" s="46">
        <f t="array" ref="G49:I49">LINEST($E37:$E39,$G37:$I39,FALSE)</f>
        <v>6.5901940814598845</v>
      </c>
      <c r="H49" s="46">
        <v>10.479665582019928</v>
      </c>
      <c r="I49" s="46">
        <v>-1.1529620372180507</v>
      </c>
      <c r="J49" s="97"/>
      <c r="K49" s="53" t="str">
        <f t="shared" si="30"/>
        <v>-0.110019,1,0.6288554,</v>
      </c>
      <c r="M49" s="46">
        <f t="shared" si="0"/>
        <v>18.48176666035738</v>
      </c>
      <c r="N49" s="46">
        <f t="shared" si="5"/>
        <v>46</v>
      </c>
      <c r="O49" s="50">
        <f t="shared" si="1"/>
        <v>32.507134043551545</v>
      </c>
      <c r="P49" s="50">
        <f t="shared" si="2"/>
        <v>50.988900703908925</v>
      </c>
      <c r="Q49" s="50">
        <f t="shared" si="3"/>
        <v>50.346248607253258</v>
      </c>
    </row>
    <row r="50" spans="1:24">
      <c r="A50" s="4"/>
      <c r="B50" s="46" t="str">
        <f t="shared" si="31"/>
        <v>Z</v>
      </c>
      <c r="C50" s="79"/>
      <c r="D50" s="46">
        <f>I50/$H$49</f>
        <v>-0.87997853349571353</v>
      </c>
      <c r="E50" s="46">
        <f>H50/$H$49</f>
        <v>0.15773240519557569</v>
      </c>
      <c r="F50" s="46">
        <f>G50/$H$49</f>
        <v>2.2209421047182434</v>
      </c>
      <c r="G50" s="46">
        <f t="array" ref="G50:I50">LINEST($F$31:$F$33,$G37:$I39,FALSE)</f>
        <v>23.274730534474674</v>
      </c>
      <c r="H50" s="46">
        <v>1.6529828578972958</v>
      </c>
      <c r="I50" s="46">
        <v>-9.2218807503913993</v>
      </c>
      <c r="J50" s="97"/>
      <c r="K50" s="54" t="str">
        <f t="shared" si="30"/>
        <v>-0.8799785,0.1577324,2.220942,</v>
      </c>
      <c r="M50" s="46">
        <f t="shared" si="0"/>
        <v>20.794989943994381</v>
      </c>
      <c r="N50" s="46">
        <f t="shared" si="5"/>
        <v>47</v>
      </c>
      <c r="O50" s="50">
        <f t="shared" si="1"/>
        <v>30.088388569309984</v>
      </c>
      <c r="P50" s="50">
        <f t="shared" si="2"/>
        <v>50.883378513304365</v>
      </c>
      <c r="Q50" s="50">
        <f t="shared" si="3"/>
        <v>49.994854814326587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0.19027920967438136</v>
      </c>
      <c r="E51" s="46">
        <f t="shared" ref="E51:F51" si="32">(E42+E45+E48)/3</f>
        <v>1.0458462776572082</v>
      </c>
      <c r="F51" s="46">
        <f t="shared" si="32"/>
        <v>-0.25481733575772364</v>
      </c>
      <c r="J51" s="97">
        <f>(J42+J45+J48)/3</f>
        <v>13.763232705573555</v>
      </c>
      <c r="M51" s="46">
        <f t="shared" si="0"/>
        <v>23.108213227631367</v>
      </c>
      <c r="N51" s="46">
        <f t="shared" si="5"/>
        <v>48</v>
      </c>
      <c r="O51" s="50">
        <f t="shared" si="1"/>
        <v>27.669643095068437</v>
      </c>
      <c r="P51" s="50">
        <f t="shared" si="2"/>
        <v>50.777856322699805</v>
      </c>
      <c r="Q51" s="50">
        <f t="shared" si="3"/>
        <v>49.643461021399908</v>
      </c>
    </row>
    <row r="52" spans="1:24">
      <c r="B52" s="46" t="str">
        <f t="shared" si="31"/>
        <v>Y</v>
      </c>
      <c r="C52" s="79"/>
      <c r="D52" s="46">
        <f t="shared" ref="D52:F53" si="33">(D43+D46+D49)/3</f>
        <v>-4.249466201980444E-3</v>
      </c>
      <c r="E52" s="46">
        <f t="shared" si="33"/>
        <v>1</v>
      </c>
      <c r="F52" s="46">
        <f t="shared" si="33"/>
        <v>0.13086849880133697</v>
      </c>
      <c r="J52" s="97"/>
      <c r="M52" s="46">
        <f t="shared" si="0"/>
        <v>25.421436511268361</v>
      </c>
      <c r="N52" s="46">
        <f t="shared" si="5"/>
        <v>49</v>
      </c>
      <c r="O52" s="50">
        <f t="shared" si="1"/>
        <v>25.250897620826876</v>
      </c>
      <c r="P52" s="50">
        <f t="shared" si="2"/>
        <v>50.672334132095237</v>
      </c>
      <c r="Q52" s="50">
        <f t="shared" si="3"/>
        <v>49.292067228473229</v>
      </c>
    </row>
    <row r="53" spans="1:24" ht="15.75" thickBot="1">
      <c r="B53" s="46" t="str">
        <f t="shared" si="31"/>
        <v>Z</v>
      </c>
      <c r="C53" s="79"/>
      <c r="D53" s="46">
        <f t="shared" si="33"/>
        <v>-0.65813613166792417</v>
      </c>
      <c r="E53" s="46">
        <f t="shared" si="33"/>
        <v>0.31819197025648588</v>
      </c>
      <c r="F53" s="46">
        <f t="shared" si="33"/>
        <v>1.4402744279119315</v>
      </c>
      <c r="J53" s="100"/>
      <c r="M53" s="46">
        <f t="shared" si="0"/>
        <v>27.734659794905362</v>
      </c>
      <c r="N53" s="46">
        <f t="shared" si="5"/>
        <v>50</v>
      </c>
      <c r="O53" s="50">
        <f t="shared" si="1"/>
        <v>22.832152146585315</v>
      </c>
      <c r="P53" s="50">
        <f t="shared" si="2"/>
        <v>50.566811941490677</v>
      </c>
      <c r="Q53" s="50">
        <f t="shared" si="3"/>
        <v>48.940673435546557</v>
      </c>
    </row>
    <row r="54" spans="1:24">
      <c r="B54" s="79" t="s">
        <v>14</v>
      </c>
      <c r="C54" s="79"/>
      <c r="D54" s="19">
        <f>I54/$H$55</f>
        <v>0.20300885560485771</v>
      </c>
      <c r="E54" s="20">
        <f>H54/$H$55</f>
        <v>1.045194493364475</v>
      </c>
      <c r="F54" s="21">
        <f>G54/$H$55</f>
        <v>-0.26141701447977483</v>
      </c>
      <c r="G54" s="46">
        <f t="array" ref="G54:I54">LINEST(D$31:D$39,$G$31:$I$39,FALSE)</f>
        <v>-3.4445193947962331</v>
      </c>
      <c r="H54" s="46">
        <v>13.771837731727651</v>
      </c>
      <c r="I54" s="46">
        <v>2.6749136502758923</v>
      </c>
      <c r="J54" s="98">
        <f>H55</f>
        <v>13.176339733092341</v>
      </c>
      <c r="M54" s="46">
        <f t="shared" si="0"/>
        <v>30.047883078542341</v>
      </c>
      <c r="N54" s="46">
        <f t="shared" si="5"/>
        <v>51</v>
      </c>
      <c r="O54" s="50">
        <f t="shared" si="1"/>
        <v>20.413406672343768</v>
      </c>
      <c r="P54" s="50">
        <f t="shared" si="2"/>
        <v>50.46128975088611</v>
      </c>
      <c r="Q54" s="50">
        <f t="shared" si="3"/>
        <v>48.589279642619871</v>
      </c>
    </row>
    <row r="55" spans="1:24" ht="15" customHeight="1">
      <c r="B55" s="79"/>
      <c r="C55" s="79"/>
      <c r="D55" s="22">
        <f>I55/$H$55</f>
        <v>1.1088097738421447E-2</v>
      </c>
      <c r="E55" s="18">
        <f>H55/$H$55</f>
        <v>1</v>
      </c>
      <c r="F55" s="23">
        <f>G55/$H$55</f>
        <v>0.11681157886916482</v>
      </c>
      <c r="G55" s="46">
        <f t="array" ref="G55:I55">LINEST(E$31:E$39,$G$31:$I$39,FALSE)</f>
        <v>1.5391490479390262</v>
      </c>
      <c r="H55" s="46">
        <v>13.176339733092341</v>
      </c>
      <c r="I55" s="46">
        <v>0.14610054279517384</v>
      </c>
      <c r="J55" s="98"/>
      <c r="M55" s="46">
        <f t="shared" si="0"/>
        <v>32.361106362179342</v>
      </c>
      <c r="N55" s="46">
        <f t="shared" si="5"/>
        <v>52</v>
      </c>
      <c r="O55" s="50">
        <f t="shared" si="1"/>
        <v>17.994661198102207</v>
      </c>
      <c r="P55" s="50">
        <f t="shared" si="2"/>
        <v>50.355767560281549</v>
      </c>
      <c r="Q55" s="50">
        <f t="shared" si="3"/>
        <v>48.2378858496932</v>
      </c>
    </row>
    <row r="56" spans="1:24" ht="15" customHeight="1" thickBot="1">
      <c r="B56" s="79"/>
      <c r="C56" s="79"/>
      <c r="D56" s="24">
        <f>I56/$H$55</f>
        <v>-0.64133717911903698</v>
      </c>
      <c r="E56" s="25">
        <f>H56/$H$55</f>
        <v>0.32122316357459257</v>
      </c>
      <c r="F56" s="26">
        <f>G56/$H$55</f>
        <v>1.4065992753123973</v>
      </c>
      <c r="G56" s="46">
        <f t="array" ref="G56:I56">LINEST(F$31:F$39,$G$31:$I$39,FALSE)</f>
        <v>18.533829919837633</v>
      </c>
      <c r="H56" s="46">
        <v>4.2325455333975244</v>
      </c>
      <c r="I56" s="46">
        <v>-8.450476555535527</v>
      </c>
      <c r="J56" s="98"/>
      <c r="M56" s="46">
        <f t="shared" si="0"/>
        <v>34.674329645816343</v>
      </c>
      <c r="N56" s="46">
        <f t="shared" si="5"/>
        <v>53</v>
      </c>
      <c r="O56" s="50">
        <f t="shared" si="1"/>
        <v>15.575915723860646</v>
      </c>
      <c r="P56" s="50">
        <f t="shared" si="2"/>
        <v>50.250245369676989</v>
      </c>
      <c r="Q56" s="50">
        <f t="shared" si="3"/>
        <v>47.886492056766521</v>
      </c>
    </row>
    <row r="57" spans="1:24">
      <c r="M57" s="46">
        <f t="shared" si="0"/>
        <v>36.987552929453322</v>
      </c>
      <c r="N57" s="46">
        <f t="shared" si="5"/>
        <v>54</v>
      </c>
      <c r="O57" s="50">
        <f t="shared" si="1"/>
        <v>13.157170249619099</v>
      </c>
      <c r="P57" s="50">
        <f t="shared" si="2"/>
        <v>50.144723179072422</v>
      </c>
      <c r="Q57" s="50">
        <f t="shared" si="3"/>
        <v>47.535098263839842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39.300776213090309</v>
      </c>
      <c r="N58" s="46">
        <f t="shared" si="5"/>
        <v>55</v>
      </c>
      <c r="O58" s="50">
        <f t="shared" si="1"/>
        <v>10.738424775377553</v>
      </c>
      <c r="P58" s="50">
        <f t="shared" si="2"/>
        <v>50.039200988467861</v>
      </c>
      <c r="Q58" s="50">
        <f t="shared" si="3"/>
        <v>47.18370447091317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41.613999496727317</v>
      </c>
      <c r="N59" s="46">
        <f t="shared" si="5"/>
        <v>56</v>
      </c>
      <c r="O59" s="50">
        <f t="shared" si="1"/>
        <v>8.3196793011359773</v>
      </c>
      <c r="P59" s="50">
        <f t="shared" si="2"/>
        <v>49.933678797863294</v>
      </c>
      <c r="Q59" s="50">
        <f t="shared" si="3"/>
        <v>46.832310677986484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521.25</v>
      </c>
      <c r="E60" s="32">
        <f t="shared" ref="E60:E68" si="37">getCCTfromXY(D22/SUM(D22:F22),E22/SUM(D22:F22))</f>
        <v>2877</v>
      </c>
      <c r="F60" s="31">
        <f t="shared" ref="F60:F68" si="38">V60</f>
        <v>537.98251038995306</v>
      </c>
      <c r="G60" s="32">
        <f t="shared" ref="G60:G68" si="39">getCCTfromXY(U60/X60,V60/X60)</f>
        <v>3000</v>
      </c>
      <c r="H60" s="33">
        <f>F60/D60-1</f>
        <v>3.2100739357224128E-2</v>
      </c>
      <c r="I60" s="34">
        <f t="shared" ref="I60:I68" si="40">G60/E60-1</f>
        <v>4.2752867570385877E-2</v>
      </c>
      <c r="M60" s="46">
        <f t="shared" si="0"/>
        <v>43.927222780364303</v>
      </c>
      <c r="N60" s="46">
        <f t="shared" si="5"/>
        <v>57</v>
      </c>
      <c r="O60" s="50">
        <f t="shared" si="1"/>
        <v>5.9009338268944305</v>
      </c>
      <c r="P60" s="50">
        <f t="shared" si="2"/>
        <v>49.828156607258734</v>
      </c>
      <c r="Q60" s="50">
        <f t="shared" si="3"/>
        <v>46.480916885059813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573.24196227185257</v>
      </c>
      <c r="V60" s="50">
        <f>$J$54*$J$31*($D$55*G22+$E$55*H22+$F$55*I22)</f>
        <v>537.98251038995306</v>
      </c>
      <c r="W60" s="50">
        <f>$J$54*$J$31*($D$56*G22+$E$56*H22+$F$56*I22)</f>
        <v>182.52146737135089</v>
      </c>
      <c r="X60" s="29">
        <f>SUM(U60:W60)</f>
        <v>1293.7459400331563</v>
      </c>
    </row>
    <row r="61" spans="1:24">
      <c r="A61" s="87"/>
      <c r="B61" s="48" t="str">
        <f t="shared" si="35"/>
        <v>CWF</v>
      </c>
      <c r="C61" s="93"/>
      <c r="D61" s="31">
        <f t="shared" si="36"/>
        <v>1218</v>
      </c>
      <c r="E61" s="32">
        <f t="shared" si="37"/>
        <v>3859</v>
      </c>
      <c r="F61" s="31">
        <f t="shared" si="38"/>
        <v>1156.1720406676347</v>
      </c>
      <c r="G61" s="32">
        <f t="shared" si="39"/>
        <v>3768</v>
      </c>
      <c r="H61" s="33">
        <f t="shared" ref="H61:H68" si="41">F61/D61-1</f>
        <v>-5.0761871373042111E-2</v>
      </c>
      <c r="I61" s="34">
        <f t="shared" si="40"/>
        <v>-2.3581238662865989E-2</v>
      </c>
      <c r="M61" s="46">
        <f t="shared" si="0"/>
        <v>46.24044606400129</v>
      </c>
      <c r="N61" s="46">
        <f t="shared" si="5"/>
        <v>58</v>
      </c>
      <c r="O61" s="50">
        <f t="shared" si="1"/>
        <v>3.4821883526528836</v>
      </c>
      <c r="P61" s="50">
        <f t="shared" si="2"/>
        <v>49.722634416654174</v>
      </c>
      <c r="Q61" s="50">
        <f t="shared" si="3"/>
        <v>46.129523092133134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1154.3033992714238</v>
      </c>
      <c r="V61" s="50">
        <f>$J$54*$J$31*($D$55*G23+$E$55*H23+$F$55*I23)</f>
        <v>1156.1720406676347</v>
      </c>
      <c r="W61" s="50">
        <f>$J$54*$J$31*($D$56*G23+$E$56*H23+$F$56*I23)</f>
        <v>599.60015246773401</v>
      </c>
      <c r="X61" s="29">
        <f t="shared" ref="X61:X68" si="43">SUM(U61:W61)</f>
        <v>2910.0755924067926</v>
      </c>
    </row>
    <row r="62" spans="1:24">
      <c r="A62" s="87"/>
      <c r="B62" s="48" t="str">
        <f t="shared" si="35"/>
        <v>D65</v>
      </c>
      <c r="C62" s="93"/>
      <c r="D62" s="31">
        <f t="shared" si="36"/>
        <v>580.35</v>
      </c>
      <c r="E62" s="32">
        <f t="shared" si="37"/>
        <v>6334</v>
      </c>
      <c r="F62" s="31">
        <f t="shared" si="38"/>
        <v>581.5411598896826</v>
      </c>
      <c r="G62" s="32">
        <f t="shared" si="39"/>
        <v>6299</v>
      </c>
      <c r="H62" s="33">
        <f t="shared" si="41"/>
        <v>2.0524853789654074E-3</v>
      </c>
      <c r="I62" s="34">
        <f t="shared" si="40"/>
        <v>-5.5257341332490828E-3</v>
      </c>
      <c r="M62" s="46">
        <f t="shared" si="0"/>
        <v>48.553669347638298</v>
      </c>
      <c r="N62" s="46">
        <f t="shared" si="5"/>
        <v>59</v>
      </c>
      <c r="O62" s="50">
        <f t="shared" si="1"/>
        <v>1.0634428784113084</v>
      </c>
      <c r="P62" s="50">
        <f t="shared" si="2"/>
        <v>49.617112226049606</v>
      </c>
      <c r="Q62" s="50">
        <f t="shared" si="3"/>
        <v>45.778129299206455</v>
      </c>
      <c r="R62" s="78"/>
      <c r="S62" s="46" t="str">
        <f t="shared" si="42"/>
        <v>D65</v>
      </c>
      <c r="T62" s="79"/>
      <c r="U62" s="50">
        <f>$J$54*$J$31*($D$54*G24+$E$54*H24+$F$54*I24)</f>
        <v>514.96427858304344</v>
      </c>
      <c r="V62" s="50">
        <f>$J$54*$J$31*($D$55*G24+$E$55*H24+$F$55*I24)</f>
        <v>581.5411598896826</v>
      </c>
      <c r="W62" s="50">
        <f>$J$54*$J$31*($D$56*G24+$E$56*H24+$F$56*I24)</f>
        <v>533.54914178351885</v>
      </c>
      <c r="X62" s="29">
        <f t="shared" si="43"/>
        <v>1630.0545802562447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521.25</v>
      </c>
      <c r="E63" s="32">
        <f t="shared" si="37"/>
        <v>2877</v>
      </c>
      <c r="F63" s="31">
        <f t="shared" si="38"/>
        <v>546.52505684353298</v>
      </c>
      <c r="G63" s="32">
        <f t="shared" si="39"/>
        <v>3167</v>
      </c>
      <c r="H63" s="33">
        <f t="shared" si="41"/>
        <v>4.8489317685435074E-2</v>
      </c>
      <c r="I63" s="34">
        <f t="shared" si="40"/>
        <v>0.10079944386513739</v>
      </c>
      <c r="M63" s="46">
        <f t="shared" si="0"/>
        <v>50.866892631275284</v>
      </c>
      <c r="N63" s="46">
        <f t="shared" si="5"/>
        <v>60</v>
      </c>
      <c r="O63" s="50">
        <f t="shared" si="1"/>
        <v>-1.3553025958302385</v>
      </c>
      <c r="P63" s="50">
        <f t="shared" si="2"/>
        <v>49.511590035445046</v>
      </c>
      <c r="Q63" s="50">
        <f t="shared" si="3"/>
        <v>45.426735506279783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574.16506716927768</v>
      </c>
      <c r="V63" s="50">
        <f>$J$54*$J$34*($D$55*G25+$E$55*H25+$F$55*I25)</f>
        <v>546.52505684353298</v>
      </c>
      <c r="W63" s="50">
        <f>$J$54*$J$34*($D$56*G25+$E$56*H25+$F$56*I25)</f>
        <v>212.82571518108861</v>
      </c>
      <c r="X63" s="29">
        <f t="shared" si="43"/>
        <v>1333.5158391938992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1218</v>
      </c>
      <c r="E64" s="32">
        <f t="shared" si="37"/>
        <v>3859</v>
      </c>
      <c r="F64" s="31">
        <f t="shared" si="38"/>
        <v>1143.0755352756175</v>
      </c>
      <c r="G64" s="32">
        <f t="shared" si="39"/>
        <v>3849</v>
      </c>
      <c r="H64" s="33">
        <f t="shared" si="41"/>
        <v>-6.151433885417279E-2</v>
      </c>
      <c r="I64" s="34">
        <f t="shared" si="40"/>
        <v>-2.5913449080072759E-3</v>
      </c>
      <c r="M64" s="46">
        <f t="shared" si="0"/>
        <v>53.180115914912264</v>
      </c>
      <c r="N64" s="46">
        <f t="shared" si="5"/>
        <v>61</v>
      </c>
      <c r="O64" s="50">
        <f t="shared" si="1"/>
        <v>-3.7740480700717853</v>
      </c>
      <c r="P64" s="50">
        <f t="shared" si="2"/>
        <v>49.406067844840479</v>
      </c>
      <c r="Q64" s="50">
        <f t="shared" si="3"/>
        <v>45.075341713353104</v>
      </c>
      <c r="R64" s="78"/>
      <c r="S64" s="46" t="str">
        <f t="shared" si="42"/>
        <v>CWF</v>
      </c>
      <c r="T64" s="79"/>
      <c r="U64" s="50">
        <f>$J$54*$J$34*($D$54*G26+$E$54*H26+$F$54*I26)</f>
        <v>1135.4755508218188</v>
      </c>
      <c r="V64" s="50">
        <f>$J$54*$J$34*($D$55*G26+$E$55*H26+$F$55*I26)</f>
        <v>1143.0755352756175</v>
      </c>
      <c r="W64" s="50">
        <f>$J$54*$J$34*($D$56*G26+$E$56*H26+$F$56*I26)</f>
        <v>613.43037390803227</v>
      </c>
      <c r="X64" s="29">
        <f t="shared" si="43"/>
        <v>2891.9814600054688</v>
      </c>
    </row>
    <row r="65" spans="1:24">
      <c r="A65" s="87"/>
      <c r="B65" s="48" t="str">
        <f t="shared" si="35"/>
        <v>D65</v>
      </c>
      <c r="C65" s="93"/>
      <c r="D65" s="31">
        <f t="shared" si="36"/>
        <v>580.35</v>
      </c>
      <c r="E65" s="32">
        <f t="shared" si="37"/>
        <v>6334</v>
      </c>
      <c r="F65" s="31">
        <f t="shared" si="38"/>
        <v>590.46092556869689</v>
      </c>
      <c r="G65" s="32">
        <f t="shared" si="39"/>
        <v>6289</v>
      </c>
      <c r="H65" s="33">
        <f t="shared" si="41"/>
        <v>1.7422116944424637E-2</v>
      </c>
      <c r="I65" s="34">
        <f t="shared" si="40"/>
        <v>-7.1045153141774398E-3</v>
      </c>
      <c r="M65" s="46">
        <f t="shared" si="0"/>
        <v>55.493339198549251</v>
      </c>
      <c r="N65" s="46">
        <f t="shared" si="5"/>
        <v>62</v>
      </c>
      <c r="O65" s="50">
        <f t="shared" si="1"/>
        <v>-6.1927935443133322</v>
      </c>
      <c r="P65" s="50">
        <f t="shared" si="2"/>
        <v>49.300545654235918</v>
      </c>
      <c r="Q65" s="50">
        <f t="shared" si="3"/>
        <v>44.723947920426426</v>
      </c>
      <c r="R65" s="78"/>
      <c r="S65" s="46" t="str">
        <f t="shared" si="42"/>
        <v>D65</v>
      </c>
      <c r="T65" s="79"/>
      <c r="U65" s="50">
        <f>$J$54*$J$34*($D$54*G27+$E$54*H27+$F$54*I27)</f>
        <v>523.06014037880061</v>
      </c>
      <c r="V65" s="50">
        <f>$J$54*$J$34*($D$55*G27+$E$55*H27+$F$55*I27)</f>
        <v>590.46092556869689</v>
      </c>
      <c r="W65" s="50">
        <f>$J$54*$J$34*($D$56*G27+$E$56*H27+$F$56*I27)</f>
        <v>541.11596999459812</v>
      </c>
      <c r="X65" s="29">
        <f t="shared" si="43"/>
        <v>1654.6370359420955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521.25</v>
      </c>
      <c r="E66" s="32">
        <f t="shared" si="37"/>
        <v>2877</v>
      </c>
      <c r="F66" s="31">
        <f t="shared" si="38"/>
        <v>514.70414285021445</v>
      </c>
      <c r="G66" s="32">
        <f t="shared" si="39"/>
        <v>2623</v>
      </c>
      <c r="H66" s="33">
        <f t="shared" si="41"/>
        <v>-1.2557999328125735E-2</v>
      </c>
      <c r="I66" s="34">
        <f t="shared" si="40"/>
        <v>-8.8286409454292669E-2</v>
      </c>
      <c r="M66" s="46">
        <f t="shared" si="0"/>
        <v>57.806562482186266</v>
      </c>
      <c r="N66" s="46">
        <f t="shared" si="5"/>
        <v>63</v>
      </c>
      <c r="O66" s="50">
        <f t="shared" si="1"/>
        <v>-8.6115390185549074</v>
      </c>
      <c r="P66" s="50">
        <f t="shared" si="2"/>
        <v>49.195023463631358</v>
      </c>
      <c r="Q66" s="50">
        <f t="shared" si="3"/>
        <v>44.372554127499754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569.26752163304957</v>
      </c>
      <c r="V66" s="50">
        <f>$J$54*$J$37*($D$55*G28+$E$55*H28+$F$55*I28)</f>
        <v>514.70414285021445</v>
      </c>
      <c r="W66" s="50">
        <f>$J$54*$J$37*($D$56*G28+$E$56*H28+$F$56*I28)</f>
        <v>105.76191091367276</v>
      </c>
      <c r="X66" s="29">
        <f t="shared" si="43"/>
        <v>1189.7335753969369</v>
      </c>
    </row>
    <row r="67" spans="1:24">
      <c r="A67" s="87"/>
      <c r="B67" s="48" t="str">
        <f t="shared" si="35"/>
        <v>CWF</v>
      </c>
      <c r="C67" s="93"/>
      <c r="D67" s="31">
        <f t="shared" si="36"/>
        <v>1218</v>
      </c>
      <c r="E67" s="32">
        <f t="shared" si="37"/>
        <v>3859</v>
      </c>
      <c r="F67" s="31">
        <f t="shared" si="38"/>
        <v>1324.0812957383957</v>
      </c>
      <c r="G67" s="32">
        <f t="shared" si="39"/>
        <v>3941</v>
      </c>
      <c r="H67" s="33">
        <f t="shared" si="41"/>
        <v>8.7094659883740322E-2</v>
      </c>
      <c r="I67" s="34">
        <f t="shared" si="40"/>
        <v>2.124902824565944E-2</v>
      </c>
      <c r="R67" s="78"/>
      <c r="S67" s="46" t="str">
        <f t="shared" si="42"/>
        <v>CWF</v>
      </c>
      <c r="T67" s="79"/>
      <c r="U67" s="50">
        <f>$J$54*$J$37*($D$54*G29+$E$54*H29+$F$54*I29)</f>
        <v>1306.172959831265</v>
      </c>
      <c r="V67" s="50">
        <f>$J$54*$J$37*($D$55*G29+$E$55*H29+$F$55*I29)</f>
        <v>1324.0812957383957</v>
      </c>
      <c r="W67" s="50">
        <f>$J$54*$J$37*($D$56*G29+$E$56*H29+$F$56*I29)</f>
        <v>732.48294034416483</v>
      </c>
      <c r="X67" s="29">
        <f t="shared" si="43"/>
        <v>3362.7371959138259</v>
      </c>
    </row>
    <row r="68" spans="1:24">
      <c r="A68" s="87"/>
      <c r="B68" s="48" t="str">
        <f t="shared" si="35"/>
        <v>D65</v>
      </c>
      <c r="C68" s="93"/>
      <c r="D68" s="31">
        <f t="shared" si="36"/>
        <v>580.35</v>
      </c>
      <c r="E68" s="32">
        <f t="shared" si="37"/>
        <v>6334</v>
      </c>
      <c r="F68" s="31">
        <f t="shared" si="38"/>
        <v>563.59860292944575</v>
      </c>
      <c r="G68" s="32">
        <f t="shared" si="39"/>
        <v>6172</v>
      </c>
      <c r="H68" s="33">
        <f t="shared" si="41"/>
        <v>-2.8864300974505541E-2</v>
      </c>
      <c r="I68" s="34">
        <f t="shared" si="40"/>
        <v>-2.5576255131038783E-2</v>
      </c>
      <c r="R68" s="78"/>
      <c r="S68" s="46" t="str">
        <f t="shared" si="42"/>
        <v>D65</v>
      </c>
      <c r="T68" s="79"/>
      <c r="U68" s="50">
        <f>$J$54*$J$37*($D$54*G30+$E$54*H30+$F$54*I30)</f>
        <v>501.26645470757609</v>
      </c>
      <c r="V68" s="50">
        <f>$J$54*$J$37*($D$55*G30+$E$55*H30+$F$55*I30)</f>
        <v>563.59860292944575</v>
      </c>
      <c r="W68" s="50">
        <f>$J$54*$J$37*($D$56*G30+$E$56*H30+$F$56*I30)</f>
        <v>508.45853631475205</v>
      </c>
      <c r="X68" s="29">
        <f t="shared" si="43"/>
        <v>1573.323593951774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8.7094659883740322E-2</v>
      </c>
      <c r="G69" s="47"/>
      <c r="H69" s="36" t="str">
        <f>I59</f>
        <v>CCT</v>
      </c>
      <c r="I69" s="38">
        <f>MAX(MAX(I60:I68,-MIN(I60:I68)))</f>
        <v>0.10079944386513739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521.25</v>
      </c>
      <c r="E72" s="31">
        <f t="shared" ref="E72:E80" si="47">E60</f>
        <v>2877</v>
      </c>
      <c r="F72" s="31">
        <f t="shared" ref="F72:F80" si="48">V72</f>
        <v>550.49683387166624</v>
      </c>
      <c r="G72" s="32">
        <f t="shared" ref="G72:G80" si="49">getCCTfromXY(U72/X72,V72/X72)</f>
        <v>3007</v>
      </c>
      <c r="H72" s="33">
        <f>F72/D72-1</f>
        <v>5.6109033806553965E-2</v>
      </c>
      <c r="I72" s="34">
        <f t="shared" ref="I72:I80" si="50">G72/E72-1</f>
        <v>4.5185957594716664E-2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586.38093469956755</v>
      </c>
      <c r="V72" s="50">
        <f>$J$51*$J$31*($D$52*G22+$E$52*H22+$F$52*I22)</f>
        <v>550.49683387166624</v>
      </c>
      <c r="W72" s="50">
        <f>$J$51*$J$31*($D$53*G22+$E$53*H22+$F$53*I22)</f>
        <v>188.22446393539582</v>
      </c>
      <c r="X72" s="29">
        <f>SUM(U72:W72)</f>
        <v>1325.1022325066297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1218</v>
      </c>
      <c r="E73" s="31">
        <f t="shared" si="47"/>
        <v>3859</v>
      </c>
      <c r="F73" s="31">
        <f t="shared" si="48"/>
        <v>1201.8277491914887</v>
      </c>
      <c r="G73" s="32">
        <f t="shared" si="49"/>
        <v>3786</v>
      </c>
      <c r="H73" s="33">
        <f t="shared" ref="H73:H80" si="52">F73/D73-1</f>
        <v>-1.3277710023408273E-2</v>
      </c>
      <c r="I73" s="34">
        <f t="shared" si="50"/>
        <v>-1.8916817828453003E-2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1198.4498756755706</v>
      </c>
      <c r="V73" s="50">
        <f t="shared" ref="V73:V74" si="55">$J$51*$J$31*($D$52*G23+$E$52*H23+$F$52*I23)</f>
        <v>1201.8277491914887</v>
      </c>
      <c r="W73" s="50">
        <f t="shared" ref="W73:W74" si="56">$J$51*$J$31*($D$53*G23+$E$53*H23+$F$53*I23)</f>
        <v>627.87153859911973</v>
      </c>
      <c r="X73" s="29">
        <f t="shared" ref="X73:X80" si="57">SUM(U73:W73)</f>
        <v>3028.1491634661788</v>
      </c>
    </row>
    <row r="74" spans="1:24">
      <c r="A74" s="87"/>
      <c r="B74" s="48" t="str">
        <f t="shared" si="46"/>
        <v>X</v>
      </c>
      <c r="C74" s="93"/>
      <c r="D74" s="31">
        <f t="shared" si="51"/>
        <v>580.35</v>
      </c>
      <c r="E74" s="31">
        <f t="shared" si="47"/>
        <v>6334</v>
      </c>
      <c r="F74" s="31">
        <f t="shared" si="48"/>
        <v>607.55174288137846</v>
      </c>
      <c r="G74" s="32">
        <f t="shared" si="49"/>
        <v>6398</v>
      </c>
      <c r="H74" s="33">
        <f t="shared" si="52"/>
        <v>4.6871272303572686E-2</v>
      </c>
      <c r="I74" s="34">
        <f t="shared" si="50"/>
        <v>1.0104199557941174E-2</v>
      </c>
      <c r="R74" s="78"/>
      <c r="S74" s="46" t="str">
        <f t="shared" si="53"/>
        <v>D65</v>
      </c>
      <c r="T74" s="79"/>
      <c r="U74" s="50">
        <f t="shared" si="54"/>
        <v>536.01971846685149</v>
      </c>
      <c r="V74" s="50">
        <f t="shared" si="55"/>
        <v>607.55174288137846</v>
      </c>
      <c r="W74" s="50">
        <f t="shared" si="56"/>
        <v>564.17043273364516</v>
      </c>
      <c r="X74" s="29">
        <f t="shared" si="57"/>
        <v>1707.7418940818752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521.25</v>
      </c>
      <c r="E75" s="31">
        <f t="shared" si="47"/>
        <v>2877</v>
      </c>
      <c r="F75" s="31">
        <f t="shared" si="48"/>
        <v>559.95665422585864</v>
      </c>
      <c r="G75" s="32">
        <f t="shared" si="49"/>
        <v>3180</v>
      </c>
      <c r="H75" s="33">
        <f t="shared" si="52"/>
        <v>7.4257370217474694E-2</v>
      </c>
      <c r="I75" s="34">
        <f t="shared" si="50"/>
        <v>0.10531803962460895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587.75557393420786</v>
      </c>
      <c r="V75" s="50">
        <f>$J$51*$J$34*($D$52*G25+$E$52*H25+$F$52*I25)</f>
        <v>559.95665422585864</v>
      </c>
      <c r="W75" s="50">
        <f>$J$51*$J$34*($D$53*G25+$E$53*H25+$F$53*I25)</f>
        <v>220.58736274416694</v>
      </c>
      <c r="X75" s="29">
        <f t="shared" si="57"/>
        <v>1368.2995909042334</v>
      </c>
    </row>
    <row r="76" spans="1:24">
      <c r="A76" s="87"/>
      <c r="B76" s="48" t="str">
        <f t="shared" si="46"/>
        <v>Z</v>
      </c>
      <c r="C76" s="93"/>
      <c r="D76" s="31">
        <f t="shared" si="51"/>
        <v>1218</v>
      </c>
      <c r="E76" s="31">
        <f t="shared" si="47"/>
        <v>3859</v>
      </c>
      <c r="F76" s="31">
        <f t="shared" si="48"/>
        <v>1188.4147860911687</v>
      </c>
      <c r="G76" s="32">
        <f t="shared" si="49"/>
        <v>3869</v>
      </c>
      <c r="H76" s="33">
        <f t="shared" si="52"/>
        <v>-2.4289994999040498E-2</v>
      </c>
      <c r="I76" s="34">
        <f t="shared" si="50"/>
        <v>2.5913449080072759E-3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1178.9456867260435</v>
      </c>
      <c r="V76" s="50">
        <f t="shared" ref="V76:V77" si="59">$J$51*$J$34*($D$52*G26+$E$52*H26+$F$52*I26)</f>
        <v>1188.4147860911687</v>
      </c>
      <c r="W76" s="50">
        <f t="shared" ref="W76:W77" si="60">$J$51*$J$34*($D$53*G26+$E$53*H26+$F$53*I26)</f>
        <v>642.83373755200489</v>
      </c>
      <c r="X76" s="29">
        <f t="shared" si="57"/>
        <v>3010.1942103692172</v>
      </c>
    </row>
    <row r="77" spans="1:24">
      <c r="A77" s="87"/>
      <c r="B77" s="48" t="str">
        <f t="shared" si="46"/>
        <v>X</v>
      </c>
      <c r="C77" s="93"/>
      <c r="D77" s="31">
        <f t="shared" si="51"/>
        <v>580.35</v>
      </c>
      <c r="E77" s="31">
        <f t="shared" si="47"/>
        <v>6334</v>
      </c>
      <c r="F77" s="31">
        <f t="shared" si="48"/>
        <v>616.84315660264167</v>
      </c>
      <c r="G77" s="32">
        <f t="shared" si="49"/>
        <v>6388</v>
      </c>
      <c r="H77" s="33">
        <f t="shared" si="52"/>
        <v>6.2881289915812211E-2</v>
      </c>
      <c r="I77" s="34">
        <f t="shared" si="50"/>
        <v>8.5254183770129277E-3</v>
      </c>
      <c r="R77" s="78"/>
      <c r="S77" s="46" t="str">
        <f t="shared" si="53"/>
        <v>D65</v>
      </c>
      <c r="T77" s="79"/>
      <c r="U77" s="50">
        <f t="shared" si="58"/>
        <v>544.42130707333649</v>
      </c>
      <c r="V77" s="50">
        <f t="shared" si="59"/>
        <v>616.84315660264167</v>
      </c>
      <c r="W77" s="50">
        <f t="shared" si="60"/>
        <v>572.16169879455958</v>
      </c>
      <c r="X77" s="29">
        <f t="shared" si="57"/>
        <v>1733.4261624705377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521.25</v>
      </c>
      <c r="E78" s="31">
        <f t="shared" si="47"/>
        <v>2877</v>
      </c>
      <c r="F78" s="31">
        <f t="shared" si="48"/>
        <v>524.63665760409503</v>
      </c>
      <c r="G78" s="32">
        <f t="shared" si="49"/>
        <v>2614</v>
      </c>
      <c r="H78" s="33">
        <f t="shared" si="52"/>
        <v>6.4971848519808084E-3</v>
      </c>
      <c r="I78" s="34">
        <f t="shared" si="50"/>
        <v>-9.1414668057003823E-2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580.97965811756433</v>
      </c>
      <c r="V78" s="50">
        <f>$J$51*$J$37*($D$52*G28+$E$52*H28+$F$52*I28)</f>
        <v>524.63665760409503</v>
      </c>
      <c r="W78" s="50">
        <f>$J$51*$J$37*($D$53*G28+$E$53*H28+$F$53*I28)</f>
        <v>106.25316829415654</v>
      </c>
      <c r="X78" s="29">
        <f t="shared" si="57"/>
        <v>1211.8694840158157</v>
      </c>
    </row>
    <row r="79" spans="1:24">
      <c r="A79" s="87"/>
      <c r="B79" s="48" t="str">
        <f t="shared" si="46"/>
        <v>Z</v>
      </c>
      <c r="C79" s="93"/>
      <c r="D79" s="31">
        <f t="shared" si="51"/>
        <v>1218</v>
      </c>
      <c r="E79" s="31">
        <f t="shared" si="47"/>
        <v>3859</v>
      </c>
      <c r="F79" s="31">
        <f t="shared" si="48"/>
        <v>1379.3422237884129</v>
      </c>
      <c r="G79" s="32">
        <f t="shared" si="49"/>
        <v>3960</v>
      </c>
      <c r="H79" s="33">
        <f t="shared" si="52"/>
        <v>0.132464879957646</v>
      </c>
      <c r="I79" s="34">
        <f t="shared" si="50"/>
        <v>2.6172583570873265E-2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1359.0099457404729</v>
      </c>
      <c r="V79" s="50">
        <f t="shared" ref="V79:V80" si="62">$J$51*$J$37*($D$52*G29+$E$52*H29+$F$52*I29)</f>
        <v>1379.3422237884129</v>
      </c>
      <c r="W79" s="50">
        <f t="shared" ref="W79:W80" si="63">$J$51*$J$37*($D$53*G29+$E$53*H29+$F$53*I29)</f>
        <v>768.29919488806786</v>
      </c>
      <c r="X79" s="29">
        <f t="shared" si="57"/>
        <v>3506.6513644169536</v>
      </c>
    </row>
    <row r="80" spans="1:24">
      <c r="A80" s="87"/>
      <c r="B80" s="48" t="str">
        <f t="shared" si="46"/>
        <v>X</v>
      </c>
      <c r="C80" s="93"/>
      <c r="D80" s="31">
        <f t="shared" si="51"/>
        <v>580.35</v>
      </c>
      <c r="E80" s="31">
        <f t="shared" si="47"/>
        <v>6334</v>
      </c>
      <c r="F80" s="31">
        <f t="shared" si="48"/>
        <v>588.90560335411067</v>
      </c>
      <c r="G80" s="32">
        <f t="shared" si="49"/>
        <v>6264</v>
      </c>
      <c r="H80" s="33">
        <f t="shared" si="52"/>
        <v>1.4742144144241687E-2</v>
      </c>
      <c r="I80" s="34">
        <f t="shared" si="50"/>
        <v>-1.1051468266498277E-2</v>
      </c>
      <c r="R80" s="78"/>
      <c r="S80" s="46" t="str">
        <f t="shared" si="53"/>
        <v>D65</v>
      </c>
      <c r="T80" s="79"/>
      <c r="U80" s="50">
        <f t="shared" si="61"/>
        <v>521.93918594822503</v>
      </c>
      <c r="V80" s="50">
        <f t="shared" si="62"/>
        <v>588.90560335411067</v>
      </c>
      <c r="W80" s="50">
        <f t="shared" si="63"/>
        <v>537.54285883385455</v>
      </c>
      <c r="X80" s="29">
        <f t="shared" si="57"/>
        <v>1648.3876481361904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0.132464879957646</v>
      </c>
      <c r="G81" s="47"/>
      <c r="H81" s="36" t="str">
        <f>I71</f>
        <v>CCT</v>
      </c>
      <c r="I81" s="38">
        <f>MAX(MAX(I72:I80,-MIN(I72:I80)))</f>
        <v>0.10531803962460895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521.25</v>
      </c>
      <c r="E84" s="31">
        <f t="shared" ref="E84:E92" si="67">E72</f>
        <v>2877</v>
      </c>
      <c r="F84" s="31">
        <f t="shared" ref="F84:F92" si="68">V84</f>
        <v>521.25</v>
      </c>
      <c r="G84" s="32">
        <f t="shared" ref="G84:G92" si="69">getCCTfromXY(U84/X84,V84/X84)</f>
        <v>2877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561.89999999999986</v>
      </c>
      <c r="V84" s="50">
        <f>$J$42*$J$31*($D$43*G22+$E$43*H22+$F$43*I22)</f>
        <v>521.25</v>
      </c>
      <c r="W84" s="50">
        <f>$J$42*$J$31*($D$44*G22+$E$44*H22+$F$44*I22)</f>
        <v>156.44999999999999</v>
      </c>
      <c r="X84" s="29">
        <f>SUM(U84:W84)</f>
        <v>1239.5999999999999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1218</v>
      </c>
      <c r="E85" s="31">
        <f t="shared" si="67"/>
        <v>3859</v>
      </c>
      <c r="F85" s="31">
        <f t="shared" si="68"/>
        <v>1217.9999999999998</v>
      </c>
      <c r="G85" s="32">
        <f t="shared" si="69"/>
        <v>3859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1208.4999999999998</v>
      </c>
      <c r="V85" s="50">
        <f t="shared" ref="V85:V86" si="75">$J$42*$J$31*($D$43*G23+$E$43*H23+$F$43*I23)</f>
        <v>1217.9999999999998</v>
      </c>
      <c r="W85" s="50">
        <f t="shared" ref="W85:W86" si="76">$J$42*$J$31*($D$44*G23+$E$44*H23+$F$44*I23)</f>
        <v>654.50000000000023</v>
      </c>
      <c r="X85" s="29">
        <f t="shared" ref="X85:X92" si="77">SUM(U85:W85)</f>
        <v>3081</v>
      </c>
    </row>
    <row r="86" spans="1:24">
      <c r="A86" s="87"/>
      <c r="B86" s="48">
        <f t="shared" si="66"/>
        <v>0</v>
      </c>
      <c r="C86" s="93"/>
      <c r="D86" s="31">
        <f t="shared" si="71"/>
        <v>580.35</v>
      </c>
      <c r="E86" s="31">
        <f t="shared" si="67"/>
        <v>6334</v>
      </c>
      <c r="F86" s="31">
        <f t="shared" si="68"/>
        <v>580.35</v>
      </c>
      <c r="G86" s="32">
        <f t="shared" si="69"/>
        <v>6334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513.14999999999986</v>
      </c>
      <c r="V86" s="50">
        <f t="shared" si="75"/>
        <v>580.35</v>
      </c>
      <c r="W86" s="50">
        <f t="shared" si="76"/>
        <v>534.6500000000002</v>
      </c>
      <c r="X86" s="29">
        <f t="shared" si="77"/>
        <v>1628.15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521.25</v>
      </c>
      <c r="E87" s="31">
        <f t="shared" si="67"/>
        <v>2877</v>
      </c>
      <c r="F87" s="31">
        <f t="shared" si="68"/>
        <v>521.24999999999989</v>
      </c>
      <c r="G87" s="32">
        <f t="shared" si="69"/>
        <v>2877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561.9000000000002</v>
      </c>
      <c r="V87" s="50">
        <f>$J$45*$J$34*($D$46*G25+$E$46*H25+$F$46*I25)</f>
        <v>521.24999999999989</v>
      </c>
      <c r="W87" s="50">
        <f>$J$45*$J$34*($D$47*G25+$E$47*H25+$F$47*I25)</f>
        <v>156.44999999999965</v>
      </c>
      <c r="X87" s="29">
        <f t="shared" si="77"/>
        <v>1239.5999999999997</v>
      </c>
    </row>
    <row r="88" spans="1:24">
      <c r="A88" s="87"/>
      <c r="B88" s="48">
        <f t="shared" si="66"/>
        <v>0</v>
      </c>
      <c r="C88" s="93"/>
      <c r="D88" s="31">
        <f t="shared" si="71"/>
        <v>1218</v>
      </c>
      <c r="E88" s="31">
        <f t="shared" si="67"/>
        <v>3859</v>
      </c>
      <c r="F88" s="31">
        <f t="shared" si="68"/>
        <v>1218.0000000000002</v>
      </c>
      <c r="G88" s="32">
        <f t="shared" si="69"/>
        <v>3859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1208.5</v>
      </c>
      <c r="V88" s="50">
        <f t="shared" ref="V88:V89" si="79">$J$45*$J$34*($D$46*G26+$E$46*H26+$F$46*I26)</f>
        <v>1218.0000000000002</v>
      </c>
      <c r="W88" s="50">
        <f t="shared" ref="W88:W89" si="80">$J$45*$J$34*($D$47*G26+$E$47*H26+$F$47*I26)</f>
        <v>654.50000000000011</v>
      </c>
      <c r="X88" s="29">
        <f t="shared" si="77"/>
        <v>3081</v>
      </c>
    </row>
    <row r="89" spans="1:24">
      <c r="A89" s="87"/>
      <c r="B89" s="48" t="str">
        <f t="shared" si="66"/>
        <v>A</v>
      </c>
      <c r="C89" s="93"/>
      <c r="D89" s="31">
        <f t="shared" si="71"/>
        <v>580.35</v>
      </c>
      <c r="E89" s="31">
        <f t="shared" si="67"/>
        <v>6334</v>
      </c>
      <c r="F89" s="31">
        <f t="shared" si="68"/>
        <v>580.35</v>
      </c>
      <c r="G89" s="32">
        <f t="shared" si="69"/>
        <v>6334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513.14999999999986</v>
      </c>
      <c r="V89" s="50">
        <f t="shared" si="79"/>
        <v>580.35</v>
      </c>
      <c r="W89" s="50">
        <f t="shared" si="80"/>
        <v>534.65000000000009</v>
      </c>
      <c r="X89" s="29">
        <f t="shared" si="77"/>
        <v>1628.15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521.25</v>
      </c>
      <c r="E90" s="31">
        <f t="shared" si="67"/>
        <v>2877</v>
      </c>
      <c r="F90" s="31">
        <f t="shared" si="68"/>
        <v>521.25000000000034</v>
      </c>
      <c r="G90" s="32">
        <f t="shared" si="69"/>
        <v>2877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561.90000000000032</v>
      </c>
      <c r="V90" s="50">
        <f>$J$48*$J$37*($D$49*G28+$E$49*H28+$F$49*I28)</f>
        <v>521.25000000000034</v>
      </c>
      <c r="W90" s="50">
        <f>$J$48*$J$37*($D$50*G28+$E$50*H28+$F$50*I28)</f>
        <v>156.45000000000027</v>
      </c>
      <c r="X90" s="29">
        <f t="shared" si="77"/>
        <v>1239.6000000000008</v>
      </c>
    </row>
    <row r="91" spans="1:24">
      <c r="A91" s="87"/>
      <c r="B91" s="48" t="str">
        <f t="shared" si="66"/>
        <v>D65</v>
      </c>
      <c r="C91" s="93"/>
      <c r="D91" s="31">
        <f t="shared" si="71"/>
        <v>1218</v>
      </c>
      <c r="E91" s="31">
        <f t="shared" si="67"/>
        <v>3859</v>
      </c>
      <c r="F91" s="31">
        <f t="shared" si="68"/>
        <v>1218.0000000000002</v>
      </c>
      <c r="G91" s="32">
        <f t="shared" si="69"/>
        <v>3859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1208.5</v>
      </c>
      <c r="V91" s="50">
        <f t="shared" ref="V91:V92" si="82">$J$48*$J$37*($D$49*G29+$E$49*H29+$F$49*I29)</f>
        <v>1218.0000000000002</v>
      </c>
      <c r="W91" s="50">
        <f t="shared" ref="W91:W92" si="83">$J$48*$J$37*($D$50*G29+$E$50*H29+$F$50*I29)</f>
        <v>654.5</v>
      </c>
      <c r="X91" s="29">
        <f t="shared" si="77"/>
        <v>3081</v>
      </c>
    </row>
    <row r="92" spans="1:24">
      <c r="A92" s="87"/>
      <c r="B92" s="48" t="str">
        <f t="shared" si="66"/>
        <v>A</v>
      </c>
      <c r="C92" s="93"/>
      <c r="D92" s="31">
        <f t="shared" si="71"/>
        <v>580.35</v>
      </c>
      <c r="E92" s="31">
        <f t="shared" si="67"/>
        <v>6334</v>
      </c>
      <c r="F92" s="31">
        <f t="shared" si="68"/>
        <v>580.35000000000014</v>
      </c>
      <c r="G92" s="32">
        <f t="shared" si="69"/>
        <v>6334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513.15000000000009</v>
      </c>
      <c r="V92" s="50">
        <f t="shared" si="82"/>
        <v>580.35000000000014</v>
      </c>
      <c r="W92" s="50">
        <f t="shared" si="83"/>
        <v>534.65000000000009</v>
      </c>
      <c r="X92" s="29">
        <f t="shared" si="77"/>
        <v>1628.1500000000003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80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9"/>
  <dimension ref="A2:X93"/>
  <sheetViews>
    <sheetView workbookViewId="0"/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2.3126581559045647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89.953618857991643</v>
      </c>
      <c r="N3" s="46">
        <v>0</v>
      </c>
      <c r="O3" s="50">
        <f>G$5-N3*G$7</f>
        <v>138.19393710216175</v>
      </c>
      <c r="P3" s="50">
        <f>H$5-N3*H$7</f>
        <v>48.240318244170105</v>
      </c>
      <c r="Q3" s="50">
        <f>I$5-N3*I$7</f>
        <v>60.320308631312272</v>
      </c>
    </row>
    <row r="4" spans="1:17">
      <c r="C4" s="46" t="s">
        <v>20</v>
      </c>
      <c r="D4" s="7">
        <v>528.9</v>
      </c>
      <c r="E4" s="7">
        <v>1215</v>
      </c>
      <c r="F4" s="7">
        <v>578.9</v>
      </c>
      <c r="G4" s="50">
        <f>AVERAGE(D4:F4)</f>
        <v>774.26666666666677</v>
      </c>
      <c r="H4" s="50">
        <f>G4</f>
        <v>774.26666666666677</v>
      </c>
      <c r="I4" s="50">
        <f>H4</f>
        <v>774.26666666666677</v>
      </c>
      <c r="K4" s="13" t="str">
        <f>linefmt("Compensation",B12)</f>
        <v>"Compensation",42,</v>
      </c>
      <c r="M4" s="46">
        <f t="shared" si="0"/>
        <v>87.841834623766886</v>
      </c>
      <c r="N4" s="46">
        <f>N3+1</f>
        <v>1</v>
      </c>
      <c r="O4" s="50">
        <f t="shared" ref="O4:O66" si="1">G$5-N4*G$7</f>
        <v>135.99487643208084</v>
      </c>
      <c r="P4" s="50">
        <f t="shared" ref="P4:P66" si="2">H$5-N4*H$7</f>
        <v>48.153041808313958</v>
      </c>
      <c r="Q4" s="50">
        <f t="shared" ref="Q4:Q66" si="3">I$5-N4*I$7</f>
        <v>60.000476666140948</v>
      </c>
    </row>
    <row r="5" spans="1:17">
      <c r="C5" s="46">
        <v>0</v>
      </c>
      <c r="D5" s="9">
        <v>94.4</v>
      </c>
      <c r="E5" s="9">
        <v>75.7</v>
      </c>
      <c r="F5" s="9">
        <v>45.1</v>
      </c>
      <c r="G5" s="50">
        <f>G$4/D$4*D5</f>
        <v>138.19393710216175</v>
      </c>
      <c r="H5" s="50">
        <f t="shared" ref="H5:I6" si="4">H$4/E$4*E5</f>
        <v>48.240318244170105</v>
      </c>
      <c r="I5" s="50">
        <f t="shared" si="4"/>
        <v>60.320308631312272</v>
      </c>
      <c r="K5" s="14" t="str">
        <f>linefmt("CardGain",J54)</f>
        <v>"CardGain",17.79173,</v>
      </c>
      <c r="M5" s="46">
        <f t="shared" si="0"/>
        <v>85.730050389542129</v>
      </c>
      <c r="N5" s="46">
        <f t="shared" ref="N5:N66" si="5">N4+1</f>
        <v>2</v>
      </c>
      <c r="O5" s="50">
        <f t="shared" si="1"/>
        <v>133.79581576199993</v>
      </c>
      <c r="P5" s="50">
        <f t="shared" si="2"/>
        <v>48.065765372457811</v>
      </c>
      <c r="Q5" s="50">
        <f t="shared" si="3"/>
        <v>59.680644700969616</v>
      </c>
    </row>
    <row r="6" spans="1:17">
      <c r="B6" s="50">
        <f>D5/4</f>
        <v>23.6</v>
      </c>
      <c r="C6" s="7">
        <v>46</v>
      </c>
      <c r="D6" s="9">
        <v>25.3</v>
      </c>
      <c r="E6" s="9">
        <v>69.400000000000006</v>
      </c>
      <c r="F6" s="9">
        <v>34.1</v>
      </c>
      <c r="G6" s="50">
        <f>G$4/D$4*D6</f>
        <v>37.037146278439536</v>
      </c>
      <c r="H6" s="50">
        <f t="shared" si="4"/>
        <v>44.225602194787392</v>
      </c>
      <c r="I6" s="50">
        <f t="shared" si="4"/>
        <v>45.60803823343123</v>
      </c>
      <c r="K6" s="14" t="str">
        <f>linefmt("Range",1,J34,J37)</f>
        <v>"Range",1,0.8720594,1.124534,</v>
      </c>
      <c r="M6" s="46">
        <f t="shared" si="0"/>
        <v>83.618266155317329</v>
      </c>
      <c r="N6" s="46">
        <f t="shared" si="5"/>
        <v>3</v>
      </c>
      <c r="O6" s="50">
        <f t="shared" si="1"/>
        <v>131.59675509191899</v>
      </c>
      <c r="P6" s="50">
        <f t="shared" si="2"/>
        <v>47.978488936601664</v>
      </c>
      <c r="Q6" s="50">
        <f t="shared" si="3"/>
        <v>59.360812735798291</v>
      </c>
    </row>
    <row r="7" spans="1:17">
      <c r="C7" s="46">
        <f>C5</f>
        <v>0</v>
      </c>
      <c r="D7" s="46">
        <f t="shared" ref="D7:F8" si="6">D$4/D5</f>
        <v>5.6027542372881349</v>
      </c>
      <c r="E7" s="46">
        <f t="shared" si="6"/>
        <v>16.050198150594451</v>
      </c>
      <c r="F7" s="46">
        <f t="shared" si="6"/>
        <v>12.83592017738359</v>
      </c>
      <c r="G7" s="49">
        <f>(G5-G6)/($C6-$C5)</f>
        <v>2.1990606700809177</v>
      </c>
      <c r="H7" s="49">
        <f t="shared" ref="H7:I7" si="7">(H5-H6)/($C6-$C5)</f>
        <v>8.7276435856145931E-2</v>
      </c>
      <c r="I7" s="49">
        <f t="shared" si="7"/>
        <v>0.319831965171327</v>
      </c>
      <c r="K7" s="14" t="str">
        <f>linefmt("CCM" )</f>
        <v>"CCM",</v>
      </c>
      <c r="M7" s="46">
        <f t="shared" si="0"/>
        <v>81.506481921092558</v>
      </c>
      <c r="N7" s="46">
        <f t="shared" si="5"/>
        <v>4</v>
      </c>
      <c r="O7" s="50">
        <f t="shared" si="1"/>
        <v>129.39769442183808</v>
      </c>
      <c r="P7" s="50">
        <f t="shared" si="2"/>
        <v>47.891212500745524</v>
      </c>
      <c r="Q7" s="50">
        <f t="shared" si="3"/>
        <v>59.040980770626966</v>
      </c>
    </row>
    <row r="8" spans="1:17">
      <c r="C8" s="46">
        <f>C6</f>
        <v>46</v>
      </c>
      <c r="D8" s="46">
        <f t="shared" si="6"/>
        <v>20.905138339920946</v>
      </c>
      <c r="E8" s="46">
        <f t="shared" si="6"/>
        <v>17.507204610951007</v>
      </c>
      <c r="F8" s="46">
        <f t="shared" si="6"/>
        <v>16.976539589442815</v>
      </c>
      <c r="K8" s="15" t="str">
        <f>linefmt("",D54,E54,F54)</f>
        <v>0.213106,1.005004,-0.4027005,</v>
      </c>
      <c r="M8" s="46">
        <f t="shared" si="0"/>
        <v>79.394697686867801</v>
      </c>
      <c r="N8" s="46">
        <f t="shared" si="5"/>
        <v>5</v>
      </c>
      <c r="O8" s="50">
        <f t="shared" si="1"/>
        <v>127.19863375175717</v>
      </c>
      <c r="P8" s="50">
        <f t="shared" si="2"/>
        <v>47.803936064889378</v>
      </c>
      <c r="Q8" s="50">
        <f t="shared" si="3"/>
        <v>58.721148805455634</v>
      </c>
    </row>
    <row r="9" spans="1:17">
      <c r="C9" s="46" t="s">
        <v>23</v>
      </c>
      <c r="D9" s="46">
        <f>(D8-D7)/($C8-$C7)</f>
        <v>0.33266052397027851</v>
      </c>
      <c r="E9" s="46">
        <f>(E8-E7)/($C8-$C7)</f>
        <v>3.1674053486012092E-2</v>
      </c>
      <c r="F9" s="46">
        <f>(F8-F7)/($C8-$C7)</f>
        <v>9.0013465479548374E-2</v>
      </c>
      <c r="K9" s="15" t="str">
        <f>linefmt("",D55,E55,F55)</f>
        <v>0.0502218,1,-0.126914,</v>
      </c>
      <c r="M9" s="46">
        <f t="shared" si="0"/>
        <v>77.282913452643015</v>
      </c>
      <c r="N9" s="46">
        <f t="shared" si="5"/>
        <v>6</v>
      </c>
      <c r="O9" s="50">
        <f t="shared" si="1"/>
        <v>124.99957308167625</v>
      </c>
      <c r="P9" s="50">
        <f t="shared" si="2"/>
        <v>47.716659629033231</v>
      </c>
      <c r="Q9" s="50">
        <f t="shared" si="3"/>
        <v>58.401316840284309</v>
      </c>
    </row>
    <row r="10" spans="1:17">
      <c r="K10" s="16" t="str">
        <f>linefmt("",D56,E56,F56)</f>
        <v>-0.5279332,0.4539962,0.9365962,</v>
      </c>
      <c r="M10" s="46">
        <f t="shared" si="0"/>
        <v>75.171129218418258</v>
      </c>
      <c r="N10" s="46">
        <f t="shared" si="5"/>
        <v>7</v>
      </c>
      <c r="O10" s="50">
        <f t="shared" si="1"/>
        <v>122.80051241159534</v>
      </c>
      <c r="P10" s="50">
        <f t="shared" si="2"/>
        <v>47.629383193177084</v>
      </c>
      <c r="Q10" s="50">
        <f t="shared" si="3"/>
        <v>58.081484875112984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73.059344984193473</v>
      </c>
      <c r="N11" s="46">
        <f t="shared" si="5"/>
        <v>8</v>
      </c>
      <c r="O11" s="50">
        <f t="shared" si="1"/>
        <v>120.60145174151441</v>
      </c>
      <c r="P11" s="50">
        <f t="shared" si="2"/>
        <v>47.542106757320937</v>
      </c>
      <c r="Q11" s="50">
        <f t="shared" si="3"/>
        <v>57.76165290994166</v>
      </c>
    </row>
    <row r="12" spans="1:17">
      <c r="A12" s="46" t="s">
        <v>16</v>
      </c>
      <c r="B12" s="10">
        <f>MATCH(M2,M3:M66,0)-1</f>
        <v>42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Compensation=42</v>
      </c>
      <c r="M12" s="46">
        <f t="shared" si="0"/>
        <v>70.947560749968716</v>
      </c>
      <c r="N12" s="46">
        <f t="shared" si="5"/>
        <v>9</v>
      </c>
      <c r="O12" s="50">
        <f t="shared" si="1"/>
        <v>118.4023910714335</v>
      </c>
      <c r="P12" s="50">
        <f t="shared" si="2"/>
        <v>47.45483032146479</v>
      </c>
      <c r="Q12" s="50">
        <f t="shared" si="3"/>
        <v>57.441820944770328</v>
      </c>
    </row>
    <row r="13" spans="1:17">
      <c r="A13" s="78" t="s">
        <v>12</v>
      </c>
      <c r="B13" s="79" t="s">
        <v>0</v>
      </c>
      <c r="C13" s="46">
        <v>0</v>
      </c>
      <c r="D13" s="7">
        <v>553.6</v>
      </c>
      <c r="E13" s="7">
        <v>513.9</v>
      </c>
      <c r="F13" s="7">
        <v>156</v>
      </c>
      <c r="G13" s="8">
        <v>88.5</v>
      </c>
      <c r="H13" s="8">
        <v>30.2</v>
      </c>
      <c r="I13" s="8">
        <v>42.7</v>
      </c>
      <c r="M13" s="46">
        <f t="shared" si="0"/>
        <v>68.83577651574393</v>
      </c>
      <c r="N13" s="46">
        <f t="shared" si="5"/>
        <v>10</v>
      </c>
      <c r="O13" s="50">
        <f t="shared" si="1"/>
        <v>116.20333040135257</v>
      </c>
      <c r="P13" s="50">
        <f t="shared" si="2"/>
        <v>47.367553885608643</v>
      </c>
      <c r="Q13" s="50">
        <f t="shared" si="3"/>
        <v>57.121988979599003</v>
      </c>
    </row>
    <row r="14" spans="1:17">
      <c r="A14" s="78"/>
      <c r="B14" s="79"/>
      <c r="C14" s="46">
        <f>C13+1</f>
        <v>1</v>
      </c>
      <c r="D14" s="7">
        <v>558.9</v>
      </c>
      <c r="E14" s="7">
        <v>518.70000000000005</v>
      </c>
      <c r="F14" s="7">
        <v>155.80000000000001</v>
      </c>
      <c r="G14" s="8">
        <v>99.1</v>
      </c>
      <c r="H14" s="8">
        <v>35.200000000000003</v>
      </c>
      <c r="I14" s="8">
        <v>49.6</v>
      </c>
      <c r="M14" s="46">
        <f t="shared" si="0"/>
        <v>66.723992281519173</v>
      </c>
      <c r="N14" s="46">
        <f t="shared" si="5"/>
        <v>11</v>
      </c>
      <c r="O14" s="50">
        <f t="shared" si="1"/>
        <v>114.00426973127166</v>
      </c>
      <c r="P14" s="50">
        <f t="shared" si="2"/>
        <v>47.280277449752496</v>
      </c>
      <c r="Q14" s="50">
        <f t="shared" si="3"/>
        <v>56.802157014427678</v>
      </c>
    </row>
    <row r="15" spans="1:17">
      <c r="A15" s="78"/>
      <c r="B15" s="79"/>
      <c r="C15" s="46">
        <f>C14+1</f>
        <v>2</v>
      </c>
      <c r="D15" s="6">
        <f>2*(D13-D14)/(D13+D14)</f>
        <v>-9.5280898876403675E-3</v>
      </c>
      <c r="E15" s="6">
        <f t="shared" ref="E15:F15" si="8">2*(E13-E14)/(E13+E14)</f>
        <v>-9.29692039511925E-3</v>
      </c>
      <c r="F15" s="6">
        <f t="shared" si="8"/>
        <v>1.2828736369466878E-3</v>
      </c>
      <c r="G15" s="8">
        <v>73.7</v>
      </c>
      <c r="H15" s="8">
        <v>26.3</v>
      </c>
      <c r="I15" s="8">
        <v>38.9</v>
      </c>
      <c r="M15" s="46">
        <f t="shared" si="0"/>
        <v>64.612208047294388</v>
      </c>
      <c r="N15" s="46">
        <f t="shared" si="5"/>
        <v>12</v>
      </c>
      <c r="O15" s="50">
        <f t="shared" si="1"/>
        <v>111.80520906119074</v>
      </c>
      <c r="P15" s="50">
        <f t="shared" si="2"/>
        <v>47.193001013896357</v>
      </c>
      <c r="Q15" s="50">
        <f t="shared" si="3"/>
        <v>56.482325049256346</v>
      </c>
    </row>
    <row r="16" spans="1:17">
      <c r="A16" s="78"/>
      <c r="B16" s="79" t="s">
        <v>1</v>
      </c>
      <c r="C16" s="46">
        <f>C13</f>
        <v>0</v>
      </c>
      <c r="D16" s="7">
        <v>1201</v>
      </c>
      <c r="E16" s="7">
        <v>1211</v>
      </c>
      <c r="F16" s="7">
        <v>651</v>
      </c>
      <c r="G16" s="8">
        <v>59.6</v>
      </c>
      <c r="H16" s="8">
        <v>69.8</v>
      </c>
      <c r="I16" s="8">
        <v>39.299999999999997</v>
      </c>
      <c r="M16" s="46">
        <f t="shared" si="0"/>
        <v>62.500423813069617</v>
      </c>
      <c r="N16" s="46">
        <f t="shared" si="5"/>
        <v>13</v>
      </c>
      <c r="O16" s="50">
        <f t="shared" si="1"/>
        <v>109.60614839110983</v>
      </c>
      <c r="P16" s="50">
        <f t="shared" si="2"/>
        <v>47.10572457804021</v>
      </c>
      <c r="Q16" s="50">
        <f t="shared" si="3"/>
        <v>56.162493084085021</v>
      </c>
    </row>
    <row r="17" spans="1:21">
      <c r="A17" s="78"/>
      <c r="B17" s="79"/>
      <c r="C17" s="46">
        <f t="shared" ref="C17:C21" si="9">C14</f>
        <v>1</v>
      </c>
      <c r="D17" s="7">
        <v>1202</v>
      </c>
      <c r="E17" s="7">
        <v>1213</v>
      </c>
      <c r="F17" s="7">
        <v>650</v>
      </c>
      <c r="G17" s="8">
        <v>68.2</v>
      </c>
      <c r="H17" s="8">
        <v>79.2</v>
      </c>
      <c r="I17" s="8">
        <v>45.7</v>
      </c>
      <c r="M17" s="46">
        <f t="shared" si="0"/>
        <v>60.388639578844852</v>
      </c>
      <c r="N17" s="46">
        <f t="shared" si="5"/>
        <v>14</v>
      </c>
      <c r="O17" s="50">
        <f t="shared" si="1"/>
        <v>107.40708772102892</v>
      </c>
      <c r="P17" s="50">
        <f t="shared" si="2"/>
        <v>47.018448142184063</v>
      </c>
      <c r="Q17" s="50">
        <f t="shared" si="3"/>
        <v>55.842661118913696</v>
      </c>
    </row>
    <row r="18" spans="1:21">
      <c r="A18" s="78"/>
      <c r="B18" s="79"/>
      <c r="C18" s="46">
        <f t="shared" si="9"/>
        <v>2</v>
      </c>
      <c r="D18" s="6">
        <f>2*(D16-D17)/(D16+D17)</f>
        <v>-8.3229296712442784E-4</v>
      </c>
      <c r="E18" s="6">
        <f t="shared" ref="E18:F18" si="10">2*(E16-E17)/(E16+E17)</f>
        <v>-1.6501650165016502E-3</v>
      </c>
      <c r="F18" s="6">
        <f t="shared" si="10"/>
        <v>1.5372790161414297E-3</v>
      </c>
      <c r="G18" s="8">
        <v>57.6</v>
      </c>
      <c r="H18" s="8">
        <v>63.3</v>
      </c>
      <c r="I18" s="8">
        <v>35.700000000000003</v>
      </c>
      <c r="M18" s="46">
        <f t="shared" si="0"/>
        <v>58.276855344620074</v>
      </c>
      <c r="N18" s="46">
        <f t="shared" si="5"/>
        <v>15</v>
      </c>
      <c r="O18" s="50">
        <f t="shared" si="1"/>
        <v>105.20802705094799</v>
      </c>
      <c r="P18" s="50">
        <f t="shared" si="2"/>
        <v>46.931171706327916</v>
      </c>
      <c r="Q18" s="50">
        <f t="shared" si="3"/>
        <v>55.522829153742364</v>
      </c>
    </row>
    <row r="19" spans="1:21">
      <c r="A19" s="78"/>
      <c r="B19" s="79" t="s">
        <v>2</v>
      </c>
      <c r="C19" s="46">
        <f t="shared" si="9"/>
        <v>0</v>
      </c>
      <c r="D19" s="7">
        <v>512</v>
      </c>
      <c r="E19" s="7">
        <v>579.5</v>
      </c>
      <c r="F19" s="7">
        <v>534.29999999999995</v>
      </c>
      <c r="G19" s="8">
        <v>27.2</v>
      </c>
      <c r="H19" s="8">
        <v>35.1</v>
      </c>
      <c r="I19" s="8">
        <v>30.2</v>
      </c>
      <c r="M19" s="46">
        <f t="shared" si="0"/>
        <v>56.165071110395296</v>
      </c>
      <c r="N19" s="46">
        <f t="shared" si="5"/>
        <v>16</v>
      </c>
      <c r="O19" s="50">
        <f t="shared" si="1"/>
        <v>103.00896638086707</v>
      </c>
      <c r="P19" s="50">
        <f t="shared" si="2"/>
        <v>46.843895270471769</v>
      </c>
      <c r="Q19" s="50">
        <f t="shared" si="3"/>
        <v>55.20299718857104</v>
      </c>
    </row>
    <row r="20" spans="1:21">
      <c r="A20" s="78"/>
      <c r="B20" s="79"/>
      <c r="C20" s="46">
        <f t="shared" si="9"/>
        <v>1</v>
      </c>
      <c r="D20" s="7">
        <v>513.1</v>
      </c>
      <c r="E20" s="7">
        <v>580.20000000000005</v>
      </c>
      <c r="F20" s="7">
        <v>534.4</v>
      </c>
      <c r="G20" s="8">
        <v>31.8</v>
      </c>
      <c r="H20" s="8">
        <v>40.799999999999997</v>
      </c>
      <c r="I20" s="8">
        <v>35</v>
      </c>
      <c r="M20" s="46">
        <f t="shared" si="0"/>
        <v>54.053286876170532</v>
      </c>
      <c r="N20" s="46">
        <f t="shared" si="5"/>
        <v>17</v>
      </c>
      <c r="O20" s="50">
        <f t="shared" si="1"/>
        <v>100.80990571078615</v>
      </c>
      <c r="P20" s="50">
        <f t="shared" si="2"/>
        <v>46.756618834615622</v>
      </c>
      <c r="Q20" s="50">
        <f t="shared" si="3"/>
        <v>54.883165223399715</v>
      </c>
    </row>
    <row r="21" spans="1:21">
      <c r="A21" s="78"/>
      <c r="B21" s="79"/>
      <c r="C21" s="46">
        <f t="shared" si="9"/>
        <v>2</v>
      </c>
      <c r="D21" s="6">
        <f>2*(D19-D20)/(D19+D20)</f>
        <v>-2.1461320846747106E-3</v>
      </c>
      <c r="E21" s="6">
        <f t="shared" ref="E21:F21" si="11">2*(E19-E20)/(E19+E20)</f>
        <v>-1.2072087608865146E-3</v>
      </c>
      <c r="F21" s="6">
        <f t="shared" si="11"/>
        <v>-1.8714325816416723E-4</v>
      </c>
      <c r="G21" s="8">
        <v>23.3</v>
      </c>
      <c r="H21" s="8">
        <v>31</v>
      </c>
      <c r="I21" s="8">
        <v>26</v>
      </c>
      <c r="M21" s="46">
        <f t="shared" si="0"/>
        <v>51.941502641945767</v>
      </c>
      <c r="N21" s="46">
        <f t="shared" si="5"/>
        <v>18</v>
      </c>
      <c r="O21" s="50">
        <f t="shared" si="1"/>
        <v>98.610845040705243</v>
      </c>
      <c r="P21" s="50">
        <f t="shared" si="2"/>
        <v>46.669342398759476</v>
      </c>
      <c r="Q21" s="50">
        <f t="shared" si="3"/>
        <v>54.563333258228383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556.25</v>
      </c>
      <c r="E22" s="46">
        <f t="shared" ref="E22:F22" si="12">(E13+E14)/2</f>
        <v>516.29999999999995</v>
      </c>
      <c r="F22" s="46">
        <f t="shared" si="12"/>
        <v>155.9</v>
      </c>
      <c r="G22" s="5">
        <f>G13</f>
        <v>88.5</v>
      </c>
      <c r="H22" s="5">
        <f t="shared" ref="H22:I22" si="13">H13</f>
        <v>30.2</v>
      </c>
      <c r="I22" s="5">
        <f t="shared" si="13"/>
        <v>42.7</v>
      </c>
      <c r="J22" s="99">
        <f>AVERAGE(G22:I24)</f>
        <v>46.955555555555556</v>
      </c>
      <c r="M22" s="46">
        <f t="shared" si="0"/>
        <v>49.829718407720989</v>
      </c>
      <c r="N22" s="46">
        <f t="shared" si="5"/>
        <v>19</v>
      </c>
      <c r="O22" s="50">
        <f t="shared" si="1"/>
        <v>96.411784370624318</v>
      </c>
      <c r="P22" s="50">
        <f t="shared" si="2"/>
        <v>46.582065962903329</v>
      </c>
      <c r="Q22" s="50">
        <f t="shared" si="3"/>
        <v>54.243501293057058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1201.5</v>
      </c>
      <c r="E23" s="46">
        <f>(E16+E17)/2</f>
        <v>1212</v>
      </c>
      <c r="F23" s="46">
        <f>(F16+F17)/2</f>
        <v>650.5</v>
      </c>
      <c r="G23" s="5">
        <f>G16</f>
        <v>59.6</v>
      </c>
      <c r="H23" s="5">
        <f>H16</f>
        <v>69.8</v>
      </c>
      <c r="I23" s="5">
        <f>I16</f>
        <v>39.299999999999997</v>
      </c>
      <c r="J23" s="99"/>
      <c r="M23" s="46">
        <f t="shared" si="0"/>
        <v>47.717934173496204</v>
      </c>
      <c r="N23" s="46">
        <f t="shared" si="5"/>
        <v>20</v>
      </c>
      <c r="O23" s="50">
        <f t="shared" si="1"/>
        <v>94.212723700543393</v>
      </c>
      <c r="P23" s="50">
        <f t="shared" si="2"/>
        <v>46.494789527047189</v>
      </c>
      <c r="Q23" s="50">
        <f t="shared" si="3"/>
        <v>53.923669327885733</v>
      </c>
    </row>
    <row r="24" spans="1:21">
      <c r="A24" s="78"/>
      <c r="B24" s="46" t="str">
        <f>B19</f>
        <v>D65</v>
      </c>
      <c r="C24" s="79"/>
      <c r="D24" s="46">
        <f>(D19+D20)/2</f>
        <v>512.54999999999995</v>
      </c>
      <c r="E24" s="46">
        <f>(E19+E20)/2</f>
        <v>579.85</v>
      </c>
      <c r="F24" s="46">
        <f>(F19+F20)/2</f>
        <v>534.34999999999991</v>
      </c>
      <c r="G24" s="5">
        <f>G19</f>
        <v>27.2</v>
      </c>
      <c r="H24" s="5">
        <f>H19</f>
        <v>35.1</v>
      </c>
      <c r="I24" s="5">
        <f>I19</f>
        <v>30.2</v>
      </c>
      <c r="J24" s="99"/>
      <c r="M24" s="46">
        <f t="shared" si="0"/>
        <v>45.60614993927144</v>
      </c>
      <c r="N24" s="46">
        <f t="shared" si="5"/>
        <v>21</v>
      </c>
      <c r="O24" s="50">
        <f t="shared" si="1"/>
        <v>92.013663030462482</v>
      </c>
      <c r="P24" s="50">
        <f t="shared" si="2"/>
        <v>46.407513091191042</v>
      </c>
      <c r="Q24" s="50">
        <f t="shared" si="3"/>
        <v>53.603837362714408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556.25</v>
      </c>
      <c r="E25" s="46">
        <f t="shared" ref="E25:F25" si="15">(E13+E14)/2</f>
        <v>516.29999999999995</v>
      </c>
      <c r="F25" s="46">
        <f t="shared" si="15"/>
        <v>155.9</v>
      </c>
      <c r="G25" s="5">
        <f t="shared" ref="G25:I25" si="16">G14</f>
        <v>99.1</v>
      </c>
      <c r="H25" s="5">
        <f t="shared" si="16"/>
        <v>35.200000000000003</v>
      </c>
      <c r="I25" s="5">
        <f t="shared" si="16"/>
        <v>49.6</v>
      </c>
      <c r="J25" s="99">
        <f>AVERAGE(G25:I27)</f>
        <v>53.844444444444449</v>
      </c>
      <c r="M25" s="46">
        <f t="shared" si="0"/>
        <v>43.494365705046675</v>
      </c>
      <c r="N25" s="46">
        <f t="shared" si="5"/>
        <v>22</v>
      </c>
      <c r="O25" s="50">
        <f t="shared" si="1"/>
        <v>89.814602360381571</v>
      </c>
      <c r="P25" s="50">
        <f t="shared" si="2"/>
        <v>46.320236655334895</v>
      </c>
      <c r="Q25" s="50">
        <f t="shared" si="3"/>
        <v>53.284005397543076</v>
      </c>
    </row>
    <row r="26" spans="1:21">
      <c r="A26" s="78"/>
      <c r="B26" s="46" t="str">
        <f>B16</f>
        <v>CWF</v>
      </c>
      <c r="C26" s="79"/>
      <c r="D26" s="46">
        <f>(D16+D17)/2</f>
        <v>1201.5</v>
      </c>
      <c r="E26" s="46">
        <f>(E16+E17)/2</f>
        <v>1212</v>
      </c>
      <c r="F26" s="46">
        <f>(F16+F17)/2</f>
        <v>650.5</v>
      </c>
      <c r="G26" s="5">
        <f>G17</f>
        <v>68.2</v>
      </c>
      <c r="H26" s="5">
        <f>H17</f>
        <v>79.2</v>
      </c>
      <c r="I26" s="5">
        <f>I17</f>
        <v>45.7</v>
      </c>
      <c r="J26" s="99"/>
      <c r="M26" s="46">
        <f t="shared" si="0"/>
        <v>41.382581470821897</v>
      </c>
      <c r="N26" s="46">
        <f t="shared" si="5"/>
        <v>23</v>
      </c>
      <c r="O26" s="50">
        <f t="shared" si="1"/>
        <v>87.615541690300645</v>
      </c>
      <c r="P26" s="50">
        <f t="shared" si="2"/>
        <v>46.232960219478748</v>
      </c>
      <c r="Q26" s="50">
        <f t="shared" si="3"/>
        <v>52.964173432371751</v>
      </c>
    </row>
    <row r="27" spans="1:21">
      <c r="A27" s="78"/>
      <c r="B27" s="46" t="str">
        <f>B19</f>
        <v>D65</v>
      </c>
      <c r="C27" s="79"/>
      <c r="D27" s="46">
        <f>(D19+D20)/2</f>
        <v>512.54999999999995</v>
      </c>
      <c r="E27" s="46">
        <f>(E19+E20)/2</f>
        <v>579.85</v>
      </c>
      <c r="F27" s="46">
        <f>(F19+F20)/2</f>
        <v>534.34999999999991</v>
      </c>
      <c r="G27" s="5">
        <f>G20</f>
        <v>31.8</v>
      </c>
      <c r="H27" s="5">
        <f>H20</f>
        <v>40.799999999999997</v>
      </c>
      <c r="I27" s="5">
        <f>I20</f>
        <v>35</v>
      </c>
      <c r="J27" s="99"/>
      <c r="M27" s="46">
        <f t="shared" si="0"/>
        <v>39.270797236597133</v>
      </c>
      <c r="N27" s="46">
        <f t="shared" si="5"/>
        <v>24</v>
      </c>
      <c r="O27" s="50">
        <f t="shared" si="1"/>
        <v>85.416481020219734</v>
      </c>
      <c r="P27" s="50">
        <f t="shared" si="2"/>
        <v>46.145683783622601</v>
      </c>
      <c r="Q27" s="50">
        <f t="shared" si="3"/>
        <v>52.644341467200427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556.25</v>
      </c>
      <c r="E28" s="46">
        <f t="shared" ref="E28:F28" si="17">(E13+E14)/2</f>
        <v>516.29999999999995</v>
      </c>
      <c r="F28" s="46">
        <f t="shared" si="17"/>
        <v>155.9</v>
      </c>
      <c r="G28" s="5">
        <f t="shared" ref="G28:I28" si="18">G15</f>
        <v>73.7</v>
      </c>
      <c r="H28" s="5">
        <f t="shared" si="18"/>
        <v>26.3</v>
      </c>
      <c r="I28" s="5">
        <f t="shared" si="18"/>
        <v>38.9</v>
      </c>
      <c r="J28" s="99">
        <f>AVERAGE(G28:I30)</f>
        <v>41.75555555555556</v>
      </c>
      <c r="M28" s="46">
        <f t="shared" si="0"/>
        <v>37.159013002372355</v>
      </c>
      <c r="N28" s="46">
        <f t="shared" si="5"/>
        <v>25</v>
      </c>
      <c r="O28" s="50">
        <f t="shared" si="1"/>
        <v>83.217420350138809</v>
      </c>
      <c r="P28" s="50">
        <f t="shared" si="2"/>
        <v>46.058407347766455</v>
      </c>
      <c r="Q28" s="50">
        <f t="shared" si="3"/>
        <v>52.324509502029095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1201.5</v>
      </c>
      <c r="E29" s="46">
        <f t="shared" si="20"/>
        <v>1212</v>
      </c>
      <c r="F29" s="46">
        <f t="shared" si="20"/>
        <v>650.5</v>
      </c>
      <c r="G29" s="5">
        <f t="shared" ref="G29:I29" si="21">G18</f>
        <v>57.6</v>
      </c>
      <c r="H29" s="5">
        <f t="shared" si="21"/>
        <v>63.3</v>
      </c>
      <c r="I29" s="5">
        <f t="shared" si="21"/>
        <v>35.700000000000003</v>
      </c>
      <c r="J29" s="99"/>
      <c r="M29" s="46">
        <f t="shared" si="0"/>
        <v>35.04722876814759</v>
      </c>
      <c r="N29" s="46">
        <f t="shared" si="5"/>
        <v>26</v>
      </c>
      <c r="O29" s="50">
        <f t="shared" si="1"/>
        <v>81.018359680057898</v>
      </c>
      <c r="P29" s="50">
        <f t="shared" si="2"/>
        <v>45.971130911910308</v>
      </c>
      <c r="Q29" s="50">
        <f t="shared" si="3"/>
        <v>52.00467753685777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512.54999999999995</v>
      </c>
      <c r="E30" s="46">
        <f t="shared" si="23"/>
        <v>579.85</v>
      </c>
      <c r="F30" s="46">
        <f t="shared" si="23"/>
        <v>534.34999999999991</v>
      </c>
      <c r="G30" s="5">
        <f t="shared" ref="G30:I30" si="24">G21</f>
        <v>23.3</v>
      </c>
      <c r="H30" s="5">
        <f t="shared" si="24"/>
        <v>31</v>
      </c>
      <c r="I30" s="5">
        <f t="shared" si="24"/>
        <v>26</v>
      </c>
      <c r="J30" s="99"/>
      <c r="M30" s="46">
        <f t="shared" si="0"/>
        <v>32.935444533922819</v>
      </c>
      <c r="N30" s="46">
        <f t="shared" si="5"/>
        <v>27</v>
      </c>
      <c r="O30" s="50">
        <f t="shared" si="1"/>
        <v>78.819299009976987</v>
      </c>
      <c r="P30" s="50">
        <f t="shared" si="2"/>
        <v>45.883854476054168</v>
      </c>
      <c r="Q30" s="50">
        <f t="shared" si="3"/>
        <v>51.684845571686445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556.25</v>
      </c>
      <c r="E31" s="46">
        <f t="shared" si="25"/>
        <v>516.29999999999995</v>
      </c>
      <c r="F31" s="46">
        <f t="shared" si="25"/>
        <v>155.9</v>
      </c>
      <c r="G31" s="5">
        <f t="shared" ref="G31:I33" si="26">G22*$J$31</f>
        <v>88.5</v>
      </c>
      <c r="H31" s="5">
        <f t="shared" si="26"/>
        <v>30.2</v>
      </c>
      <c r="I31" s="5">
        <f t="shared" si="26"/>
        <v>42.7</v>
      </c>
      <c r="J31" s="96">
        <f>J$22/J22</f>
        <v>1</v>
      </c>
      <c r="M31" s="46">
        <f t="shared" si="0"/>
        <v>30.823660299698041</v>
      </c>
      <c r="N31" s="46">
        <f t="shared" si="5"/>
        <v>28</v>
      </c>
      <c r="O31" s="50">
        <f t="shared" si="1"/>
        <v>76.620238339896062</v>
      </c>
      <c r="P31" s="50">
        <f t="shared" si="2"/>
        <v>45.796578040198021</v>
      </c>
      <c r="Q31" s="50">
        <f t="shared" si="3"/>
        <v>51.36501360651512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1201.5</v>
      </c>
      <c r="E32" s="46">
        <f t="shared" si="27"/>
        <v>1212</v>
      </c>
      <c r="F32" s="46">
        <f t="shared" si="27"/>
        <v>650.5</v>
      </c>
      <c r="G32" s="5">
        <f t="shared" si="26"/>
        <v>59.6</v>
      </c>
      <c r="H32" s="5">
        <f t="shared" si="26"/>
        <v>69.8</v>
      </c>
      <c r="I32" s="5">
        <f t="shared" si="26"/>
        <v>39.299999999999997</v>
      </c>
      <c r="J32" s="96"/>
      <c r="M32" s="46">
        <f t="shared" si="0"/>
        <v>28.711876065473263</v>
      </c>
      <c r="N32" s="46">
        <f t="shared" si="5"/>
        <v>29</v>
      </c>
      <c r="O32" s="50">
        <f t="shared" si="1"/>
        <v>74.421177669815137</v>
      </c>
      <c r="P32" s="50">
        <f t="shared" si="2"/>
        <v>45.709301604341874</v>
      </c>
      <c r="Q32" s="50">
        <f t="shared" si="3"/>
        <v>51.045181641343788</v>
      </c>
    </row>
    <row r="33" spans="1:17">
      <c r="A33" s="78"/>
      <c r="B33" s="46" t="str">
        <f t="shared" si="27"/>
        <v>D65</v>
      </c>
      <c r="C33" s="79"/>
      <c r="D33" s="46">
        <f t="shared" si="27"/>
        <v>512.54999999999995</v>
      </c>
      <c r="E33" s="46">
        <f t="shared" si="27"/>
        <v>579.85</v>
      </c>
      <c r="F33" s="46">
        <f t="shared" si="27"/>
        <v>534.34999999999991</v>
      </c>
      <c r="G33" s="5">
        <f t="shared" si="26"/>
        <v>27.2</v>
      </c>
      <c r="H33" s="5">
        <f t="shared" si="26"/>
        <v>35.1</v>
      </c>
      <c r="I33" s="5">
        <f t="shared" si="26"/>
        <v>30.2</v>
      </c>
      <c r="J33" s="96"/>
      <c r="M33" s="46">
        <f t="shared" si="0"/>
        <v>26.600091831248498</v>
      </c>
      <c r="N33" s="46">
        <f t="shared" si="5"/>
        <v>30</v>
      </c>
      <c r="O33" s="50">
        <f t="shared" si="1"/>
        <v>72.222116999734226</v>
      </c>
      <c r="P33" s="50">
        <f t="shared" si="2"/>
        <v>45.622025168485727</v>
      </c>
      <c r="Q33" s="50">
        <f t="shared" si="3"/>
        <v>50.725349676172463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556.25</v>
      </c>
      <c r="E34" s="46">
        <f t="shared" si="27"/>
        <v>516.29999999999995</v>
      </c>
      <c r="F34" s="46">
        <f t="shared" si="27"/>
        <v>155.9</v>
      </c>
      <c r="G34" s="5">
        <f t="shared" ref="G34:I36" si="28">G25*$J$34</f>
        <v>86.421089558398677</v>
      </c>
      <c r="H34" s="5">
        <f t="shared" si="28"/>
        <v>30.696491952125466</v>
      </c>
      <c r="I34" s="5">
        <f t="shared" si="28"/>
        <v>43.254147750722247</v>
      </c>
      <c r="J34" s="96">
        <f>J$22/J25</f>
        <v>0.87205943045810974</v>
      </c>
      <c r="M34" s="46">
        <f t="shared" si="0"/>
        <v>24.48830759702372</v>
      </c>
      <c r="N34" s="46">
        <f t="shared" si="5"/>
        <v>31</v>
      </c>
      <c r="O34" s="50">
        <f t="shared" si="1"/>
        <v>70.023056329653301</v>
      </c>
      <c r="P34" s="50">
        <f t="shared" si="2"/>
        <v>45.534748732629581</v>
      </c>
      <c r="Q34" s="50">
        <f t="shared" si="3"/>
        <v>50.405517711001139</v>
      </c>
    </row>
    <row r="35" spans="1:17">
      <c r="A35" s="78"/>
      <c r="B35" s="46" t="str">
        <f t="shared" si="27"/>
        <v>CWF</v>
      </c>
      <c r="C35" s="79"/>
      <c r="D35" s="46">
        <f t="shared" si="27"/>
        <v>1201.5</v>
      </c>
      <c r="E35" s="46">
        <f t="shared" si="27"/>
        <v>1212</v>
      </c>
      <c r="F35" s="46">
        <f t="shared" si="27"/>
        <v>650.5</v>
      </c>
      <c r="G35" s="5">
        <f t="shared" si="28"/>
        <v>59.47445315724309</v>
      </c>
      <c r="H35" s="5">
        <f t="shared" si="28"/>
        <v>69.067106892282297</v>
      </c>
      <c r="I35" s="5">
        <f t="shared" si="28"/>
        <v>39.853115971935615</v>
      </c>
      <c r="J35" s="96"/>
      <c r="M35" s="46">
        <f t="shared" si="0"/>
        <v>22.376523362798956</v>
      </c>
      <c r="N35" s="46">
        <f t="shared" si="5"/>
        <v>32</v>
      </c>
      <c r="O35" s="50">
        <f t="shared" si="1"/>
        <v>67.82399565957239</v>
      </c>
      <c r="P35" s="50">
        <f t="shared" si="2"/>
        <v>45.447472296773434</v>
      </c>
      <c r="Q35" s="50">
        <f t="shared" si="3"/>
        <v>50.085685745829807</v>
      </c>
    </row>
    <row r="36" spans="1:17">
      <c r="A36" s="78"/>
      <c r="B36" s="46" t="str">
        <f t="shared" si="27"/>
        <v>D65</v>
      </c>
      <c r="C36" s="79"/>
      <c r="D36" s="46">
        <f t="shared" si="27"/>
        <v>512.54999999999995</v>
      </c>
      <c r="E36" s="46">
        <f t="shared" si="27"/>
        <v>579.85</v>
      </c>
      <c r="F36" s="46">
        <f t="shared" si="27"/>
        <v>534.34999999999991</v>
      </c>
      <c r="G36" s="5">
        <f t="shared" si="28"/>
        <v>27.731489888567889</v>
      </c>
      <c r="H36" s="5">
        <f t="shared" si="28"/>
        <v>35.580024762690876</v>
      </c>
      <c r="I36" s="5">
        <f t="shared" si="28"/>
        <v>30.52208006603384</v>
      </c>
      <c r="J36" s="96"/>
      <c r="M36" s="46">
        <f t="shared" si="0"/>
        <v>20.264739128574192</v>
      </c>
      <c r="N36" s="46">
        <f t="shared" si="5"/>
        <v>33</v>
      </c>
      <c r="O36" s="50">
        <f t="shared" si="1"/>
        <v>65.624934989491479</v>
      </c>
      <c r="P36" s="50">
        <f t="shared" si="2"/>
        <v>45.360195860917287</v>
      </c>
      <c r="Q36" s="50">
        <f t="shared" si="3"/>
        <v>49.765853780658482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556.25</v>
      </c>
      <c r="E37" s="46">
        <f t="shared" si="27"/>
        <v>516.29999999999995</v>
      </c>
      <c r="F37" s="46">
        <f t="shared" si="27"/>
        <v>155.9</v>
      </c>
      <c r="G37" s="5">
        <f t="shared" ref="G37:I39" si="29">G28*$J$37</f>
        <v>82.878179882916442</v>
      </c>
      <c r="H37" s="5">
        <f t="shared" si="29"/>
        <v>29.575252794039383</v>
      </c>
      <c r="I37" s="5">
        <f t="shared" si="29"/>
        <v>43.744385311335812</v>
      </c>
      <c r="J37" s="96">
        <f>J$22/J28</f>
        <v>1.1245343267695582</v>
      </c>
      <c r="K37" s="51" t="str">
        <f>CHAR(34) &amp; "EEpromVersion" &amp;CHAR(34)  &amp; ",3,"</f>
        <v>"EEpromVersion",3,</v>
      </c>
      <c r="M37" s="46">
        <f t="shared" si="0"/>
        <v>18.152954894349413</v>
      </c>
      <c r="N37" s="46">
        <f t="shared" si="5"/>
        <v>34</v>
      </c>
      <c r="O37" s="50">
        <f t="shared" si="1"/>
        <v>63.425874319410553</v>
      </c>
      <c r="P37" s="50">
        <f t="shared" si="2"/>
        <v>45.27291942506114</v>
      </c>
      <c r="Q37" s="50">
        <f t="shared" si="3"/>
        <v>49.446021815487157</v>
      </c>
    </row>
    <row r="38" spans="1:17">
      <c r="A38" s="78"/>
      <c r="B38" s="46" t="str">
        <f t="shared" si="27"/>
        <v>CWF</v>
      </c>
      <c r="C38" s="79"/>
      <c r="D38" s="46">
        <f t="shared" si="27"/>
        <v>1201.5</v>
      </c>
      <c r="E38" s="46">
        <f t="shared" si="27"/>
        <v>1212</v>
      </c>
      <c r="F38" s="46">
        <f t="shared" si="27"/>
        <v>650.5</v>
      </c>
      <c r="G38" s="5">
        <f t="shared" si="29"/>
        <v>64.773177221926559</v>
      </c>
      <c r="H38" s="5">
        <f t="shared" si="29"/>
        <v>71.183022884513036</v>
      </c>
      <c r="I38" s="5">
        <f t="shared" si="29"/>
        <v>40.145875465673235</v>
      </c>
      <c r="J38" s="96"/>
      <c r="K38" s="52" t="str">
        <f>K4</f>
        <v>"Compensation",42,</v>
      </c>
      <c r="M38" s="46">
        <f t="shared" si="0"/>
        <v>16.041170660124642</v>
      </c>
      <c r="N38" s="46">
        <f t="shared" si="5"/>
        <v>35</v>
      </c>
      <c r="O38" s="50">
        <f t="shared" si="1"/>
        <v>61.226813649329642</v>
      </c>
      <c r="P38" s="50">
        <f t="shared" si="2"/>
        <v>45.185642989205</v>
      </c>
      <c r="Q38" s="50">
        <f t="shared" si="3"/>
        <v>49.126189850315825</v>
      </c>
    </row>
    <row r="39" spans="1:17">
      <c r="A39" s="78"/>
      <c r="B39" s="46" t="str">
        <f t="shared" si="27"/>
        <v>D65</v>
      </c>
      <c r="C39" s="79"/>
      <c r="D39" s="46">
        <f t="shared" si="27"/>
        <v>512.54999999999995</v>
      </c>
      <c r="E39" s="46">
        <f t="shared" si="27"/>
        <v>579.85</v>
      </c>
      <c r="F39" s="46">
        <f t="shared" si="27"/>
        <v>534.34999999999991</v>
      </c>
      <c r="G39" s="5">
        <f t="shared" si="29"/>
        <v>26.201649813730707</v>
      </c>
      <c r="H39" s="5">
        <f t="shared" si="29"/>
        <v>34.860564129856307</v>
      </c>
      <c r="I39" s="5">
        <f t="shared" si="29"/>
        <v>29.237892496008513</v>
      </c>
      <c r="J39" s="96"/>
      <c r="K39" s="53" t="str">
        <f>linefmt("CardGain",J42,J45,J48)</f>
        <v>"CardGain",18.02628,18.72346,16.94544,</v>
      </c>
      <c r="M39" s="46">
        <f t="shared" si="0"/>
        <v>13.929386425899864</v>
      </c>
      <c r="N39" s="46">
        <f t="shared" si="5"/>
        <v>36</v>
      </c>
      <c r="O39" s="50">
        <f t="shared" si="1"/>
        <v>59.027752979248717</v>
      </c>
      <c r="P39" s="50">
        <f t="shared" si="2"/>
        <v>45.098366553348853</v>
      </c>
      <c r="Q39" s="50">
        <f t="shared" si="3"/>
        <v>48.8063578851445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"Range",1,0.8720594,1.124534,</v>
      </c>
      <c r="M40" s="46">
        <f t="shared" si="0"/>
        <v>11.8176021916751</v>
      </c>
      <c r="N40" s="46">
        <f t="shared" si="5"/>
        <v>37</v>
      </c>
      <c r="O40" s="50">
        <f t="shared" si="1"/>
        <v>56.828692309167806</v>
      </c>
      <c r="P40" s="50">
        <f t="shared" si="2"/>
        <v>45.011090117492706</v>
      </c>
      <c r="Q40" s="50">
        <f t="shared" si="3"/>
        <v>48.486525919973175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9.7058179574503214</v>
      </c>
      <c r="N41" s="46">
        <f t="shared" si="5"/>
        <v>38</v>
      </c>
      <c r="O41" s="50">
        <f t="shared" si="1"/>
        <v>54.629631639086881</v>
      </c>
      <c r="P41" s="50">
        <f t="shared" si="2"/>
        <v>44.92381368163656</v>
      </c>
      <c r="Q41" s="50">
        <f t="shared" si="3"/>
        <v>48.166693954801843</v>
      </c>
    </row>
    <row r="42" spans="1:17">
      <c r="A42" s="4"/>
      <c r="B42" s="46" t="s">
        <v>3</v>
      </c>
      <c r="C42" s="79">
        <f>C31</f>
        <v>0</v>
      </c>
      <c r="D42" s="46">
        <f>I42/$H$43</f>
        <v>0.2090407651800342</v>
      </c>
      <c r="E42" s="46">
        <f>H42/$H$43</f>
        <v>1.0194152570577957</v>
      </c>
      <c r="F42" s="46">
        <f>G42/$H$43</f>
        <v>-0.43158607596246734</v>
      </c>
      <c r="G42" s="46">
        <f t="array" ref="G42:I42">LINEST($D31:$D33,$G31:$I33,FALSE)</f>
        <v>-7.7798920697626803</v>
      </c>
      <c r="H42" s="46">
        <v>18.376266325303643</v>
      </c>
      <c r="I42" s="46">
        <v>3.7682276650248152</v>
      </c>
      <c r="J42" s="97">
        <f>H43</f>
        <v>18.026281437400346</v>
      </c>
      <c r="K42" s="53" t="str">
        <f t="shared" ref="K42:K50" si="30">linefmt("",D42,E42,F42)</f>
        <v>0.2090408,1.019415,-0.4315861,</v>
      </c>
      <c r="M42" s="46">
        <f t="shared" si="0"/>
        <v>7.5940337232255573</v>
      </c>
      <c r="N42" s="46">
        <f t="shared" si="5"/>
        <v>39</v>
      </c>
      <c r="O42" s="50">
        <f t="shared" si="1"/>
        <v>52.43057096900597</v>
      </c>
      <c r="P42" s="50">
        <f t="shared" si="2"/>
        <v>44.836537245780413</v>
      </c>
      <c r="Q42" s="50">
        <f t="shared" si="3"/>
        <v>47.846861989630519</v>
      </c>
    </row>
    <row r="43" spans="1:17">
      <c r="A43" s="4"/>
      <c r="B43" s="46" t="s">
        <v>4</v>
      </c>
      <c r="C43" s="79"/>
      <c r="D43" s="46">
        <f>I43/$H$43</f>
        <v>5.1729113691257586E-2</v>
      </c>
      <c r="E43" s="46">
        <f>H43/$H$43</f>
        <v>1</v>
      </c>
      <c r="F43" s="46">
        <f>G43/$H$43</f>
        <v>-0.14371222778929224</v>
      </c>
      <c r="G43" s="46">
        <f t="array" ref="G43:I43">LINEST($E31:$E33,$G31:$I33,FALSE)</f>
        <v>-2.5905970641255691</v>
      </c>
      <c r="H43" s="46">
        <v>18.026281437400346</v>
      </c>
      <c r="I43" s="46">
        <v>0.93248356190588877</v>
      </c>
      <c r="J43" s="97"/>
      <c r="K43" s="53" t="str">
        <f t="shared" si="30"/>
        <v>5.172911E-02,1,-0.1437122,</v>
      </c>
      <c r="M43" s="46">
        <f t="shared" si="0"/>
        <v>5.4822494890007789</v>
      </c>
      <c r="N43" s="46">
        <f t="shared" si="5"/>
        <v>40</v>
      </c>
      <c r="O43" s="50">
        <f t="shared" si="1"/>
        <v>50.231510298925045</v>
      </c>
      <c r="P43" s="50">
        <f t="shared" si="2"/>
        <v>44.749260809924266</v>
      </c>
      <c r="Q43" s="50">
        <f t="shared" si="3"/>
        <v>47.527030024459194</v>
      </c>
    </row>
    <row r="44" spans="1:17">
      <c r="A44" s="4"/>
      <c r="B44" s="46" t="s">
        <v>5</v>
      </c>
      <c r="C44" s="79"/>
      <c r="D44" s="46">
        <f>I44/$H$43</f>
        <v>-0.5072011745271191</v>
      </c>
      <c r="E44" s="46">
        <f>H44/$H$43</f>
        <v>0.40572630898758755</v>
      </c>
      <c r="F44" s="46">
        <f>G44/$H$43</f>
        <v>0.96681154680562487</v>
      </c>
      <c r="G44" s="46">
        <f t="array" ref="G44:I44">LINEST($F$31:$F$33,$G31:$I33,FALSE)</f>
        <v>17.428017039646551</v>
      </c>
      <c r="H44" s="46">
        <v>7.3137366323679069</v>
      </c>
      <c r="I44" s="46">
        <v>-9.1429511174058611</v>
      </c>
      <c r="J44" s="97"/>
      <c r="K44" s="53" t="str">
        <f t="shared" si="30"/>
        <v>-0.5072012,0.4057263,0.9668115,</v>
      </c>
      <c r="M44" s="46">
        <f t="shared" si="0"/>
        <v>3.3704652547760148</v>
      </c>
      <c r="N44" s="46">
        <f t="shared" si="5"/>
        <v>41</v>
      </c>
      <c r="O44" s="50">
        <f t="shared" si="1"/>
        <v>48.032449628844134</v>
      </c>
      <c r="P44" s="50">
        <f t="shared" si="2"/>
        <v>44.661984374068119</v>
      </c>
      <c r="Q44" s="50">
        <f t="shared" si="3"/>
        <v>47.207198059287862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0.23310448698551187</v>
      </c>
      <c r="E45" s="46">
        <f>H45/$H$46</f>
        <v>1.0174383521290067</v>
      </c>
      <c r="F45" s="46">
        <f>G45/$H$46</f>
        <v>-0.5009512884011682</v>
      </c>
      <c r="G45" s="46">
        <f t="array" ref="G45:I45">LINEST($D34:$D36,$G34:$I36,FALSE)</f>
        <v>-9.3795437710982466</v>
      </c>
      <c r="H45" s="46">
        <v>19.049971083307899</v>
      </c>
      <c r="I45" s="46">
        <v>4.3645236364161262</v>
      </c>
      <c r="J45" s="97">
        <f>H46</f>
        <v>18.723464712574984</v>
      </c>
      <c r="K45" s="53" t="str">
        <f t="shared" si="30"/>
        <v>0.2331045,1.017438,-0.5009513,</v>
      </c>
      <c r="M45" s="46">
        <f t="shared" si="0"/>
        <v>2.3126581559045647</v>
      </c>
      <c r="N45" s="46">
        <f t="shared" si="5"/>
        <v>42</v>
      </c>
      <c r="O45" s="50">
        <f t="shared" si="1"/>
        <v>45.833388958763209</v>
      </c>
      <c r="P45" s="50">
        <f t="shared" si="2"/>
        <v>44.574707938211972</v>
      </c>
      <c r="Q45" s="50">
        <f t="shared" si="3"/>
        <v>46.887366094116537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7.2425051056425119E-2</v>
      </c>
      <c r="E46" s="46">
        <f>H46/$H$46</f>
        <v>1</v>
      </c>
      <c r="F46" s="46">
        <f>G46/$H$46</f>
        <v>-0.21686981864231911</v>
      </c>
      <c r="G46" s="46">
        <f t="array" ref="G46:I46">LINEST($E34:$E36,$G34:$I36,FALSE)</f>
        <v>-4.0605543965719981</v>
      </c>
      <c r="H46" s="46">
        <v>18.723464712574984</v>
      </c>
      <c r="I46" s="46">
        <v>1.3560478877614173</v>
      </c>
      <c r="J46" s="97"/>
      <c r="K46" s="53" t="str">
        <f t="shared" si="30"/>
        <v>7.242505E-02,1,-0.2168698,</v>
      </c>
      <c r="M46" s="46">
        <f t="shared" si="0"/>
        <v>2.9332058402629144</v>
      </c>
      <c r="N46" s="46">
        <f t="shared" si="5"/>
        <v>43</v>
      </c>
      <c r="O46" s="50">
        <f t="shared" si="1"/>
        <v>43.634328288682298</v>
      </c>
      <c r="P46" s="50">
        <f t="shared" si="2"/>
        <v>44.487431502355832</v>
      </c>
      <c r="Q46" s="50">
        <f t="shared" si="3"/>
        <v>46.567534128945212</v>
      </c>
    </row>
    <row r="47" spans="1:17">
      <c r="A47" s="4"/>
      <c r="B47" s="46" t="str">
        <f t="shared" si="31"/>
        <v>Z</v>
      </c>
      <c r="C47" s="79"/>
      <c r="D47" s="46">
        <f>I47/$H$46</f>
        <v>-0.50901502378185981</v>
      </c>
      <c r="E47" s="46">
        <f>H47/$H$46</f>
        <v>0.41225157113518363</v>
      </c>
      <c r="F47" s="46">
        <f>G47/$H$46</f>
        <v>0.91693879941146617</v>
      </c>
      <c r="G47" s="46">
        <f t="array" ref="G47:I47">LINEST($F$31:$F$33,$G34:$I36,FALSE)</f>
        <v>17.168271254371458</v>
      </c>
      <c r="H47" s="46">
        <v>7.718777744853206</v>
      </c>
      <c r="I47" s="46">
        <v>-9.5305248359501693</v>
      </c>
      <c r="J47" s="97"/>
      <c r="K47" s="53" t="str">
        <f t="shared" si="30"/>
        <v>-0.509015,0.4122516,0.9169388,</v>
      </c>
      <c r="M47" s="46">
        <f t="shared" si="0"/>
        <v>4.8124345451725077</v>
      </c>
      <c r="N47" s="46">
        <f t="shared" si="5"/>
        <v>44</v>
      </c>
      <c r="O47" s="50">
        <f t="shared" si="1"/>
        <v>41.435267618601372</v>
      </c>
      <c r="P47" s="50">
        <f t="shared" si="2"/>
        <v>44.400155066499686</v>
      </c>
      <c r="Q47" s="50">
        <f t="shared" si="3"/>
        <v>46.24770216377388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0.22382399201315709</v>
      </c>
      <c r="E48" s="46">
        <f>H48/$H$49</f>
        <v>0.98329024237311746</v>
      </c>
      <c r="F48" s="46">
        <f>G48/$H$49</f>
        <v>-0.33844894344661725</v>
      </c>
      <c r="G48" s="46">
        <f t="array" ref="G48:I48">LINEST($D37:$D39,$G37:$I39,FALSE)</f>
        <v>-5.7351660238322495</v>
      </c>
      <c r="H48" s="46">
        <v>16.662285106272048</v>
      </c>
      <c r="I48" s="46">
        <v>3.7927958682336063</v>
      </c>
      <c r="J48" s="97">
        <f>H49</f>
        <v>16.945439289683716</v>
      </c>
      <c r="K48" s="53" t="str">
        <f t="shared" si="30"/>
        <v>0.223824,0.9832903,-0.3384489,</v>
      </c>
      <c r="M48" s="46">
        <f t="shared" si="0"/>
        <v>6.6916632500820938</v>
      </c>
      <c r="N48" s="46">
        <f t="shared" si="5"/>
        <v>45</v>
      </c>
      <c r="O48" s="50">
        <f t="shared" si="1"/>
        <v>39.236206948520461</v>
      </c>
      <c r="P48" s="50">
        <f t="shared" si="2"/>
        <v>44.312878630643539</v>
      </c>
      <c r="Q48" s="50">
        <f t="shared" si="3"/>
        <v>45.927870198602555</v>
      </c>
    </row>
    <row r="49" spans="1:24">
      <c r="A49" s="4"/>
      <c r="B49" s="46" t="str">
        <f t="shared" si="31"/>
        <v>Y</v>
      </c>
      <c r="C49" s="79"/>
      <c r="D49" s="46">
        <f>I49/$H$49</f>
        <v>4.2437703227962982E-2</v>
      </c>
      <c r="E49" s="46">
        <f>H49/$H$49</f>
        <v>1</v>
      </c>
      <c r="F49" s="46">
        <f>G49/$H$49</f>
        <v>-5.9985694336416213E-2</v>
      </c>
      <c r="G49" s="46">
        <f t="array" ref="G49:I49">LINEST($E37:$E39,$G37:$I39,FALSE)</f>
        <v>-1.0164839416272653</v>
      </c>
      <c r="H49" s="46">
        <v>16.945439289683716</v>
      </c>
      <c r="I49" s="46">
        <v>0.71912552364306137</v>
      </c>
      <c r="J49" s="97"/>
      <c r="K49" s="53" t="str">
        <f t="shared" si="30"/>
        <v>0.0424377,1,-5.998569E-02,</v>
      </c>
      <c r="M49" s="46">
        <f t="shared" si="0"/>
        <v>8.5708919549916942</v>
      </c>
      <c r="N49" s="46">
        <f t="shared" si="5"/>
        <v>46</v>
      </c>
      <c r="O49" s="50">
        <f t="shared" si="1"/>
        <v>37.037146278439536</v>
      </c>
      <c r="P49" s="50">
        <f t="shared" si="2"/>
        <v>44.225602194787392</v>
      </c>
      <c r="Q49" s="50">
        <f t="shared" si="3"/>
        <v>45.60803823343123</v>
      </c>
    </row>
    <row r="50" spans="1:24">
      <c r="A50" s="4"/>
      <c r="B50" s="46" t="str">
        <f t="shared" si="31"/>
        <v>Z</v>
      </c>
      <c r="C50" s="79"/>
      <c r="D50" s="46">
        <f>I50/$H$49</f>
        <v>-0.59714059068768122</v>
      </c>
      <c r="E50" s="46">
        <f>H50/$H$49</f>
        <v>0.5268884753569858</v>
      </c>
      <c r="F50" s="46">
        <f>G50/$H$49</f>
        <v>0.98543346099244433</v>
      </c>
      <c r="G50" s="46">
        <f t="array" ref="G50:I50">LINEST($F$31:$F$33,$G37:$I39,FALSE)</f>
        <v>16.698602887270372</v>
      </c>
      <c r="H50" s="46">
        <v>8.928356671595818</v>
      </c>
      <c r="I50" s="46">
        <v>-10.118809626903975</v>
      </c>
      <c r="J50" s="97"/>
      <c r="K50" s="54" t="str">
        <f t="shared" si="30"/>
        <v>-0.5971406,0.5268885,0.9854335,</v>
      </c>
      <c r="M50" s="46">
        <f t="shared" si="0"/>
        <v>10.45012065990128</v>
      </c>
      <c r="N50" s="46">
        <f t="shared" si="5"/>
        <v>47</v>
      </c>
      <c r="O50" s="50">
        <f t="shared" si="1"/>
        <v>34.838085608358625</v>
      </c>
      <c r="P50" s="50">
        <f t="shared" si="2"/>
        <v>44.138325758931245</v>
      </c>
      <c r="Q50" s="50">
        <f t="shared" si="3"/>
        <v>45.288206268259906</v>
      </c>
    </row>
    <row r="51" spans="1:24">
      <c r="B51" s="46" t="str">
        <f t="shared" si="31"/>
        <v>X</v>
      </c>
      <c r="C51" s="79" t="s">
        <v>28</v>
      </c>
      <c r="D51" s="46">
        <f>(D42+D45+D48)/3</f>
        <v>0.22198974805956773</v>
      </c>
      <c r="E51" s="46">
        <f t="shared" ref="E51:F51" si="32">(E42+E45+E48)/3</f>
        <v>1.0067146171866399</v>
      </c>
      <c r="F51" s="46">
        <f t="shared" si="32"/>
        <v>-0.42366210260341758</v>
      </c>
      <c r="J51" s="97">
        <f>(J42+J45+J48)/3</f>
        <v>17.898395146553014</v>
      </c>
      <c r="M51" s="46">
        <f t="shared" si="0"/>
        <v>12.329349364810867</v>
      </c>
      <c r="N51" s="46">
        <f t="shared" si="5"/>
        <v>48</v>
      </c>
      <c r="O51" s="50">
        <f t="shared" si="1"/>
        <v>32.639024938277714</v>
      </c>
      <c r="P51" s="50">
        <f t="shared" si="2"/>
        <v>44.051049323075098</v>
      </c>
      <c r="Q51" s="50">
        <f t="shared" si="3"/>
        <v>44.968374303088581</v>
      </c>
    </row>
    <row r="52" spans="1:24">
      <c r="B52" s="46" t="str">
        <f t="shared" si="31"/>
        <v>Y</v>
      </c>
      <c r="C52" s="79"/>
      <c r="D52" s="46">
        <f t="shared" ref="D52:F53" si="33">(D43+D46+D49)/3</f>
        <v>5.5530622658548558E-2</v>
      </c>
      <c r="E52" s="46">
        <f t="shared" si="33"/>
        <v>1</v>
      </c>
      <c r="F52" s="46">
        <f t="shared" si="33"/>
        <v>-0.14018924692267584</v>
      </c>
      <c r="J52" s="97"/>
      <c r="M52" s="46">
        <f t="shared" si="0"/>
        <v>14.20857806972046</v>
      </c>
      <c r="N52" s="46">
        <f t="shared" si="5"/>
        <v>49</v>
      </c>
      <c r="O52" s="50">
        <f t="shared" si="1"/>
        <v>30.439964268196789</v>
      </c>
      <c r="P52" s="50">
        <f t="shared" si="2"/>
        <v>43.963772887218951</v>
      </c>
      <c r="Q52" s="50">
        <f t="shared" si="3"/>
        <v>44.648542337917249</v>
      </c>
    </row>
    <row r="53" spans="1:24" ht="15.75" thickBot="1">
      <c r="B53" s="46" t="str">
        <f t="shared" si="31"/>
        <v>Z</v>
      </c>
      <c r="C53" s="79"/>
      <c r="D53" s="46">
        <f t="shared" si="33"/>
        <v>-0.53778559633222012</v>
      </c>
      <c r="E53" s="46">
        <f t="shared" si="33"/>
        <v>0.44828878515991893</v>
      </c>
      <c r="F53" s="46">
        <f t="shared" si="33"/>
        <v>0.95639460240317842</v>
      </c>
      <c r="J53" s="100"/>
      <c r="M53" s="46">
        <f t="shared" si="0"/>
        <v>16.087806774630046</v>
      </c>
      <c r="N53" s="46">
        <f t="shared" si="5"/>
        <v>50</v>
      </c>
      <c r="O53" s="50">
        <f t="shared" si="1"/>
        <v>28.240903598115878</v>
      </c>
      <c r="P53" s="50">
        <f t="shared" si="2"/>
        <v>43.876496451362812</v>
      </c>
      <c r="Q53" s="50">
        <f t="shared" si="3"/>
        <v>44.328710372745924</v>
      </c>
    </row>
    <row r="54" spans="1:24">
      <c r="B54" s="79" t="s">
        <v>14</v>
      </c>
      <c r="C54" s="79"/>
      <c r="D54" s="19">
        <f>I54/$H$55</f>
        <v>0.21310596961547965</v>
      </c>
      <c r="E54" s="20">
        <f>H54/$H$55</f>
        <v>1.0050040418682351</v>
      </c>
      <c r="F54" s="21">
        <f>G54/$H$55</f>
        <v>-0.4027005114044373</v>
      </c>
      <c r="G54" s="46">
        <f t="array" ref="G54:I54">LINEST(D$31:D$39,$G$31:$I$39,FALSE)</f>
        <v>-7.1647377557117213</v>
      </c>
      <c r="H54" s="46">
        <v>17.880758031083257</v>
      </c>
      <c r="I54" s="46">
        <v>3.7915233361552612</v>
      </c>
      <c r="J54" s="98">
        <f>H55</f>
        <v>17.791727481855823</v>
      </c>
      <c r="M54" s="46">
        <f t="shared" si="0"/>
        <v>17.967035479539646</v>
      </c>
      <c r="N54" s="46">
        <f t="shared" si="5"/>
        <v>51</v>
      </c>
      <c r="O54" s="50">
        <f t="shared" si="1"/>
        <v>26.041842928034953</v>
      </c>
      <c r="P54" s="50">
        <f t="shared" si="2"/>
        <v>43.789220015506665</v>
      </c>
      <c r="Q54" s="50">
        <f t="shared" si="3"/>
        <v>44.008878407574599</v>
      </c>
    </row>
    <row r="55" spans="1:24" ht="15" customHeight="1">
      <c r="B55" s="79"/>
      <c r="C55" s="79"/>
      <c r="D55" s="22">
        <f>I55/$H$55</f>
        <v>5.0221804260826466E-2</v>
      </c>
      <c r="E55" s="18">
        <f>H55/$H$55</f>
        <v>1</v>
      </c>
      <c r="F55" s="23">
        <f>G55/$H$55</f>
        <v>-0.12691396249786793</v>
      </c>
      <c r="G55" s="46">
        <f t="array" ref="G55:I55">LINEST(E$31:E$39,$G$31:$I$39,FALSE)</f>
        <v>-2.2580186344045363</v>
      </c>
      <c r="H55" s="46">
        <v>17.791727481855823</v>
      </c>
      <c r="I55" s="46">
        <v>0.8935326550557301</v>
      </c>
      <c r="J55" s="98"/>
      <c r="M55" s="46">
        <f t="shared" si="0"/>
        <v>19.859161321696476</v>
      </c>
      <c r="N55" s="46">
        <f t="shared" si="5"/>
        <v>52</v>
      </c>
      <c r="O55" s="50">
        <f t="shared" si="1"/>
        <v>23.842782257954042</v>
      </c>
      <c r="P55" s="50">
        <f t="shared" si="2"/>
        <v>43.701943579650518</v>
      </c>
      <c r="Q55" s="50">
        <f t="shared" si="3"/>
        <v>43.689046442403267</v>
      </c>
    </row>
    <row r="56" spans="1:24" ht="15" customHeight="1" thickBot="1">
      <c r="B56" s="79"/>
      <c r="C56" s="79"/>
      <c r="D56" s="24">
        <f>I56/$H$55</f>
        <v>-0.5279332082011271</v>
      </c>
      <c r="E56" s="25">
        <f>H56/$H$55</f>
        <v>0.453996217896179</v>
      </c>
      <c r="F56" s="26">
        <f>G56/$H$55</f>
        <v>0.93659620770525598</v>
      </c>
      <c r="G56" s="46">
        <f t="array" ref="G56:I56">LINEST(F$31:F$39,$G$31:$I$39,FALSE)</f>
        <v>16.663664488031547</v>
      </c>
      <c r="H56" s="46">
        <v>8.0773769866020526</v>
      </c>
      <c r="I56" s="46">
        <v>-9.3928437689363058</v>
      </c>
      <c r="J56" s="98"/>
      <c r="M56" s="46">
        <f t="shared" si="0"/>
        <v>21.970945555921254</v>
      </c>
      <c r="N56" s="46">
        <f t="shared" si="5"/>
        <v>53</v>
      </c>
      <c r="O56" s="50">
        <f t="shared" si="1"/>
        <v>21.643721587873117</v>
      </c>
      <c r="P56" s="50">
        <f t="shared" si="2"/>
        <v>43.614667143794371</v>
      </c>
      <c r="Q56" s="50">
        <f t="shared" si="3"/>
        <v>43.369214477231942</v>
      </c>
    </row>
    <row r="57" spans="1:24">
      <c r="M57" s="46">
        <f t="shared" si="0"/>
        <v>24.082729790146018</v>
      </c>
      <c r="N57" s="46">
        <f t="shared" si="5"/>
        <v>54</v>
      </c>
      <c r="O57" s="50">
        <f t="shared" si="1"/>
        <v>19.444660917792206</v>
      </c>
      <c r="P57" s="50">
        <f t="shared" si="2"/>
        <v>43.527390707938224</v>
      </c>
      <c r="Q57" s="50">
        <f t="shared" si="3"/>
        <v>43.049382512060618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26.194514024370797</v>
      </c>
      <c r="N58" s="46">
        <f t="shared" si="5"/>
        <v>55</v>
      </c>
      <c r="O58" s="50">
        <f t="shared" si="1"/>
        <v>17.24560024771128</v>
      </c>
      <c r="P58" s="50">
        <f t="shared" si="2"/>
        <v>43.440114272082077</v>
      </c>
      <c r="Q58" s="50">
        <f t="shared" si="3"/>
        <v>42.729550546889286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28.306298258595561</v>
      </c>
      <c r="N59" s="46">
        <f t="shared" si="5"/>
        <v>56</v>
      </c>
      <c r="O59" s="50">
        <f t="shared" si="1"/>
        <v>15.046539577630369</v>
      </c>
      <c r="P59" s="50">
        <f t="shared" si="2"/>
        <v>43.35283783622593</v>
      </c>
      <c r="Q59" s="50">
        <f t="shared" si="3"/>
        <v>42.409718581717961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516.29999999999995</v>
      </c>
      <c r="E60" s="32">
        <f t="shared" ref="E60:E68" si="37">getCCTfromXY(D22/SUM(D22:F22),E22/SUM(D22:F22))</f>
        <v>2883</v>
      </c>
      <c r="F60" s="31">
        <f t="shared" ref="F60:F68" si="38">V60</f>
        <v>519.97041423540429</v>
      </c>
      <c r="G60" s="32">
        <f t="shared" ref="G60:G68" si="39">getCCTfromXY(U60/X60,V60/X60)</f>
        <v>2711</v>
      </c>
      <c r="H60" s="33">
        <f>F60/D60-1</f>
        <v>7.1090727007638854E-3</v>
      </c>
      <c r="I60" s="34">
        <f t="shared" ref="I60:I68" si="40">G60/E60-1</f>
        <v>-5.9660076309399956E-2</v>
      </c>
      <c r="M60" s="46">
        <f t="shared" si="0"/>
        <v>30.418082492820346</v>
      </c>
      <c r="N60" s="46">
        <f t="shared" si="5"/>
        <v>57</v>
      </c>
      <c r="O60" s="50">
        <f t="shared" si="1"/>
        <v>12.847478907549444</v>
      </c>
      <c r="P60" s="50">
        <f t="shared" si="2"/>
        <v>43.265561400369791</v>
      </c>
      <c r="Q60" s="50">
        <f t="shared" si="3"/>
        <v>42.089886616546636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569.61440561956454</v>
      </c>
      <c r="V60" s="50">
        <f>$J$54*$J$31*($D$55*G22+$E$55*H22+$F$55*I22)</f>
        <v>519.97041423540429</v>
      </c>
      <c r="W60" s="50">
        <f>$J$54*$J$31*($D$56*G22+$E$56*H22+$F$56*I22)</f>
        <v>124.20858508346618</v>
      </c>
      <c r="X60" s="29">
        <f>SUM(U60:W60)</f>
        <v>1213.7934049384351</v>
      </c>
    </row>
    <row r="61" spans="1:24">
      <c r="A61" s="87"/>
      <c r="B61" s="48" t="str">
        <f t="shared" si="35"/>
        <v>CWF</v>
      </c>
      <c r="C61" s="93"/>
      <c r="D61" s="31">
        <f t="shared" si="36"/>
        <v>1212</v>
      </c>
      <c r="E61" s="32">
        <f t="shared" si="37"/>
        <v>3863</v>
      </c>
      <c r="F61" s="31">
        <f t="shared" si="38"/>
        <v>1206.3769921427597</v>
      </c>
      <c r="G61" s="32">
        <f t="shared" si="39"/>
        <v>3908</v>
      </c>
      <c r="H61" s="33">
        <f t="shared" ref="H61:H68" si="41">F61/D61-1</f>
        <v>-4.6394454267658647E-3</v>
      </c>
      <c r="I61" s="34">
        <f t="shared" si="40"/>
        <v>1.1648977478643463E-2</v>
      </c>
      <c r="M61" s="46">
        <f t="shared" si="0"/>
        <v>32.529866727045111</v>
      </c>
      <c r="N61" s="46">
        <f t="shared" si="5"/>
        <v>58</v>
      </c>
      <c r="O61" s="50">
        <f t="shared" si="1"/>
        <v>10.648418237468533</v>
      </c>
      <c r="P61" s="50">
        <f t="shared" si="2"/>
        <v>43.178284964513644</v>
      </c>
      <c r="Q61" s="50">
        <f t="shared" si="3"/>
        <v>41.770054651375304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1192.4775076049946</v>
      </c>
      <c r="V61" s="50">
        <f>$J$54*$J$31*($D$55*G23+$E$55*H23+$F$55*I23)</f>
        <v>1206.3769921427597</v>
      </c>
      <c r="W61" s="50">
        <f>$J$54*$J$31*($D$56*G23+$E$56*H23+$F$56*I23)</f>
        <v>658.86943941585912</v>
      </c>
      <c r="X61" s="29">
        <f t="shared" ref="X61:X68" si="43">SUM(U61:W61)</f>
        <v>3057.7239391636135</v>
      </c>
    </row>
    <row r="62" spans="1:24">
      <c r="A62" s="87"/>
      <c r="B62" s="48" t="str">
        <f t="shared" si="35"/>
        <v>D65</v>
      </c>
      <c r="C62" s="93"/>
      <c r="D62" s="31">
        <f t="shared" si="36"/>
        <v>579.85</v>
      </c>
      <c r="E62" s="32">
        <f t="shared" si="37"/>
        <v>6339</v>
      </c>
      <c r="F62" s="31">
        <f t="shared" si="38"/>
        <v>580.60156007163823</v>
      </c>
      <c r="G62" s="32">
        <f t="shared" si="39"/>
        <v>6281</v>
      </c>
      <c r="H62" s="33">
        <f t="shared" si="41"/>
        <v>1.2961284325916367E-3</v>
      </c>
      <c r="I62" s="34">
        <f t="shared" si="40"/>
        <v>-9.1497081558605808E-3</v>
      </c>
      <c r="M62" s="46">
        <f t="shared" si="0"/>
        <v>34.641650961269889</v>
      </c>
      <c r="N62" s="46">
        <f t="shared" si="5"/>
        <v>59</v>
      </c>
      <c r="O62" s="50">
        <f t="shared" si="1"/>
        <v>8.449357567387608</v>
      </c>
      <c r="P62" s="50">
        <f t="shared" si="2"/>
        <v>43.091008528657497</v>
      </c>
      <c r="Q62" s="50">
        <f t="shared" si="3"/>
        <v>41.450222686203979</v>
      </c>
      <c r="R62" s="78"/>
      <c r="S62" s="46" t="str">
        <f t="shared" si="42"/>
        <v>D65</v>
      </c>
      <c r="T62" s="79"/>
      <c r="U62" s="50">
        <f>$J$54*$J$31*($D$54*G24+$E$54*H24+$F$54*I24)</f>
        <v>514.36896141195155</v>
      </c>
      <c r="V62" s="50">
        <f>$J$54*$J$31*($D$55*G24+$E$55*H24+$F$55*I24)</f>
        <v>580.60156007163823</v>
      </c>
      <c r="W62" s="50">
        <f>$J$54*$J$31*($D$56*G24+$E$56*H24+$F$56*I24)</f>
        <v>531.27324925321727</v>
      </c>
      <c r="X62" s="29">
        <f t="shared" si="43"/>
        <v>1626.2437707368072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516.29999999999995</v>
      </c>
      <c r="E63" s="32">
        <f t="shared" si="37"/>
        <v>2883</v>
      </c>
      <c r="F63" s="31">
        <f t="shared" si="38"/>
        <v>525.69501343070385</v>
      </c>
      <c r="G63" s="32">
        <f t="shared" si="39"/>
        <v>2876</v>
      </c>
      <c r="H63" s="33">
        <f t="shared" si="41"/>
        <v>1.8196810828401855E-2</v>
      </c>
      <c r="I63" s="34">
        <f t="shared" si="40"/>
        <v>-2.4280263614290254E-3</v>
      </c>
      <c r="M63" s="46">
        <f t="shared" si="0"/>
        <v>36.753435195494653</v>
      </c>
      <c r="N63" s="46">
        <f t="shared" si="5"/>
        <v>60</v>
      </c>
      <c r="O63" s="50">
        <f t="shared" si="1"/>
        <v>6.250296897306697</v>
      </c>
      <c r="P63" s="50">
        <f t="shared" si="2"/>
        <v>43.00373209280135</v>
      </c>
      <c r="Q63" s="50">
        <f t="shared" si="3"/>
        <v>41.130390721032654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566.63949731494938</v>
      </c>
      <c r="V63" s="50">
        <f>$J$54*$J$34*($D$55*G25+$E$55*H25+$F$55*I25)</f>
        <v>525.69501343070385</v>
      </c>
      <c r="W63" s="50">
        <f>$J$54*$J$34*($D$56*G25+$E$56*H25+$F$56*I25)</f>
        <v>156.97995093400186</v>
      </c>
      <c r="X63" s="29">
        <f t="shared" si="43"/>
        <v>1249.3144616796551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1212</v>
      </c>
      <c r="E64" s="32">
        <f t="shared" si="37"/>
        <v>3863</v>
      </c>
      <c r="F64" s="31">
        <f t="shared" si="38"/>
        <v>1191.976431321556</v>
      </c>
      <c r="G64" s="32">
        <f t="shared" si="39"/>
        <v>3956</v>
      </c>
      <c r="H64" s="33">
        <f t="shared" si="41"/>
        <v>-1.6521096269343283E-2</v>
      </c>
      <c r="I64" s="34">
        <f t="shared" si="40"/>
        <v>2.407455345586329E-2</v>
      </c>
      <c r="M64" s="46">
        <f t="shared" si="0"/>
        <v>38.865219429719417</v>
      </c>
      <c r="N64" s="46">
        <f t="shared" si="5"/>
        <v>61</v>
      </c>
      <c r="O64" s="50">
        <f t="shared" si="1"/>
        <v>4.051236227225786</v>
      </c>
      <c r="P64" s="50">
        <f t="shared" si="2"/>
        <v>42.916455656945203</v>
      </c>
      <c r="Q64" s="50">
        <f t="shared" si="3"/>
        <v>40.810558755861322</v>
      </c>
      <c r="R64" s="78"/>
      <c r="S64" s="46" t="str">
        <f t="shared" si="42"/>
        <v>CWF</v>
      </c>
      <c r="T64" s="79"/>
      <c r="U64" s="50">
        <f>$J$54*$J$34*($D$54*G26+$E$54*H26+$F$54*I26)</f>
        <v>1174.9338786117373</v>
      </c>
      <c r="V64" s="50">
        <f>$J$54*$J$34*($D$55*G26+$E$55*H26+$F$55*I26)</f>
        <v>1191.976431321556</v>
      </c>
      <c r="W64" s="50">
        <f>$J$54*$J$34*($D$56*G26+$E$56*H26+$F$56*I26)</f>
        <v>663.34576635294661</v>
      </c>
      <c r="X64" s="29">
        <f t="shared" si="43"/>
        <v>3030.2560762862399</v>
      </c>
    </row>
    <row r="65" spans="1:24">
      <c r="A65" s="87"/>
      <c r="B65" s="48" t="str">
        <f t="shared" si="35"/>
        <v>D65</v>
      </c>
      <c r="C65" s="93"/>
      <c r="D65" s="31">
        <f t="shared" si="36"/>
        <v>579.85</v>
      </c>
      <c r="E65" s="32">
        <f t="shared" si="37"/>
        <v>6339</v>
      </c>
      <c r="F65" s="31">
        <f t="shared" si="38"/>
        <v>588.88967061436949</v>
      </c>
      <c r="G65" s="32">
        <f t="shared" si="39"/>
        <v>6232</v>
      </c>
      <c r="H65" s="33">
        <f t="shared" si="41"/>
        <v>1.5589670801706479E-2</v>
      </c>
      <c r="I65" s="34">
        <f t="shared" si="40"/>
        <v>-1.6879634011673805E-2</v>
      </c>
      <c r="M65" s="46">
        <f t="shared" si="0"/>
        <v>40.97700366394421</v>
      </c>
      <c r="N65" s="46">
        <f t="shared" si="5"/>
        <v>62</v>
      </c>
      <c r="O65" s="50">
        <f t="shared" si="1"/>
        <v>1.8521755571448466</v>
      </c>
      <c r="P65" s="50">
        <f t="shared" si="2"/>
        <v>42.829179221089056</v>
      </c>
      <c r="Q65" s="50">
        <f t="shared" si="3"/>
        <v>40.490726790689997</v>
      </c>
      <c r="R65" s="78"/>
      <c r="S65" s="46" t="str">
        <f t="shared" si="42"/>
        <v>D65</v>
      </c>
      <c r="T65" s="79"/>
      <c r="U65" s="50">
        <f>$J$54*$J$34*($D$54*G27+$E$54*H27+$F$54*I27)</f>
        <v>522.6597051485162</v>
      </c>
      <c r="V65" s="50">
        <f>$J$54*$J$34*($D$55*G27+$E$55*H27+$F$55*I27)</f>
        <v>588.88967061436949</v>
      </c>
      <c r="W65" s="50">
        <f>$J$54*$J$34*($D$56*G27+$E$56*H27+$F$56*I27)</f>
        <v>535.52542289495909</v>
      </c>
      <c r="X65" s="29">
        <f t="shared" si="43"/>
        <v>1647.0747986578447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516.29999999999995</v>
      </c>
      <c r="E66" s="32">
        <f t="shared" si="37"/>
        <v>2883</v>
      </c>
      <c r="F66" s="31">
        <f t="shared" si="38"/>
        <v>501.47356085194406</v>
      </c>
      <c r="G66" s="32">
        <f t="shared" si="39"/>
        <v>3115</v>
      </c>
      <c r="H66" s="33">
        <f t="shared" si="41"/>
        <v>-2.8716713438031949E-2</v>
      </c>
      <c r="I66" s="34">
        <f t="shared" si="40"/>
        <v>8.047173083593484E-2</v>
      </c>
      <c r="M66" s="46">
        <f t="shared" si="0"/>
        <v>43.088787898168974</v>
      </c>
      <c r="N66" s="46">
        <f t="shared" si="5"/>
        <v>63</v>
      </c>
      <c r="O66" s="50">
        <f t="shared" si="1"/>
        <v>-0.34688511293606439</v>
      </c>
      <c r="P66" s="50">
        <f t="shared" si="2"/>
        <v>42.741902785232909</v>
      </c>
      <c r="Q66" s="50">
        <f t="shared" si="3"/>
        <v>40.170894825518673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529.64544296195947</v>
      </c>
      <c r="V66" s="50">
        <f>$J$54*$J$37*($D$55*G28+$E$55*H28+$F$55*I28)</f>
        <v>501.47356085194406</v>
      </c>
      <c r="W66" s="50">
        <f>$J$54*$J$37*($D$56*G28+$E$56*H28+$F$56*I28)</f>
        <v>189.37043086075323</v>
      </c>
      <c r="X66" s="29">
        <f t="shared" si="43"/>
        <v>1220.4894346746566</v>
      </c>
    </row>
    <row r="67" spans="1:24">
      <c r="A67" s="87"/>
      <c r="B67" s="48" t="str">
        <f t="shared" si="35"/>
        <v>CWF</v>
      </c>
      <c r="C67" s="93"/>
      <c r="D67" s="31">
        <f t="shared" si="36"/>
        <v>1212</v>
      </c>
      <c r="E67" s="32">
        <f t="shared" si="37"/>
        <v>3863</v>
      </c>
      <c r="F67" s="31">
        <f t="shared" si="38"/>
        <v>1233.6957586194919</v>
      </c>
      <c r="G67" s="32">
        <f t="shared" si="39"/>
        <v>3764</v>
      </c>
      <c r="H67" s="33">
        <f t="shared" si="41"/>
        <v>1.7900790940174938E-2</v>
      </c>
      <c r="I67" s="34">
        <f t="shared" si="40"/>
        <v>-2.5627750453015796E-2</v>
      </c>
      <c r="R67" s="78"/>
      <c r="S67" s="46" t="str">
        <f t="shared" si="42"/>
        <v>CWF</v>
      </c>
      <c r="T67" s="79"/>
      <c r="U67" s="50">
        <f>$J$54*$J$37*($D$54*G29+$E$54*H29+$F$54*I29)</f>
        <v>1230.7607514278848</v>
      </c>
      <c r="V67" s="50">
        <f>$J$54*$J$37*($D$55*G29+$E$55*H29+$F$55*I29)</f>
        <v>1233.6957586194919</v>
      </c>
      <c r="W67" s="50">
        <f>$J$54*$J$37*($D$56*G29+$E$56*H29+$F$56*I29)</f>
        <v>635.54517615922884</v>
      </c>
      <c r="X67" s="29">
        <f t="shared" si="43"/>
        <v>3100.0016862066054</v>
      </c>
    </row>
    <row r="68" spans="1:24">
      <c r="A68" s="87"/>
      <c r="B68" s="48" t="str">
        <f t="shared" si="35"/>
        <v>D65</v>
      </c>
      <c r="C68" s="93"/>
      <c r="D68" s="31">
        <f t="shared" si="36"/>
        <v>579.85</v>
      </c>
      <c r="E68" s="32">
        <f t="shared" si="37"/>
        <v>6339</v>
      </c>
      <c r="F68" s="31">
        <f t="shared" si="38"/>
        <v>577.62198050036125</v>
      </c>
      <c r="G68" s="32">
        <f t="shared" si="39"/>
        <v>6197</v>
      </c>
      <c r="H68" s="33">
        <f t="shared" si="41"/>
        <v>-3.8424066562711134E-3</v>
      </c>
      <c r="I68" s="34">
        <f t="shared" si="40"/>
        <v>-2.240100962296887E-2</v>
      </c>
      <c r="R68" s="78"/>
      <c r="S68" s="46" t="str">
        <f t="shared" si="42"/>
        <v>D65</v>
      </c>
      <c r="T68" s="79"/>
      <c r="U68" s="50">
        <f>$J$54*$J$37*($D$54*G30+$E$54*H30+$F$54*I30)</f>
        <v>513.19564648395669</v>
      </c>
      <c r="V68" s="50">
        <f>$J$54*$J$37*($D$55*G30+$E$55*H30+$F$55*I30)</f>
        <v>577.62198050036125</v>
      </c>
      <c r="W68" s="50">
        <f>$J$54*$J$37*($D$56*G30+$E$56*H30+$F$56*I30)</f>
        <v>522.68434614433579</v>
      </c>
      <c r="X68" s="29">
        <f t="shared" si="43"/>
        <v>1613.5019731286538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2.8716713438031949E-2</v>
      </c>
      <c r="G69" s="47"/>
      <c r="H69" s="36" t="str">
        <f>I59</f>
        <v>CCT</v>
      </c>
      <c r="I69" s="38">
        <f>MAX(MAX(I60:I68,-MIN(I60:I68)))</f>
        <v>8.047173083593484E-2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516.29999999999995</v>
      </c>
      <c r="E72" s="31">
        <f t="shared" ref="E72:E80" si="47">E60</f>
        <v>2883</v>
      </c>
      <c r="F72" s="31">
        <f t="shared" ref="F72:F80" si="48">V72</f>
        <v>521.35124200426753</v>
      </c>
      <c r="G72" s="32">
        <f t="shared" ref="G72:G80" si="49">getCCTfromXY(U72/X72,V72/X72)</f>
        <v>2696</v>
      </c>
      <c r="H72" s="33">
        <f>F72/D72-1</f>
        <v>9.7835405854496127E-3</v>
      </c>
      <c r="I72" s="34">
        <f t="shared" ref="I72:I80" si="50">G72/E72-1</f>
        <v>-6.4862989941033677E-2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572.00590355177292</v>
      </c>
      <c r="V72" s="50">
        <f>$J$51*$J$31*($D$52*G22+$E$52*H22+$F$52*I22)</f>
        <v>521.35124200426753</v>
      </c>
      <c r="W72" s="50">
        <f>$J$51*$J$31*($D$53*G22+$E$53*H22+$F$53*I22)</f>
        <v>121.39310083623477</v>
      </c>
      <c r="X72" s="29">
        <f>SUM(U72:W72)</f>
        <v>1214.7502463922751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1212</v>
      </c>
      <c r="E73" s="31">
        <f t="shared" si="47"/>
        <v>3863</v>
      </c>
      <c r="F73" s="31">
        <f t="shared" si="48"/>
        <v>1209.9348715500935</v>
      </c>
      <c r="G73" s="32">
        <f t="shared" si="49"/>
        <v>3901</v>
      </c>
      <c r="H73" s="33">
        <f t="shared" ref="H73:H80" si="52">F73/D73-1</f>
        <v>-1.7039013613090459E-3</v>
      </c>
      <c r="I73" s="34">
        <f t="shared" si="50"/>
        <v>9.8369143152989835E-3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1196.4960570991943</v>
      </c>
      <c r="V73" s="50">
        <f t="shared" ref="V73:V74" si="55">$J$51*$J$31*($D$52*G23+$E$52*H23+$F$52*I23)</f>
        <v>1209.9348715500935</v>
      </c>
      <c r="W73" s="50">
        <f t="shared" ref="W73:W74" si="56">$J$51*$J$31*($D$53*G23+$E$53*H23+$F$53*I23)</f>
        <v>659.10560083891869</v>
      </c>
      <c r="X73" s="29">
        <f t="shared" ref="X73:X80" si="57">SUM(U73:W73)</f>
        <v>3065.5365294882067</v>
      </c>
    </row>
    <row r="74" spans="1:24">
      <c r="A74" s="87"/>
      <c r="B74" s="48" t="str">
        <f t="shared" si="46"/>
        <v>X</v>
      </c>
      <c r="C74" s="93"/>
      <c r="D74" s="31">
        <f t="shared" si="51"/>
        <v>579.85</v>
      </c>
      <c r="E74" s="31">
        <f t="shared" si="47"/>
        <v>6339</v>
      </c>
      <c r="F74" s="31">
        <f t="shared" si="48"/>
        <v>579.49128657156439</v>
      </c>
      <c r="G74" s="32">
        <f t="shared" si="49"/>
        <v>6380</v>
      </c>
      <c r="H74" s="33">
        <f t="shared" si="52"/>
        <v>-6.1863141922158249E-4</v>
      </c>
      <c r="I74" s="34">
        <f t="shared" si="50"/>
        <v>6.4678971446601174E-3</v>
      </c>
      <c r="R74" s="78"/>
      <c r="S74" s="46" t="str">
        <f t="shared" si="53"/>
        <v>D65</v>
      </c>
      <c r="T74" s="79"/>
      <c r="U74" s="50">
        <f t="shared" si="54"/>
        <v>511.5219705004676</v>
      </c>
      <c r="V74" s="50">
        <f t="shared" si="55"/>
        <v>579.49128657156439</v>
      </c>
      <c r="W74" s="50">
        <f t="shared" si="56"/>
        <v>536.77797384053508</v>
      </c>
      <c r="X74" s="29">
        <f t="shared" si="57"/>
        <v>1627.7912309125672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516.29999999999995</v>
      </c>
      <c r="E75" s="31">
        <f t="shared" si="47"/>
        <v>2883</v>
      </c>
      <c r="F75" s="31">
        <f t="shared" si="48"/>
        <v>526.78095652018112</v>
      </c>
      <c r="G75" s="32">
        <f t="shared" si="49"/>
        <v>2862</v>
      </c>
      <c r="H75" s="33">
        <f t="shared" si="52"/>
        <v>2.0300128840172738E-2</v>
      </c>
      <c r="I75" s="34">
        <f t="shared" si="50"/>
        <v>-7.2840790842871872E-3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568.48989804756764</v>
      </c>
      <c r="V75" s="50">
        <f>$J$51*$J$34*($D$52*G25+$E$52*H25+$F$52*I25)</f>
        <v>526.78095652018112</v>
      </c>
      <c r="W75" s="50">
        <f>$J$51*$J$34*($D$53*G25+$E$53*H25+$F$53*I25)</f>
        <v>154.8731905773295</v>
      </c>
      <c r="X75" s="29">
        <f t="shared" si="57"/>
        <v>1250.1440451450783</v>
      </c>
    </row>
    <row r="76" spans="1:24">
      <c r="A76" s="87"/>
      <c r="B76" s="48" t="str">
        <f t="shared" si="46"/>
        <v>Z</v>
      </c>
      <c r="C76" s="93"/>
      <c r="D76" s="31">
        <f t="shared" si="51"/>
        <v>1212</v>
      </c>
      <c r="E76" s="31">
        <f t="shared" si="47"/>
        <v>3863</v>
      </c>
      <c r="F76" s="31">
        <f t="shared" si="48"/>
        <v>1195.3046210923978</v>
      </c>
      <c r="G76" s="32">
        <f t="shared" si="49"/>
        <v>3951</v>
      </c>
      <c r="H76" s="33">
        <f t="shared" si="52"/>
        <v>-1.3775065105282258E-2</v>
      </c>
      <c r="I76" s="34">
        <f t="shared" si="50"/>
        <v>2.2780222624902979E-2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1178.5973291852883</v>
      </c>
      <c r="V76" s="50">
        <f t="shared" ref="V76:V77" si="59">$J$51*$J$34*($D$52*G26+$E$52*H26+$F$52*I26)</f>
        <v>1195.3046210923978</v>
      </c>
      <c r="W76" s="50">
        <f t="shared" ref="W76:W77" si="60">$J$51*$J$34*($D$53*G26+$E$53*H26+$F$53*I26)</f>
        <v>663.90177387774554</v>
      </c>
      <c r="X76" s="29">
        <f t="shared" si="57"/>
        <v>3037.8037241554321</v>
      </c>
    </row>
    <row r="77" spans="1:24">
      <c r="A77" s="87"/>
      <c r="B77" s="48" t="str">
        <f t="shared" si="46"/>
        <v>X</v>
      </c>
      <c r="C77" s="93"/>
      <c r="D77" s="31">
        <f t="shared" si="51"/>
        <v>579.85</v>
      </c>
      <c r="E77" s="31">
        <f t="shared" si="47"/>
        <v>6339</v>
      </c>
      <c r="F77" s="31">
        <f t="shared" si="48"/>
        <v>587.8030608168674</v>
      </c>
      <c r="G77" s="32">
        <f t="shared" si="49"/>
        <v>6328</v>
      </c>
      <c r="H77" s="33">
        <f t="shared" si="52"/>
        <v>1.3715720991406943E-2</v>
      </c>
      <c r="I77" s="34">
        <f t="shared" si="50"/>
        <v>-1.7352894778356331E-3</v>
      </c>
      <c r="R77" s="78"/>
      <c r="S77" s="46" t="str">
        <f t="shared" si="53"/>
        <v>D65</v>
      </c>
      <c r="T77" s="79"/>
      <c r="U77" s="50">
        <f t="shared" si="58"/>
        <v>519.84078898950634</v>
      </c>
      <c r="V77" s="50">
        <f t="shared" si="59"/>
        <v>587.8030608168674</v>
      </c>
      <c r="W77" s="50">
        <f t="shared" si="60"/>
        <v>541.0270125365189</v>
      </c>
      <c r="X77" s="29">
        <f t="shared" si="57"/>
        <v>1648.6708623428926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516.29999999999995</v>
      </c>
      <c r="E78" s="31">
        <f t="shared" si="47"/>
        <v>2883</v>
      </c>
      <c r="F78" s="31">
        <f t="shared" si="48"/>
        <v>501.96115938520398</v>
      </c>
      <c r="G78" s="32">
        <f t="shared" si="49"/>
        <v>3107</v>
      </c>
      <c r="H78" s="33">
        <f t="shared" si="52"/>
        <v>-2.777230411542897E-2</v>
      </c>
      <c r="I78" s="34">
        <f t="shared" si="50"/>
        <v>7.7696843565730145E-2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530.49245439860317</v>
      </c>
      <c r="V78" s="50">
        <f>$J$51*$J$37*($D$52*G28+$E$52*H28+$F$52*I28)</f>
        <v>501.96115938520398</v>
      </c>
      <c r="W78" s="50">
        <f>$J$51*$J$37*($D$53*G28+$E$53*H28+$F$53*I28)</f>
        <v>188.37088564617764</v>
      </c>
      <c r="X78" s="29">
        <f t="shared" si="57"/>
        <v>1220.8244994299848</v>
      </c>
    </row>
    <row r="79" spans="1:24">
      <c r="A79" s="87"/>
      <c r="B79" s="48" t="str">
        <f t="shared" si="46"/>
        <v>Z</v>
      </c>
      <c r="C79" s="93"/>
      <c r="D79" s="31">
        <f t="shared" si="51"/>
        <v>1212</v>
      </c>
      <c r="E79" s="31">
        <f t="shared" si="47"/>
        <v>3863</v>
      </c>
      <c r="F79" s="31">
        <f t="shared" si="48"/>
        <v>1237.7079901441771</v>
      </c>
      <c r="G79" s="32">
        <f t="shared" si="49"/>
        <v>3754</v>
      </c>
      <c r="H79" s="33">
        <f t="shared" si="52"/>
        <v>2.1211212990245087E-2</v>
      </c>
      <c r="I79" s="34">
        <f t="shared" si="50"/>
        <v>-2.8216412114936529E-2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1235.5563742453353</v>
      </c>
      <c r="V79" s="50">
        <f t="shared" ref="V79:V80" si="62">$J$51*$J$37*($D$52*G29+$E$52*H29+$F$52*I29)</f>
        <v>1237.7079901441771</v>
      </c>
      <c r="W79" s="50">
        <f t="shared" ref="W79:W80" si="63">$J$51*$J$37*($D$53*G29+$E$53*H29+$F$53*I29)</f>
        <v>634.88771517071609</v>
      </c>
      <c r="X79" s="29">
        <f t="shared" si="57"/>
        <v>3108.1520795602287</v>
      </c>
    </row>
    <row r="80" spans="1:24">
      <c r="A80" s="87"/>
      <c r="B80" s="48" t="str">
        <f t="shared" si="46"/>
        <v>X</v>
      </c>
      <c r="C80" s="93"/>
      <c r="D80" s="31">
        <f t="shared" si="51"/>
        <v>579.85</v>
      </c>
      <c r="E80" s="31">
        <f t="shared" si="47"/>
        <v>6339</v>
      </c>
      <c r="F80" s="31">
        <f t="shared" si="48"/>
        <v>576.6275835984693</v>
      </c>
      <c r="G80" s="32">
        <f t="shared" si="49"/>
        <v>6290</v>
      </c>
      <c r="H80" s="33">
        <f t="shared" si="52"/>
        <v>-5.5573275873600503E-3</v>
      </c>
      <c r="I80" s="34">
        <f t="shared" si="50"/>
        <v>-7.7299258558132244E-3</v>
      </c>
      <c r="R80" s="78"/>
      <c r="S80" s="46" t="str">
        <f t="shared" si="53"/>
        <v>D65</v>
      </c>
      <c r="T80" s="79"/>
      <c r="U80" s="50">
        <f t="shared" si="61"/>
        <v>510.53650976741721</v>
      </c>
      <c r="V80" s="50">
        <f t="shared" si="62"/>
        <v>576.6275835984693</v>
      </c>
      <c r="W80" s="50">
        <f t="shared" si="63"/>
        <v>527.99715561955588</v>
      </c>
      <c r="X80" s="29">
        <f t="shared" si="57"/>
        <v>1615.1612489854424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2.777230411542897E-2</v>
      </c>
      <c r="G81" s="47"/>
      <c r="H81" s="36" t="str">
        <f>I71</f>
        <v>CCT</v>
      </c>
      <c r="I81" s="38">
        <f>MAX(MAX(I72:I80,-MIN(I72:I80)))</f>
        <v>7.7696843565730145E-2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516.29999999999995</v>
      </c>
      <c r="E84" s="31">
        <f t="shared" ref="E84:E92" si="67">E72</f>
        <v>2883</v>
      </c>
      <c r="F84" s="31">
        <f t="shared" ref="F84:F92" si="68">V84</f>
        <v>516.29999999999984</v>
      </c>
      <c r="G84" s="32">
        <f t="shared" ref="G84:G92" si="69">getCCTfromXY(U84/X84,V84/X84)</f>
        <v>2883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556.24999999999966</v>
      </c>
      <c r="V84" s="50">
        <f>$J$42*$J$31*($D$43*G22+$E$43*H22+$F$43*I22)</f>
        <v>516.29999999999984</v>
      </c>
      <c r="W84" s="50">
        <f>$J$42*$J$31*($D$44*G22+$E$44*H22+$F$44*I22)</f>
        <v>155.89999999999995</v>
      </c>
      <c r="X84" s="29">
        <f>SUM(U84:W84)</f>
        <v>1228.4499999999994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1212</v>
      </c>
      <c r="E85" s="31">
        <f t="shared" si="67"/>
        <v>3863</v>
      </c>
      <c r="F85" s="31">
        <f t="shared" si="68"/>
        <v>1212.0000000000002</v>
      </c>
      <c r="G85" s="32">
        <f t="shared" si="69"/>
        <v>3863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1201.5</v>
      </c>
      <c r="V85" s="50">
        <f t="shared" ref="V85:V86" si="75">$J$42*$J$31*($D$43*G23+$E$43*H23+$F$43*I23)</f>
        <v>1212.0000000000002</v>
      </c>
      <c r="W85" s="50">
        <f t="shared" ref="W85:W86" si="76">$J$42*$J$31*($D$44*G23+$E$44*H23+$F$44*I23)</f>
        <v>650.50000000000011</v>
      </c>
      <c r="X85" s="29">
        <f t="shared" ref="X85:X92" si="77">SUM(U85:W85)</f>
        <v>3064</v>
      </c>
    </row>
    <row r="86" spans="1:24">
      <c r="A86" s="87"/>
      <c r="B86" s="48">
        <f t="shared" si="66"/>
        <v>0</v>
      </c>
      <c r="C86" s="93"/>
      <c r="D86" s="31">
        <f t="shared" si="71"/>
        <v>579.85</v>
      </c>
      <c r="E86" s="31">
        <f t="shared" si="67"/>
        <v>6339</v>
      </c>
      <c r="F86" s="31">
        <f t="shared" si="68"/>
        <v>579.85000000000014</v>
      </c>
      <c r="G86" s="32">
        <f t="shared" si="69"/>
        <v>6339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512.54999999999984</v>
      </c>
      <c r="V86" s="50">
        <f t="shared" si="75"/>
        <v>579.85000000000014</v>
      </c>
      <c r="W86" s="50">
        <f t="shared" si="76"/>
        <v>534.35</v>
      </c>
      <c r="X86" s="29">
        <f t="shared" si="77"/>
        <v>1626.75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516.29999999999995</v>
      </c>
      <c r="E87" s="31">
        <f t="shared" si="67"/>
        <v>2883</v>
      </c>
      <c r="F87" s="31">
        <f t="shared" si="68"/>
        <v>516.29999999999995</v>
      </c>
      <c r="G87" s="32">
        <f t="shared" si="69"/>
        <v>2883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556.24999999999955</v>
      </c>
      <c r="V87" s="50">
        <f>$J$45*$J$34*($D$46*G25+$E$46*H25+$F$46*I25)</f>
        <v>516.29999999999995</v>
      </c>
      <c r="W87" s="50">
        <f>$J$45*$J$34*($D$47*G25+$E$47*H25+$F$47*I25)</f>
        <v>155.89999999999984</v>
      </c>
      <c r="X87" s="29">
        <f t="shared" si="77"/>
        <v>1228.4499999999994</v>
      </c>
    </row>
    <row r="88" spans="1:24">
      <c r="A88" s="87"/>
      <c r="B88" s="48">
        <f t="shared" si="66"/>
        <v>0</v>
      </c>
      <c r="C88" s="93"/>
      <c r="D88" s="31">
        <f t="shared" si="71"/>
        <v>1212</v>
      </c>
      <c r="E88" s="31">
        <f t="shared" si="67"/>
        <v>3863</v>
      </c>
      <c r="F88" s="31">
        <f t="shared" si="68"/>
        <v>1211.9999999999998</v>
      </c>
      <c r="G88" s="32">
        <f t="shared" si="69"/>
        <v>3863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1201.4999999999998</v>
      </c>
      <c r="V88" s="50">
        <f t="shared" ref="V88:V89" si="79">$J$45*$J$34*($D$46*G26+$E$46*H26+$F$46*I26)</f>
        <v>1211.9999999999998</v>
      </c>
      <c r="W88" s="50">
        <f t="shared" ref="W88:W89" si="80">$J$45*$J$34*($D$47*G26+$E$47*H26+$F$47*I26)</f>
        <v>650.50000000000034</v>
      </c>
      <c r="X88" s="29">
        <f t="shared" si="77"/>
        <v>3064</v>
      </c>
    </row>
    <row r="89" spans="1:24">
      <c r="A89" s="87"/>
      <c r="B89" s="48" t="str">
        <f t="shared" si="66"/>
        <v>A</v>
      </c>
      <c r="C89" s="93"/>
      <c r="D89" s="31">
        <f t="shared" si="71"/>
        <v>579.85</v>
      </c>
      <c r="E89" s="31">
        <f t="shared" si="67"/>
        <v>6339</v>
      </c>
      <c r="F89" s="31">
        <f t="shared" si="68"/>
        <v>579.85000000000014</v>
      </c>
      <c r="G89" s="32">
        <f t="shared" si="69"/>
        <v>6339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512.54999999999973</v>
      </c>
      <c r="V89" s="50">
        <f t="shared" si="79"/>
        <v>579.85000000000014</v>
      </c>
      <c r="W89" s="50">
        <f t="shared" si="80"/>
        <v>534.35</v>
      </c>
      <c r="X89" s="29">
        <f t="shared" si="77"/>
        <v>1626.75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516.29999999999995</v>
      </c>
      <c r="E90" s="31">
        <f t="shared" si="67"/>
        <v>2883</v>
      </c>
      <c r="F90" s="31">
        <f t="shared" si="68"/>
        <v>516.30000000000064</v>
      </c>
      <c r="G90" s="32">
        <f t="shared" si="69"/>
        <v>2883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556.25000000000045</v>
      </c>
      <c r="V90" s="50">
        <f>$J$48*$J$37*($D$49*G28+$E$49*H28+$F$49*I28)</f>
        <v>516.30000000000064</v>
      </c>
      <c r="W90" s="50">
        <f>$J$48*$J$37*($D$50*G28+$E$50*H28+$F$50*I28)</f>
        <v>155.89999999999989</v>
      </c>
      <c r="X90" s="29">
        <f t="shared" si="77"/>
        <v>1228.450000000001</v>
      </c>
    </row>
    <row r="91" spans="1:24">
      <c r="A91" s="87"/>
      <c r="B91" s="48" t="str">
        <f t="shared" si="66"/>
        <v>D65</v>
      </c>
      <c r="C91" s="93"/>
      <c r="D91" s="31">
        <f t="shared" si="71"/>
        <v>1212</v>
      </c>
      <c r="E91" s="31">
        <f t="shared" si="67"/>
        <v>3863</v>
      </c>
      <c r="F91" s="31">
        <f t="shared" si="68"/>
        <v>1211.9999999999998</v>
      </c>
      <c r="G91" s="32">
        <f t="shared" si="69"/>
        <v>3863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1201.5000000000002</v>
      </c>
      <c r="V91" s="50">
        <f t="shared" ref="V91:V92" si="82">$J$48*$J$37*($D$49*G29+$E$49*H29+$F$49*I29)</f>
        <v>1211.9999999999998</v>
      </c>
      <c r="W91" s="50">
        <f t="shared" ref="W91:W92" si="83">$J$48*$J$37*($D$50*G29+$E$50*H29+$F$50*I29)</f>
        <v>650.49999999999977</v>
      </c>
      <c r="X91" s="29">
        <f t="shared" si="77"/>
        <v>3064</v>
      </c>
    </row>
    <row r="92" spans="1:24">
      <c r="A92" s="87"/>
      <c r="B92" s="48" t="str">
        <f t="shared" si="66"/>
        <v>A</v>
      </c>
      <c r="C92" s="93"/>
      <c r="D92" s="31">
        <f t="shared" si="71"/>
        <v>579.85</v>
      </c>
      <c r="E92" s="31">
        <f t="shared" si="67"/>
        <v>6339</v>
      </c>
      <c r="F92" s="31">
        <f t="shared" si="68"/>
        <v>579.85</v>
      </c>
      <c r="G92" s="32">
        <f t="shared" si="69"/>
        <v>6339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512.55000000000007</v>
      </c>
      <c r="V92" s="50">
        <f t="shared" si="82"/>
        <v>579.85</v>
      </c>
      <c r="W92" s="50">
        <f t="shared" si="83"/>
        <v>534.3499999999998</v>
      </c>
      <c r="X92" s="29">
        <f t="shared" si="77"/>
        <v>1626.75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79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0"/>
  <dimension ref="A2:X93"/>
  <sheetViews>
    <sheetView workbookViewId="0">
      <selection activeCell="S16" sqref="S16"/>
    </sheetView>
  </sheetViews>
  <sheetFormatPr defaultRowHeight="15"/>
  <cols>
    <col min="1" max="1" width="9.140625" style="46"/>
    <col min="2" max="2" width="9.5703125" style="46" bestFit="1" customWidth="1"/>
    <col min="3" max="10" width="9.140625" style="46"/>
    <col min="11" max="11" width="35.85546875" style="46" customWidth="1"/>
    <col min="12" max="16384" width="9.140625" style="46"/>
  </cols>
  <sheetData>
    <row r="2" spans="1:17">
      <c r="C2" s="79" t="s">
        <v>26</v>
      </c>
      <c r="D2" s="79"/>
      <c r="E2" s="79"/>
      <c r="F2" s="79"/>
      <c r="K2" s="12" t="s">
        <v>19</v>
      </c>
      <c r="M2" s="46">
        <f>MIN(M3:M66)</f>
        <v>0.87884240432004646</v>
      </c>
      <c r="O2" s="46" t="str">
        <f>D3</f>
        <v>A</v>
      </c>
      <c r="P2" s="46" t="str">
        <f>E3</f>
        <v>CWF</v>
      </c>
      <c r="Q2" s="46" t="str">
        <f>F3</f>
        <v>D65</v>
      </c>
    </row>
    <row r="3" spans="1:17">
      <c r="D3" s="46" t="str">
        <f>B13</f>
        <v>A</v>
      </c>
      <c r="E3" s="46" t="str">
        <f>B16</f>
        <v>CWF</v>
      </c>
      <c r="F3" s="46" t="str">
        <f>B19</f>
        <v>D65</v>
      </c>
      <c r="K3" s="11" t="str">
        <f>CHAR(34) &amp; "EEpromVersion" &amp;CHAR(34)  &amp; ",2,"</f>
        <v>"EEpromVersion",2,</v>
      </c>
      <c r="M3" s="46">
        <f t="shared" ref="M3:M66" si="0">MAX(O3:Q3)-MIN(O3:Q3)</f>
        <v>73.656275207380546</v>
      </c>
      <c r="N3" s="46">
        <v>0</v>
      </c>
      <c r="O3" s="50">
        <f>G$5-N3*G$7</f>
        <v>126.74971580143995</v>
      </c>
      <c r="P3" s="50">
        <f>H$5-N3*H$7</f>
        <v>53.093440594059402</v>
      </c>
      <c r="Q3" s="50">
        <f>I$5-N3*I$7</f>
        <v>62.179764583693952</v>
      </c>
    </row>
    <row r="4" spans="1:17">
      <c r="C4" s="46" t="s">
        <v>20</v>
      </c>
      <c r="D4" s="7">
        <v>527.79999999999995</v>
      </c>
      <c r="E4" s="7">
        <v>1212</v>
      </c>
      <c r="F4" s="7">
        <v>577.70000000000005</v>
      </c>
      <c r="G4" s="50">
        <f>AVERAGE(D4:F4)</f>
        <v>772.5</v>
      </c>
      <c r="H4" s="50">
        <f>G4</f>
        <v>772.5</v>
      </c>
      <c r="I4" s="50">
        <f>H4</f>
        <v>772.5</v>
      </c>
      <c r="K4" s="13" t="str">
        <f>linefmt("Compensation",B12)</f>
        <v>"Compensation",36,</v>
      </c>
      <c r="M4" s="46">
        <f t="shared" si="0"/>
        <v>71.621527483484442</v>
      </c>
      <c r="N4" s="46">
        <f>N3+1</f>
        <v>1</v>
      </c>
      <c r="O4" s="50">
        <f t="shared" ref="O4:O66" si="1">G$5-N4*G$7</f>
        <v>124.62081022425851</v>
      </c>
      <c r="P4" s="50">
        <f t="shared" ref="P4:P66" si="2">H$5-N4*H$7</f>
        <v>52.999282740774071</v>
      </c>
      <c r="Q4" s="50">
        <f t="shared" ref="Q4:Q66" si="3">I$5-N4*I$7</f>
        <v>61.857621130816554</v>
      </c>
    </row>
    <row r="5" spans="1:17">
      <c r="C5" s="46">
        <v>0</v>
      </c>
      <c r="D5" s="9">
        <v>86.6</v>
      </c>
      <c r="E5" s="9">
        <v>83.3</v>
      </c>
      <c r="F5" s="9">
        <v>46.5</v>
      </c>
      <c r="G5" s="50">
        <f>G$4/D$4*D5</f>
        <v>126.74971580143995</v>
      </c>
      <c r="H5" s="50">
        <f t="shared" ref="H5:I6" si="4">H$4/E$4*E5</f>
        <v>53.093440594059402</v>
      </c>
      <c r="I5" s="50">
        <f t="shared" si="4"/>
        <v>62.179764583693952</v>
      </c>
      <c r="K5" s="14" t="str">
        <f>linefmt("CardGain",J54)</f>
        <v>"CardGain",12.92349,</v>
      </c>
      <c r="M5" s="46">
        <f t="shared" si="0"/>
        <v>69.586779759588325</v>
      </c>
      <c r="N5" s="46">
        <f t="shared" ref="N5:N66" si="5">N4+1</f>
        <v>2</v>
      </c>
      <c r="O5" s="50">
        <f t="shared" si="1"/>
        <v>122.49190464707706</v>
      </c>
      <c r="P5" s="50">
        <f t="shared" si="2"/>
        <v>52.905124887488746</v>
      </c>
      <c r="Q5" s="50">
        <f t="shared" si="3"/>
        <v>61.535477677939156</v>
      </c>
    </row>
    <row r="6" spans="1:17">
      <c r="B6" s="50">
        <f>D5/4</f>
        <v>21.65</v>
      </c>
      <c r="C6" s="7">
        <v>44</v>
      </c>
      <c r="D6" s="9">
        <v>22.6</v>
      </c>
      <c r="E6" s="9">
        <v>76.8</v>
      </c>
      <c r="F6" s="9">
        <v>35.9</v>
      </c>
      <c r="G6" s="50">
        <f>G$4/D$4*D6</f>
        <v>33.077870405456622</v>
      </c>
      <c r="H6" s="50">
        <f t="shared" si="4"/>
        <v>48.950495049504951</v>
      </c>
      <c r="I6" s="50">
        <f t="shared" si="4"/>
        <v>48.005452657088448</v>
      </c>
      <c r="K6" s="14" t="str">
        <f>linefmt("Range",1,J34,J37)</f>
        <v>"Range",1,0.9037588,0.923012,</v>
      </c>
      <c r="M6" s="46">
        <f t="shared" si="0"/>
        <v>67.552032035692221</v>
      </c>
      <c r="N6" s="46">
        <f t="shared" si="5"/>
        <v>3</v>
      </c>
      <c r="O6" s="50">
        <f t="shared" si="1"/>
        <v>120.36299906989564</v>
      </c>
      <c r="P6" s="50">
        <f t="shared" si="2"/>
        <v>52.810967034203415</v>
      </c>
      <c r="Q6" s="50">
        <f t="shared" si="3"/>
        <v>61.213334225061757</v>
      </c>
    </row>
    <row r="7" spans="1:17">
      <c r="C7" s="46">
        <f>C5</f>
        <v>0</v>
      </c>
      <c r="D7" s="46">
        <f t="shared" ref="D7:F8" si="6">D$4/D5</f>
        <v>6.0946882217090064</v>
      </c>
      <c r="E7" s="46">
        <f t="shared" si="6"/>
        <v>14.549819927971189</v>
      </c>
      <c r="F7" s="46">
        <f t="shared" si="6"/>
        <v>12.423655913978495</v>
      </c>
      <c r="G7" s="49">
        <f>(G5-G6)/($C6-$C5)</f>
        <v>2.1289055771814391</v>
      </c>
      <c r="H7" s="49">
        <f t="shared" ref="H7:I7" si="7">(H5-H6)/($C6-$C5)</f>
        <v>9.4157853285328427E-2</v>
      </c>
      <c r="I7" s="49">
        <f t="shared" si="7"/>
        <v>0.32214345287739782</v>
      </c>
      <c r="K7" s="14" t="str">
        <f>linefmt("CCM" )</f>
        <v>"CCM",</v>
      </c>
      <c r="M7" s="46">
        <f t="shared" si="0"/>
        <v>65.517284311796104</v>
      </c>
      <c r="N7" s="46">
        <f t="shared" si="5"/>
        <v>4</v>
      </c>
      <c r="O7" s="50">
        <f t="shared" si="1"/>
        <v>118.23409349271419</v>
      </c>
      <c r="P7" s="50">
        <f t="shared" si="2"/>
        <v>52.716809180918091</v>
      </c>
      <c r="Q7" s="50">
        <f t="shared" si="3"/>
        <v>60.891190772184359</v>
      </c>
    </row>
    <row r="8" spans="1:17">
      <c r="C8" s="46">
        <f>C6</f>
        <v>44</v>
      </c>
      <c r="D8" s="46">
        <f t="shared" si="6"/>
        <v>23.353982300884951</v>
      </c>
      <c r="E8" s="46">
        <f t="shared" si="6"/>
        <v>15.78125</v>
      </c>
      <c r="F8" s="46">
        <f t="shared" si="6"/>
        <v>16.091922005571032</v>
      </c>
      <c r="K8" s="15" t="str">
        <f>linefmt("",D54,E54,F54)</f>
        <v>0.1788321,1.064426,-0.1315245,</v>
      </c>
      <c r="M8" s="46">
        <f t="shared" si="0"/>
        <v>63.482536587899993</v>
      </c>
      <c r="N8" s="46">
        <f t="shared" si="5"/>
        <v>5</v>
      </c>
      <c r="O8" s="50">
        <f t="shared" si="1"/>
        <v>116.10518791553275</v>
      </c>
      <c r="P8" s="50">
        <f t="shared" si="2"/>
        <v>52.622651327632759</v>
      </c>
      <c r="Q8" s="50">
        <f t="shared" si="3"/>
        <v>60.569047319306961</v>
      </c>
    </row>
    <row r="9" spans="1:17">
      <c r="C9" s="46" t="s">
        <v>23</v>
      </c>
      <c r="D9" s="46">
        <f>(D8-D7)/($C8-$C7)</f>
        <v>0.3922566836176351</v>
      </c>
      <c r="E9" s="46">
        <f>(E8-E7)/($C8-$C7)</f>
        <v>2.7987047091563886E-2</v>
      </c>
      <c r="F9" s="46">
        <f>(F8-F7)/($C8-$C7)</f>
        <v>8.3369683899830391E-2</v>
      </c>
      <c r="K9" s="15" t="str">
        <f>linefmt("",D55,E55,F55)</f>
        <v>-6.060952E-03,1,0.2546127,</v>
      </c>
      <c r="M9" s="46">
        <f t="shared" si="0"/>
        <v>61.447788864003883</v>
      </c>
      <c r="N9" s="46">
        <f t="shared" si="5"/>
        <v>6</v>
      </c>
      <c r="O9" s="50">
        <f t="shared" si="1"/>
        <v>113.97628233835131</v>
      </c>
      <c r="P9" s="50">
        <f t="shared" si="2"/>
        <v>52.528493474347428</v>
      </c>
      <c r="Q9" s="50">
        <f t="shared" si="3"/>
        <v>60.246903866429562</v>
      </c>
    </row>
    <row r="10" spans="1:17">
      <c r="K10" s="16" t="str">
        <f>linefmt("",D56,E56,F56)</f>
        <v>-0.6203805,0.2450359,1.511508,</v>
      </c>
      <c r="M10" s="46">
        <f t="shared" si="0"/>
        <v>59.413041140107765</v>
      </c>
      <c r="N10" s="46">
        <f t="shared" si="5"/>
        <v>7</v>
      </c>
      <c r="O10" s="50">
        <f t="shared" si="1"/>
        <v>111.84737676116987</v>
      </c>
      <c r="P10" s="50">
        <f t="shared" si="2"/>
        <v>52.434335621062104</v>
      </c>
      <c r="Q10" s="50">
        <f t="shared" si="3"/>
        <v>59.924760413552164</v>
      </c>
    </row>
    <row r="11" spans="1:17">
      <c r="D11" s="79" t="s">
        <v>17</v>
      </c>
      <c r="E11" s="79"/>
      <c r="F11" s="79"/>
      <c r="G11" s="79" t="s">
        <v>18</v>
      </c>
      <c r="H11" s="79"/>
      <c r="I11" s="79"/>
      <c r="M11" s="46">
        <f t="shared" si="0"/>
        <v>57.378293416211669</v>
      </c>
      <c r="N11" s="46">
        <f t="shared" si="5"/>
        <v>8</v>
      </c>
      <c r="O11" s="50">
        <f t="shared" si="1"/>
        <v>109.71847118398844</v>
      </c>
      <c r="P11" s="50">
        <f t="shared" si="2"/>
        <v>52.340177767776773</v>
      </c>
      <c r="Q11" s="50">
        <f t="shared" si="3"/>
        <v>59.602616960674773</v>
      </c>
    </row>
    <row r="12" spans="1:17">
      <c r="A12" s="46" t="s">
        <v>16</v>
      </c>
      <c r="B12" s="10">
        <f>MATCH(M2,M3:M66,0)-1</f>
        <v>36</v>
      </c>
      <c r="C12" s="46" t="s">
        <v>10</v>
      </c>
      <c r="D12" s="46" t="s">
        <v>3</v>
      </c>
      <c r="E12" s="46" t="s">
        <v>4</v>
      </c>
      <c r="F12" s="46" t="s">
        <v>5</v>
      </c>
      <c r="G12" s="46" t="s">
        <v>6</v>
      </c>
      <c r="H12" s="46" t="s">
        <v>7</v>
      </c>
      <c r="I12" s="46" t="s">
        <v>8</v>
      </c>
      <c r="K12" s="46" t="str">
        <f>"Compensation="&amp;B12</f>
        <v>Compensation=36</v>
      </c>
      <c r="M12" s="46">
        <f t="shared" si="0"/>
        <v>55.343545692315551</v>
      </c>
      <c r="N12" s="46">
        <f t="shared" si="5"/>
        <v>9</v>
      </c>
      <c r="O12" s="50">
        <f t="shared" si="1"/>
        <v>107.589565606807</v>
      </c>
      <c r="P12" s="50">
        <f t="shared" si="2"/>
        <v>52.246019914491448</v>
      </c>
      <c r="Q12" s="50">
        <f t="shared" si="3"/>
        <v>59.280473507797375</v>
      </c>
    </row>
    <row r="13" spans="1:17">
      <c r="A13" s="78" t="s">
        <v>12</v>
      </c>
      <c r="B13" s="79" t="s">
        <v>0</v>
      </c>
      <c r="C13" s="46">
        <v>0</v>
      </c>
      <c r="D13" s="7">
        <v>557.6</v>
      </c>
      <c r="E13" s="7">
        <v>517.5</v>
      </c>
      <c r="F13" s="7">
        <v>156.6</v>
      </c>
      <c r="G13" s="8">
        <v>81.2</v>
      </c>
      <c r="H13" s="8">
        <v>32.799999999999997</v>
      </c>
      <c r="I13" s="8">
        <v>39.4</v>
      </c>
      <c r="M13" s="46">
        <f t="shared" si="0"/>
        <v>53.308797968419441</v>
      </c>
      <c r="N13" s="46">
        <f t="shared" si="5"/>
        <v>10</v>
      </c>
      <c r="O13" s="50">
        <f t="shared" si="1"/>
        <v>105.46066002962556</v>
      </c>
      <c r="P13" s="50">
        <f t="shared" si="2"/>
        <v>52.151862061206117</v>
      </c>
      <c r="Q13" s="50">
        <f t="shared" si="3"/>
        <v>58.958330054919976</v>
      </c>
    </row>
    <row r="14" spans="1:17">
      <c r="A14" s="78"/>
      <c r="B14" s="79"/>
      <c r="C14" s="46">
        <f>C13+1</f>
        <v>1</v>
      </c>
      <c r="D14" s="7">
        <v>562.29999999999995</v>
      </c>
      <c r="E14" s="7">
        <v>521.6</v>
      </c>
      <c r="F14" s="7">
        <v>156.5</v>
      </c>
      <c r="G14" s="8">
        <v>88.4</v>
      </c>
      <c r="H14" s="8">
        <v>36.9</v>
      </c>
      <c r="I14" s="8">
        <v>44.1</v>
      </c>
      <c r="M14" s="46">
        <f t="shared" si="0"/>
        <v>51.274050244523323</v>
      </c>
      <c r="N14" s="46">
        <f t="shared" si="5"/>
        <v>11</v>
      </c>
      <c r="O14" s="50">
        <f t="shared" si="1"/>
        <v>103.33175445244412</v>
      </c>
      <c r="P14" s="50">
        <f t="shared" si="2"/>
        <v>52.057704207920793</v>
      </c>
      <c r="Q14" s="50">
        <f t="shared" si="3"/>
        <v>58.636186602042578</v>
      </c>
    </row>
    <row r="15" spans="1:17">
      <c r="A15" s="78"/>
      <c r="B15" s="79"/>
      <c r="C15" s="46">
        <f>C14+1</f>
        <v>2</v>
      </c>
      <c r="D15" s="6">
        <f>2*(D13-D14)/(D13+D14)</f>
        <v>-8.3936065720152352E-3</v>
      </c>
      <c r="E15" s="6">
        <f t="shared" ref="E15:F15" si="8">2*(E13-E14)/(E13+E14)</f>
        <v>-7.8914445192955884E-3</v>
      </c>
      <c r="F15" s="6">
        <f t="shared" si="8"/>
        <v>6.3877355477479601E-4</v>
      </c>
      <c r="G15" s="8">
        <v>103.2</v>
      </c>
      <c r="H15" s="8">
        <v>32.4</v>
      </c>
      <c r="I15" s="8">
        <v>40.1</v>
      </c>
      <c r="M15" s="46">
        <f t="shared" si="0"/>
        <v>49.239302520627213</v>
      </c>
      <c r="N15" s="46">
        <f t="shared" si="5"/>
        <v>12</v>
      </c>
      <c r="O15" s="50">
        <f t="shared" si="1"/>
        <v>101.20284887526267</v>
      </c>
      <c r="P15" s="50">
        <f t="shared" si="2"/>
        <v>51.963546354635461</v>
      </c>
      <c r="Q15" s="50">
        <f t="shared" si="3"/>
        <v>58.31404314916518</v>
      </c>
    </row>
    <row r="16" spans="1:17">
      <c r="A16" s="78"/>
      <c r="B16" s="79" t="s">
        <v>1</v>
      </c>
      <c r="C16" s="46">
        <f>C13</f>
        <v>0</v>
      </c>
      <c r="D16" s="7">
        <v>1204</v>
      </c>
      <c r="E16" s="7">
        <v>1214</v>
      </c>
      <c r="F16" s="7">
        <v>653</v>
      </c>
      <c r="G16" s="8">
        <v>63.7</v>
      </c>
      <c r="H16" s="8">
        <v>78.2</v>
      </c>
      <c r="I16" s="8">
        <v>45.2</v>
      </c>
      <c r="M16" s="46">
        <f t="shared" si="0"/>
        <v>47.204554796731117</v>
      </c>
      <c r="N16" s="46">
        <f t="shared" si="5"/>
        <v>13</v>
      </c>
      <c r="O16" s="50">
        <f t="shared" si="1"/>
        <v>99.073943298081247</v>
      </c>
      <c r="P16" s="50">
        <f t="shared" si="2"/>
        <v>51.86938850135013</v>
      </c>
      <c r="Q16" s="50">
        <f t="shared" si="3"/>
        <v>57.991899696287781</v>
      </c>
    </row>
    <row r="17" spans="1:21">
      <c r="A17" s="78"/>
      <c r="B17" s="79"/>
      <c r="C17" s="46">
        <f t="shared" ref="C17:C21" si="9">C14</f>
        <v>1</v>
      </c>
      <c r="D17" s="7">
        <v>1206</v>
      </c>
      <c r="E17" s="7">
        <v>1216</v>
      </c>
      <c r="F17" s="7">
        <v>652</v>
      </c>
      <c r="G17" s="8">
        <v>70.2</v>
      </c>
      <c r="H17" s="8">
        <v>85.2</v>
      </c>
      <c r="I17" s="8">
        <v>50.4</v>
      </c>
      <c r="M17" s="46">
        <f t="shared" si="0"/>
        <v>45.169807072834985</v>
      </c>
      <c r="N17" s="46">
        <f t="shared" si="5"/>
        <v>14</v>
      </c>
      <c r="O17" s="50">
        <f t="shared" si="1"/>
        <v>96.945037720899791</v>
      </c>
      <c r="P17" s="50">
        <f t="shared" si="2"/>
        <v>51.775230648064806</v>
      </c>
      <c r="Q17" s="50">
        <f t="shared" si="3"/>
        <v>57.669756243410383</v>
      </c>
    </row>
    <row r="18" spans="1:21">
      <c r="A18" s="78"/>
      <c r="B18" s="79"/>
      <c r="C18" s="46">
        <f t="shared" si="9"/>
        <v>2</v>
      </c>
      <c r="D18" s="6">
        <f>2*(D16-D17)/(D16+D17)</f>
        <v>-1.6597510373443983E-3</v>
      </c>
      <c r="E18" s="6">
        <f t="shared" ref="E18:F18" si="10">2*(E16-E17)/(E16+E17)</f>
        <v>-1.6460905349794238E-3</v>
      </c>
      <c r="F18" s="6">
        <f t="shared" si="10"/>
        <v>1.5325670498084292E-3</v>
      </c>
      <c r="G18" s="8">
        <v>57.3</v>
      </c>
      <c r="H18" s="8">
        <v>98.5</v>
      </c>
      <c r="I18" s="8">
        <v>46.8</v>
      </c>
      <c r="M18" s="46">
        <f t="shared" si="0"/>
        <v>43.135059348938888</v>
      </c>
      <c r="N18" s="46">
        <f t="shared" si="5"/>
        <v>15</v>
      </c>
      <c r="O18" s="50">
        <f t="shared" si="1"/>
        <v>94.816132143718363</v>
      </c>
      <c r="P18" s="50">
        <f t="shared" si="2"/>
        <v>51.681072794779475</v>
      </c>
      <c r="Q18" s="50">
        <f t="shared" si="3"/>
        <v>57.347612790532985</v>
      </c>
    </row>
    <row r="19" spans="1:21">
      <c r="A19" s="78"/>
      <c r="B19" s="79" t="s">
        <v>2</v>
      </c>
      <c r="C19" s="46">
        <f t="shared" si="9"/>
        <v>0</v>
      </c>
      <c r="D19" s="7">
        <v>511.4</v>
      </c>
      <c r="E19" s="7">
        <v>578.79999999999995</v>
      </c>
      <c r="F19" s="7">
        <v>534</v>
      </c>
      <c r="G19" s="8">
        <v>27.4</v>
      </c>
      <c r="H19" s="8">
        <v>37.700000000000003</v>
      </c>
      <c r="I19" s="8">
        <v>32</v>
      </c>
      <c r="M19" s="46">
        <f t="shared" si="0"/>
        <v>41.100311625042771</v>
      </c>
      <c r="N19" s="46">
        <f t="shared" si="5"/>
        <v>16</v>
      </c>
      <c r="O19" s="50">
        <f t="shared" si="1"/>
        <v>92.687226566536921</v>
      </c>
      <c r="P19" s="50">
        <f t="shared" si="2"/>
        <v>51.58691494149415</v>
      </c>
      <c r="Q19" s="50">
        <f t="shared" si="3"/>
        <v>57.025469337655586</v>
      </c>
    </row>
    <row r="20" spans="1:21">
      <c r="A20" s="78"/>
      <c r="B20" s="79"/>
      <c r="C20" s="46">
        <f t="shared" si="9"/>
        <v>1</v>
      </c>
      <c r="D20" s="7">
        <v>512.29999999999995</v>
      </c>
      <c r="E20" s="7">
        <v>579.5</v>
      </c>
      <c r="F20" s="7">
        <v>534.29999999999995</v>
      </c>
      <c r="G20" s="8">
        <v>30.8</v>
      </c>
      <c r="H20" s="8">
        <v>42.2</v>
      </c>
      <c r="I20" s="8">
        <v>36</v>
      </c>
      <c r="M20" s="46">
        <f t="shared" si="0"/>
        <v>39.06556390114666</v>
      </c>
      <c r="N20" s="46">
        <f t="shared" si="5"/>
        <v>17</v>
      </c>
      <c r="O20" s="50">
        <f t="shared" si="1"/>
        <v>90.558320989355479</v>
      </c>
      <c r="P20" s="50">
        <f t="shared" si="2"/>
        <v>51.492757088208819</v>
      </c>
      <c r="Q20" s="50">
        <f t="shared" si="3"/>
        <v>56.703325884778188</v>
      </c>
    </row>
    <row r="21" spans="1:21">
      <c r="A21" s="78"/>
      <c r="B21" s="79"/>
      <c r="C21" s="46">
        <f t="shared" si="9"/>
        <v>2</v>
      </c>
      <c r="D21" s="6">
        <f>2*(D19-D20)/(D19+D20)</f>
        <v>-1.7583276350492867E-3</v>
      </c>
      <c r="E21" s="6">
        <f t="shared" ref="E21:F21" si="11">2*(E19-E20)/(E19+E20)</f>
        <v>-1.2086678753346206E-3</v>
      </c>
      <c r="F21" s="6">
        <f t="shared" si="11"/>
        <v>-5.6163998876711512E-4</v>
      </c>
      <c r="G21" s="8">
        <v>26.4</v>
      </c>
      <c r="H21" s="8">
        <v>38.200000000000003</v>
      </c>
      <c r="I21" s="8">
        <v>31.2</v>
      </c>
      <c r="M21" s="46">
        <f t="shared" si="0"/>
        <v>37.030816177250564</v>
      </c>
      <c r="N21" s="46">
        <f t="shared" si="5"/>
        <v>18</v>
      </c>
      <c r="O21" s="50">
        <f t="shared" si="1"/>
        <v>88.429415412174052</v>
      </c>
      <c r="P21" s="50">
        <f t="shared" si="2"/>
        <v>51.398599234923488</v>
      </c>
      <c r="Q21" s="50">
        <f t="shared" si="3"/>
        <v>56.38118243190079</v>
      </c>
    </row>
    <row r="22" spans="1:21">
      <c r="A22" s="78" t="s">
        <v>11</v>
      </c>
      <c r="B22" s="46" t="str">
        <f>B13</f>
        <v>A</v>
      </c>
      <c r="C22" s="79">
        <f>C13</f>
        <v>0</v>
      </c>
      <c r="D22" s="46">
        <f>(D13+D14)/2</f>
        <v>559.95000000000005</v>
      </c>
      <c r="E22" s="46">
        <f t="shared" ref="E22:F22" si="12">(E13+E14)/2</f>
        <v>519.54999999999995</v>
      </c>
      <c r="F22" s="46">
        <f t="shared" si="12"/>
        <v>156.55000000000001</v>
      </c>
      <c r="G22" s="5">
        <f>G13</f>
        <v>81.2</v>
      </c>
      <c r="H22" s="5">
        <f t="shared" ref="H22:I22" si="13">H13</f>
        <v>32.799999999999997</v>
      </c>
      <c r="I22" s="5">
        <f t="shared" si="13"/>
        <v>39.4</v>
      </c>
      <c r="J22" s="99">
        <f>AVERAGE(G22:I24)</f>
        <v>48.62222222222222</v>
      </c>
      <c r="M22" s="46">
        <f t="shared" si="0"/>
        <v>34.996068453354432</v>
      </c>
      <c r="N22" s="46">
        <f t="shared" si="5"/>
        <v>19</v>
      </c>
      <c r="O22" s="50">
        <f t="shared" si="1"/>
        <v>86.300509834992596</v>
      </c>
      <c r="P22" s="50">
        <f t="shared" si="2"/>
        <v>51.304441381638163</v>
      </c>
      <c r="Q22" s="50">
        <f t="shared" si="3"/>
        <v>56.059038979023391</v>
      </c>
      <c r="U22" s="27"/>
    </row>
    <row r="23" spans="1:21">
      <c r="A23" s="78"/>
      <c r="B23" s="46" t="str">
        <f>B16</f>
        <v>CWF</v>
      </c>
      <c r="C23" s="79"/>
      <c r="D23" s="46">
        <f>(D16+D17)/2</f>
        <v>1205</v>
      </c>
      <c r="E23" s="46">
        <f>(E16+E17)/2</f>
        <v>1215</v>
      </c>
      <c r="F23" s="46">
        <f>(F16+F17)/2</f>
        <v>652.5</v>
      </c>
      <c r="G23" s="5">
        <f>G16</f>
        <v>63.7</v>
      </c>
      <c r="H23" s="5">
        <f>H16</f>
        <v>78.2</v>
      </c>
      <c r="I23" s="5">
        <f>I16</f>
        <v>45.2</v>
      </c>
      <c r="J23" s="99"/>
      <c r="M23" s="46">
        <f t="shared" si="0"/>
        <v>32.961320729458336</v>
      </c>
      <c r="N23" s="46">
        <f t="shared" si="5"/>
        <v>20</v>
      </c>
      <c r="O23" s="50">
        <f t="shared" si="1"/>
        <v>84.171604257811168</v>
      </c>
      <c r="P23" s="50">
        <f t="shared" si="2"/>
        <v>51.210283528352832</v>
      </c>
      <c r="Q23" s="50">
        <f t="shared" si="3"/>
        <v>55.736895526145993</v>
      </c>
    </row>
    <row r="24" spans="1:21">
      <c r="A24" s="78"/>
      <c r="B24" s="46" t="str">
        <f>B19</f>
        <v>D65</v>
      </c>
      <c r="C24" s="79"/>
      <c r="D24" s="46">
        <f>(D19+D20)/2</f>
        <v>511.84999999999997</v>
      </c>
      <c r="E24" s="46">
        <f>(E19+E20)/2</f>
        <v>579.15</v>
      </c>
      <c r="F24" s="46">
        <f>(F19+F20)/2</f>
        <v>534.15</v>
      </c>
      <c r="G24" s="5">
        <f>G19</f>
        <v>27.4</v>
      </c>
      <c r="H24" s="5">
        <f>H19</f>
        <v>37.700000000000003</v>
      </c>
      <c r="I24" s="5">
        <f>I19</f>
        <v>32</v>
      </c>
      <c r="J24" s="99"/>
      <c r="M24" s="46">
        <f t="shared" si="0"/>
        <v>30.926573005562219</v>
      </c>
      <c r="N24" s="46">
        <f t="shared" si="5"/>
        <v>21</v>
      </c>
      <c r="O24" s="50">
        <f t="shared" si="1"/>
        <v>82.042698680629726</v>
      </c>
      <c r="P24" s="50">
        <f t="shared" si="2"/>
        <v>51.116125675067508</v>
      </c>
      <c r="Q24" s="50">
        <f t="shared" si="3"/>
        <v>55.414752073268602</v>
      </c>
    </row>
    <row r="25" spans="1:21">
      <c r="A25" s="78"/>
      <c r="B25" s="46" t="str">
        <f>B13</f>
        <v>A</v>
      </c>
      <c r="C25" s="79">
        <f t="shared" ref="C25" si="14">C14</f>
        <v>1</v>
      </c>
      <c r="D25" s="46">
        <f>(D13+D14)/2</f>
        <v>559.95000000000005</v>
      </c>
      <c r="E25" s="46">
        <f t="shared" ref="E25:F25" si="15">(E13+E14)/2</f>
        <v>519.54999999999995</v>
      </c>
      <c r="F25" s="46">
        <f t="shared" si="15"/>
        <v>156.55000000000001</v>
      </c>
      <c r="G25" s="5">
        <f t="shared" ref="G25:I25" si="16">G14</f>
        <v>88.4</v>
      </c>
      <c r="H25" s="5">
        <f t="shared" si="16"/>
        <v>36.9</v>
      </c>
      <c r="I25" s="5">
        <f t="shared" si="16"/>
        <v>44.1</v>
      </c>
      <c r="J25" s="99">
        <f>AVERAGE(G25:I27)</f>
        <v>53.8</v>
      </c>
      <c r="M25" s="46">
        <f t="shared" si="0"/>
        <v>28.891825281666108</v>
      </c>
      <c r="N25" s="46">
        <f t="shared" si="5"/>
        <v>22</v>
      </c>
      <c r="O25" s="50">
        <f t="shared" si="1"/>
        <v>79.913793103448285</v>
      </c>
      <c r="P25" s="50">
        <f t="shared" si="2"/>
        <v>51.021967821782177</v>
      </c>
      <c r="Q25" s="50">
        <f t="shared" si="3"/>
        <v>55.092608620391204</v>
      </c>
    </row>
    <row r="26" spans="1:21">
      <c r="A26" s="78"/>
      <c r="B26" s="46" t="str">
        <f>B16</f>
        <v>CWF</v>
      </c>
      <c r="C26" s="79"/>
      <c r="D26" s="46">
        <f>(D16+D17)/2</f>
        <v>1205</v>
      </c>
      <c r="E26" s="46">
        <f>(E16+E17)/2</f>
        <v>1215</v>
      </c>
      <c r="F26" s="46">
        <f>(F16+F17)/2</f>
        <v>652.5</v>
      </c>
      <c r="G26" s="5">
        <f>G17</f>
        <v>70.2</v>
      </c>
      <c r="H26" s="5">
        <f>H17</f>
        <v>85.2</v>
      </c>
      <c r="I26" s="5">
        <f>I17</f>
        <v>50.4</v>
      </c>
      <c r="J26" s="99"/>
      <c r="M26" s="46">
        <f t="shared" si="0"/>
        <v>26.857077557770012</v>
      </c>
      <c r="N26" s="46">
        <f t="shared" si="5"/>
        <v>23</v>
      </c>
      <c r="O26" s="50">
        <f t="shared" si="1"/>
        <v>77.784887526266857</v>
      </c>
      <c r="P26" s="50">
        <f t="shared" si="2"/>
        <v>50.927809968496845</v>
      </c>
      <c r="Q26" s="50">
        <f t="shared" si="3"/>
        <v>54.770465167513805</v>
      </c>
    </row>
    <row r="27" spans="1:21">
      <c r="A27" s="78"/>
      <c r="B27" s="46" t="str">
        <f>B19</f>
        <v>D65</v>
      </c>
      <c r="C27" s="79"/>
      <c r="D27" s="46">
        <f>(D19+D20)/2</f>
        <v>511.84999999999997</v>
      </c>
      <c r="E27" s="46">
        <f>(E19+E20)/2</f>
        <v>579.15</v>
      </c>
      <c r="F27" s="46">
        <f>(F19+F20)/2</f>
        <v>534.15</v>
      </c>
      <c r="G27" s="5">
        <f>G20</f>
        <v>30.8</v>
      </c>
      <c r="H27" s="5">
        <f>H20</f>
        <v>42.2</v>
      </c>
      <c r="I27" s="5">
        <f>I20</f>
        <v>36</v>
      </c>
      <c r="J27" s="99"/>
      <c r="M27" s="46">
        <f t="shared" si="0"/>
        <v>24.82232983387388</v>
      </c>
      <c r="N27" s="46">
        <f t="shared" si="5"/>
        <v>24</v>
      </c>
      <c r="O27" s="50">
        <f t="shared" si="1"/>
        <v>75.655981949085401</v>
      </c>
      <c r="P27" s="50">
        <f t="shared" si="2"/>
        <v>50.833652115211521</v>
      </c>
      <c r="Q27" s="50">
        <f t="shared" si="3"/>
        <v>54.448321714636407</v>
      </c>
    </row>
    <row r="28" spans="1:21">
      <c r="A28" s="78"/>
      <c r="B28" s="46" t="str">
        <f>B13</f>
        <v>A</v>
      </c>
      <c r="C28" s="79">
        <f>C15</f>
        <v>2</v>
      </c>
      <c r="D28" s="46">
        <f>(D13+D14)/2</f>
        <v>559.95000000000005</v>
      </c>
      <c r="E28" s="46">
        <f t="shared" ref="E28:F28" si="17">(E13+E14)/2</f>
        <v>519.54999999999995</v>
      </c>
      <c r="F28" s="46">
        <f t="shared" si="17"/>
        <v>156.55000000000001</v>
      </c>
      <c r="G28" s="5">
        <f t="shared" ref="G28:I28" si="18">G15</f>
        <v>103.2</v>
      </c>
      <c r="H28" s="5">
        <f t="shared" si="18"/>
        <v>32.4</v>
      </c>
      <c r="I28" s="5">
        <f t="shared" si="18"/>
        <v>40.1</v>
      </c>
      <c r="J28" s="99">
        <f>AVERAGE(G28:I30)</f>
        <v>52.677777777777777</v>
      </c>
      <c r="M28" s="46">
        <f t="shared" si="0"/>
        <v>22.787582109977784</v>
      </c>
      <c r="N28" s="46">
        <f t="shared" si="5"/>
        <v>25</v>
      </c>
      <c r="O28" s="50">
        <f t="shared" si="1"/>
        <v>73.527076371903973</v>
      </c>
      <c r="P28" s="50">
        <f t="shared" si="2"/>
        <v>50.73949426192619</v>
      </c>
      <c r="Q28" s="50">
        <f t="shared" si="3"/>
        <v>54.126178261759009</v>
      </c>
    </row>
    <row r="29" spans="1:21">
      <c r="A29" s="78"/>
      <c r="B29" s="46" t="str">
        <f t="shared" ref="B29" si="19">B16</f>
        <v>CWF</v>
      </c>
      <c r="C29" s="79"/>
      <c r="D29" s="46">
        <f t="shared" ref="D29:F29" si="20">(D16+D17)/2</f>
        <v>1205</v>
      </c>
      <c r="E29" s="46">
        <f t="shared" si="20"/>
        <v>1215</v>
      </c>
      <c r="F29" s="46">
        <f t="shared" si="20"/>
        <v>652.5</v>
      </c>
      <c r="G29" s="5">
        <f t="shared" ref="G29:I29" si="21">G18</f>
        <v>57.3</v>
      </c>
      <c r="H29" s="5">
        <f t="shared" si="21"/>
        <v>98.5</v>
      </c>
      <c r="I29" s="5">
        <f t="shared" si="21"/>
        <v>46.8</v>
      </c>
      <c r="J29" s="99"/>
      <c r="M29" s="46">
        <f t="shared" si="0"/>
        <v>20.752834386081666</v>
      </c>
      <c r="N29" s="46">
        <f t="shared" si="5"/>
        <v>26</v>
      </c>
      <c r="O29" s="50">
        <f t="shared" si="1"/>
        <v>71.398170794722532</v>
      </c>
      <c r="P29" s="50">
        <f t="shared" si="2"/>
        <v>50.645336408640865</v>
      </c>
      <c r="Q29" s="50">
        <f t="shared" si="3"/>
        <v>53.80403480888161</v>
      </c>
    </row>
    <row r="30" spans="1:21">
      <c r="A30" s="78"/>
      <c r="B30" s="46" t="str">
        <f t="shared" ref="B30" si="22">B19</f>
        <v>D65</v>
      </c>
      <c r="C30" s="79"/>
      <c r="D30" s="46">
        <f t="shared" ref="D30:F30" si="23">(D19+D20)/2</f>
        <v>511.84999999999997</v>
      </c>
      <c r="E30" s="46">
        <f t="shared" si="23"/>
        <v>579.15</v>
      </c>
      <c r="F30" s="46">
        <f t="shared" si="23"/>
        <v>534.15</v>
      </c>
      <c r="G30" s="5">
        <f t="shared" ref="G30:I30" si="24">G21</f>
        <v>26.4</v>
      </c>
      <c r="H30" s="5">
        <f t="shared" si="24"/>
        <v>38.200000000000003</v>
      </c>
      <c r="I30" s="5">
        <f t="shared" si="24"/>
        <v>31.2</v>
      </c>
      <c r="J30" s="99"/>
      <c r="M30" s="46">
        <f t="shared" si="0"/>
        <v>18.718086662185556</v>
      </c>
      <c r="N30" s="46">
        <f t="shared" si="5"/>
        <v>27</v>
      </c>
      <c r="O30" s="50">
        <f t="shared" si="1"/>
        <v>69.26926521754109</v>
      </c>
      <c r="P30" s="50">
        <f t="shared" si="2"/>
        <v>50.551178555355534</v>
      </c>
      <c r="Q30" s="50">
        <f t="shared" si="3"/>
        <v>53.481891356004212</v>
      </c>
    </row>
    <row r="31" spans="1:21">
      <c r="A31" s="78" t="s">
        <v>13</v>
      </c>
      <c r="B31" s="46" t="str">
        <f>B22</f>
        <v>A</v>
      </c>
      <c r="C31" s="79">
        <f t="shared" ref="C31:F31" si="25">C22</f>
        <v>0</v>
      </c>
      <c r="D31" s="46">
        <f t="shared" si="25"/>
        <v>559.95000000000005</v>
      </c>
      <c r="E31" s="46">
        <f t="shared" si="25"/>
        <v>519.54999999999995</v>
      </c>
      <c r="F31" s="46">
        <f t="shared" si="25"/>
        <v>156.55000000000001</v>
      </c>
      <c r="G31" s="5">
        <f t="shared" ref="G31:I33" si="26">G22*$J$31</f>
        <v>81.2</v>
      </c>
      <c r="H31" s="5">
        <f t="shared" si="26"/>
        <v>32.799999999999997</v>
      </c>
      <c r="I31" s="5">
        <f t="shared" si="26"/>
        <v>39.4</v>
      </c>
      <c r="J31" s="96">
        <f>J$22/J22</f>
        <v>1</v>
      </c>
      <c r="M31" s="46">
        <f t="shared" si="0"/>
        <v>16.683338938289445</v>
      </c>
      <c r="N31" s="46">
        <f t="shared" si="5"/>
        <v>28</v>
      </c>
      <c r="O31" s="50">
        <f t="shared" si="1"/>
        <v>67.140359640359648</v>
      </c>
      <c r="P31" s="50">
        <f t="shared" si="2"/>
        <v>50.457020702070203</v>
      </c>
      <c r="Q31" s="50">
        <f t="shared" si="3"/>
        <v>53.159747903126814</v>
      </c>
    </row>
    <row r="32" spans="1:21">
      <c r="A32" s="78"/>
      <c r="B32" s="46" t="str">
        <f t="shared" ref="B32:F39" si="27">B23</f>
        <v>CWF</v>
      </c>
      <c r="C32" s="79"/>
      <c r="D32" s="46">
        <f t="shared" si="27"/>
        <v>1205</v>
      </c>
      <c r="E32" s="46">
        <f t="shared" si="27"/>
        <v>1215</v>
      </c>
      <c r="F32" s="46">
        <f t="shared" si="27"/>
        <v>652.5</v>
      </c>
      <c r="G32" s="5">
        <f t="shared" si="26"/>
        <v>63.7</v>
      </c>
      <c r="H32" s="5">
        <f t="shared" si="26"/>
        <v>78.2</v>
      </c>
      <c r="I32" s="5">
        <f t="shared" si="26"/>
        <v>45.2</v>
      </c>
      <c r="J32" s="96"/>
      <c r="M32" s="46">
        <f t="shared" si="0"/>
        <v>14.648591214393328</v>
      </c>
      <c r="N32" s="46">
        <f t="shared" si="5"/>
        <v>29</v>
      </c>
      <c r="O32" s="50">
        <f t="shared" si="1"/>
        <v>65.011454063178206</v>
      </c>
      <c r="P32" s="50">
        <f t="shared" si="2"/>
        <v>50.362862848784879</v>
      </c>
      <c r="Q32" s="50">
        <f t="shared" si="3"/>
        <v>52.837604450249415</v>
      </c>
    </row>
    <row r="33" spans="1:17">
      <c r="A33" s="78"/>
      <c r="B33" s="46" t="str">
        <f t="shared" si="27"/>
        <v>D65</v>
      </c>
      <c r="C33" s="79"/>
      <c r="D33" s="46">
        <f t="shared" si="27"/>
        <v>511.84999999999997</v>
      </c>
      <c r="E33" s="46">
        <f t="shared" si="27"/>
        <v>579.15</v>
      </c>
      <c r="F33" s="46">
        <f t="shared" si="27"/>
        <v>534.15</v>
      </c>
      <c r="G33" s="5">
        <f t="shared" si="26"/>
        <v>27.4</v>
      </c>
      <c r="H33" s="5">
        <f t="shared" si="26"/>
        <v>37.700000000000003</v>
      </c>
      <c r="I33" s="5">
        <f t="shared" si="26"/>
        <v>32</v>
      </c>
      <c r="J33" s="96"/>
      <c r="M33" s="46">
        <f t="shared" si="0"/>
        <v>12.613843490497224</v>
      </c>
      <c r="N33" s="46">
        <f t="shared" si="5"/>
        <v>30</v>
      </c>
      <c r="O33" s="50">
        <f t="shared" si="1"/>
        <v>62.882548485996772</v>
      </c>
      <c r="P33" s="50">
        <f t="shared" si="2"/>
        <v>50.268704995499547</v>
      </c>
      <c r="Q33" s="50">
        <f t="shared" si="3"/>
        <v>52.515460997372017</v>
      </c>
    </row>
    <row r="34" spans="1:17">
      <c r="A34" s="78"/>
      <c r="B34" s="46" t="str">
        <f t="shared" si="27"/>
        <v>A</v>
      </c>
      <c r="C34" s="79">
        <f t="shared" si="27"/>
        <v>1</v>
      </c>
      <c r="D34" s="46">
        <f t="shared" si="27"/>
        <v>559.95000000000005</v>
      </c>
      <c r="E34" s="46">
        <f t="shared" si="27"/>
        <v>519.54999999999995</v>
      </c>
      <c r="F34" s="46">
        <f t="shared" si="27"/>
        <v>156.55000000000001</v>
      </c>
      <c r="G34" s="5">
        <f t="shared" ref="G34:I36" si="28">G25*$J$34</f>
        <v>79.892275919041722</v>
      </c>
      <c r="H34" s="5">
        <f t="shared" si="28"/>
        <v>33.348698884758363</v>
      </c>
      <c r="I34" s="5">
        <f t="shared" si="28"/>
        <v>39.855762081784391</v>
      </c>
      <c r="J34" s="96">
        <f>J$22/J25</f>
        <v>0.90375877736472532</v>
      </c>
      <c r="M34" s="46">
        <f t="shared" si="0"/>
        <v>10.579095766601114</v>
      </c>
      <c r="N34" s="46">
        <f t="shared" si="5"/>
        <v>31</v>
      </c>
      <c r="O34" s="50">
        <f t="shared" si="1"/>
        <v>60.753642908815337</v>
      </c>
      <c r="P34" s="50">
        <f t="shared" si="2"/>
        <v>50.174547142214223</v>
      </c>
      <c r="Q34" s="50">
        <f t="shared" si="3"/>
        <v>52.193317544494619</v>
      </c>
    </row>
    <row r="35" spans="1:17">
      <c r="A35" s="78"/>
      <c r="B35" s="46" t="str">
        <f t="shared" si="27"/>
        <v>CWF</v>
      </c>
      <c r="C35" s="79"/>
      <c r="D35" s="46">
        <f t="shared" si="27"/>
        <v>1205</v>
      </c>
      <c r="E35" s="46">
        <f t="shared" si="27"/>
        <v>1215</v>
      </c>
      <c r="F35" s="46">
        <f t="shared" si="27"/>
        <v>652.5</v>
      </c>
      <c r="G35" s="5">
        <f t="shared" si="28"/>
        <v>63.44386617100372</v>
      </c>
      <c r="H35" s="5">
        <f t="shared" si="28"/>
        <v>77.000247831474596</v>
      </c>
      <c r="I35" s="5">
        <f t="shared" si="28"/>
        <v>45.549442379182153</v>
      </c>
      <c r="J35" s="96"/>
      <c r="M35" s="46">
        <f t="shared" si="0"/>
        <v>8.5443480427050034</v>
      </c>
      <c r="N35" s="46">
        <f t="shared" si="5"/>
        <v>32</v>
      </c>
      <c r="O35" s="50">
        <f t="shared" si="1"/>
        <v>58.624737331633895</v>
      </c>
      <c r="P35" s="50">
        <f t="shared" si="2"/>
        <v>50.080389288928892</v>
      </c>
      <c r="Q35" s="50">
        <f t="shared" si="3"/>
        <v>51.87117409161722</v>
      </c>
    </row>
    <row r="36" spans="1:17">
      <c r="A36" s="78"/>
      <c r="B36" s="46" t="str">
        <f t="shared" si="27"/>
        <v>D65</v>
      </c>
      <c r="C36" s="79"/>
      <c r="D36" s="46">
        <f t="shared" si="27"/>
        <v>511.84999999999997</v>
      </c>
      <c r="E36" s="46">
        <f t="shared" si="27"/>
        <v>579.15</v>
      </c>
      <c r="F36" s="46">
        <f t="shared" si="27"/>
        <v>534.15</v>
      </c>
      <c r="G36" s="5">
        <f t="shared" si="28"/>
        <v>27.835770342833541</v>
      </c>
      <c r="H36" s="5">
        <f t="shared" si="28"/>
        <v>38.138620404791411</v>
      </c>
      <c r="I36" s="5">
        <f t="shared" si="28"/>
        <v>32.535315985130111</v>
      </c>
      <c r="J36" s="96"/>
      <c r="M36" s="46">
        <f t="shared" si="0"/>
        <v>6.5096003188088929</v>
      </c>
      <c r="N36" s="46">
        <f t="shared" si="5"/>
        <v>33</v>
      </c>
      <c r="O36" s="50">
        <f t="shared" si="1"/>
        <v>56.495831754452453</v>
      </c>
      <c r="P36" s="50">
        <f t="shared" si="2"/>
        <v>49.98623143564356</v>
      </c>
      <c r="Q36" s="50">
        <f t="shared" si="3"/>
        <v>51.549030638739822</v>
      </c>
    </row>
    <row r="37" spans="1:17">
      <c r="A37" s="78"/>
      <c r="B37" s="46" t="str">
        <f t="shared" si="27"/>
        <v>A</v>
      </c>
      <c r="C37" s="79">
        <f t="shared" si="27"/>
        <v>2</v>
      </c>
      <c r="D37" s="46">
        <f t="shared" si="27"/>
        <v>559.95000000000005</v>
      </c>
      <c r="E37" s="46">
        <f t="shared" si="27"/>
        <v>519.54999999999995</v>
      </c>
      <c r="F37" s="46">
        <f t="shared" si="27"/>
        <v>156.55000000000001</v>
      </c>
      <c r="G37" s="5">
        <f t="shared" ref="G37:I39" si="29">G28*$J$37</f>
        <v>95.254840750896435</v>
      </c>
      <c r="H37" s="5">
        <f t="shared" si="29"/>
        <v>29.905589538072132</v>
      </c>
      <c r="I37" s="5">
        <f t="shared" si="29"/>
        <v>37.012782113478167</v>
      </c>
      <c r="J37" s="96">
        <f>J$22/J28</f>
        <v>0.92301202278000416</v>
      </c>
      <c r="K37" s="51" t="str">
        <f>CHAR(34) &amp; "EEpromVersion" &amp;CHAR(34)  &amp; ",3,"</f>
        <v>"EEpromVersion",3,</v>
      </c>
      <c r="M37" s="46">
        <f t="shared" si="0"/>
        <v>4.4748525949127753</v>
      </c>
      <c r="N37" s="46">
        <f t="shared" si="5"/>
        <v>34</v>
      </c>
      <c r="O37" s="50">
        <f t="shared" si="1"/>
        <v>54.366926177271012</v>
      </c>
      <c r="P37" s="50">
        <f t="shared" si="2"/>
        <v>49.892073582358236</v>
      </c>
      <c r="Q37" s="50">
        <f t="shared" si="3"/>
        <v>51.226887185862424</v>
      </c>
    </row>
    <row r="38" spans="1:17">
      <c r="A38" s="78"/>
      <c r="B38" s="46" t="str">
        <f t="shared" si="27"/>
        <v>CWF</v>
      </c>
      <c r="C38" s="79"/>
      <c r="D38" s="46">
        <f t="shared" si="27"/>
        <v>1205</v>
      </c>
      <c r="E38" s="46">
        <f t="shared" si="27"/>
        <v>1215</v>
      </c>
      <c r="F38" s="46">
        <f t="shared" si="27"/>
        <v>652.5</v>
      </c>
      <c r="G38" s="5">
        <f t="shared" si="29"/>
        <v>52.888588905294235</v>
      </c>
      <c r="H38" s="5">
        <f t="shared" si="29"/>
        <v>90.916684243830403</v>
      </c>
      <c r="I38" s="5">
        <f t="shared" si="29"/>
        <v>43.196962666104191</v>
      </c>
      <c r="J38" s="96"/>
      <c r="K38" s="52" t="str">
        <f>K4</f>
        <v>"Compensation",36,</v>
      </c>
      <c r="M38" s="46">
        <f t="shared" si="0"/>
        <v>2.4401048710166791</v>
      </c>
      <c r="N38" s="46">
        <f t="shared" si="5"/>
        <v>35</v>
      </c>
      <c r="O38" s="50">
        <f t="shared" si="1"/>
        <v>52.238020600089584</v>
      </c>
      <c r="P38" s="50">
        <f t="shared" si="2"/>
        <v>49.797915729072905</v>
      </c>
      <c r="Q38" s="50">
        <f t="shared" si="3"/>
        <v>50.904743732985025</v>
      </c>
    </row>
    <row r="39" spans="1:17">
      <c r="A39" s="78"/>
      <c r="B39" s="46" t="str">
        <f t="shared" si="27"/>
        <v>D65</v>
      </c>
      <c r="C39" s="79"/>
      <c r="D39" s="46">
        <f t="shared" si="27"/>
        <v>511.84999999999997</v>
      </c>
      <c r="E39" s="46">
        <f t="shared" si="27"/>
        <v>579.15</v>
      </c>
      <c r="F39" s="46">
        <f t="shared" si="27"/>
        <v>534.15</v>
      </c>
      <c r="G39" s="5">
        <f t="shared" si="29"/>
        <v>24.36751740139211</v>
      </c>
      <c r="H39" s="5">
        <f t="shared" si="29"/>
        <v>35.259059270196161</v>
      </c>
      <c r="I39" s="5">
        <f t="shared" si="29"/>
        <v>28.797975110736129</v>
      </c>
      <c r="J39" s="96"/>
      <c r="K39" s="53" t="str">
        <f>linefmt("CardGain",J42,J45,J48)</f>
        <v>"CardGain",15.53115,16.44384,9.620117,</v>
      </c>
      <c r="M39" s="46">
        <f t="shared" si="0"/>
        <v>0.87884240432004646</v>
      </c>
      <c r="N39" s="46">
        <f t="shared" si="5"/>
        <v>36</v>
      </c>
      <c r="O39" s="50">
        <f t="shared" si="1"/>
        <v>50.109115022908142</v>
      </c>
      <c r="P39" s="50">
        <f t="shared" si="2"/>
        <v>49.703757875787581</v>
      </c>
      <c r="Q39" s="50">
        <f t="shared" si="3"/>
        <v>50.582600280107627</v>
      </c>
    </row>
    <row r="40" spans="1:17">
      <c r="B40" s="79"/>
      <c r="C40" s="79"/>
      <c r="D40" s="79" t="s">
        <v>15</v>
      </c>
      <c r="E40" s="79"/>
      <c r="F40" s="79"/>
      <c r="G40" s="79" t="s">
        <v>9</v>
      </c>
      <c r="H40" s="79"/>
      <c r="I40" s="79"/>
      <c r="J40" s="79"/>
      <c r="K40" s="53" t="str">
        <f>K6</f>
        <v>"Range",1,0.9037588,0.923012,</v>
      </c>
      <c r="M40" s="46">
        <f t="shared" si="0"/>
        <v>2.2802473815035285</v>
      </c>
      <c r="N40" s="46">
        <f t="shared" si="5"/>
        <v>37</v>
      </c>
      <c r="O40" s="50">
        <f t="shared" si="1"/>
        <v>47.9802094457267</v>
      </c>
      <c r="P40" s="50">
        <f t="shared" si="2"/>
        <v>49.609600022502249</v>
      </c>
      <c r="Q40" s="50">
        <f t="shared" si="3"/>
        <v>50.260456827230229</v>
      </c>
    </row>
    <row r="41" spans="1:17">
      <c r="B41" s="79"/>
      <c r="C41" s="79"/>
      <c r="D41" s="46" t="s">
        <v>6</v>
      </c>
      <c r="E41" s="46" t="s">
        <v>7</v>
      </c>
      <c r="F41" s="46" t="s">
        <v>8</v>
      </c>
      <c r="G41" s="79"/>
      <c r="H41" s="79"/>
      <c r="I41" s="79"/>
      <c r="J41" s="79"/>
      <c r="K41" s="53" t="str">
        <f>K7</f>
        <v>"CCM",</v>
      </c>
      <c r="M41" s="46">
        <f t="shared" si="0"/>
        <v>4.087009505807579</v>
      </c>
      <c r="N41" s="46">
        <f t="shared" si="5"/>
        <v>38</v>
      </c>
      <c r="O41" s="50">
        <f t="shared" si="1"/>
        <v>45.851303868545259</v>
      </c>
      <c r="P41" s="50">
        <f t="shared" si="2"/>
        <v>49.515442169216925</v>
      </c>
      <c r="Q41" s="50">
        <f t="shared" si="3"/>
        <v>49.938313374352838</v>
      </c>
    </row>
    <row r="42" spans="1:17">
      <c r="A42" s="4"/>
      <c r="B42" s="46" t="s">
        <v>3</v>
      </c>
      <c r="C42" s="79">
        <f>C31</f>
        <v>0</v>
      </c>
      <c r="D42" s="46">
        <f>I42/$H$43</f>
        <v>0.20318296368518152</v>
      </c>
      <c r="E42" s="46">
        <f>H42/$H$43</f>
        <v>1.0403765545382095</v>
      </c>
      <c r="F42" s="46">
        <f>G42/$H$43</f>
        <v>-0.3697834310357242</v>
      </c>
      <c r="G42" s="46">
        <f t="array" ref="G42:I42">LINEST($D31:$D33,$G31:$I33,FALSE)</f>
        <v>-5.7431635898977937</v>
      </c>
      <c r="H42" s="46">
        <v>16.158248981225775</v>
      </c>
      <c r="I42" s="46">
        <v>3.1556659957853181</v>
      </c>
      <c r="J42" s="97">
        <f>H43</f>
        <v>15.53115447550422</v>
      </c>
      <c r="K42" s="53" t="str">
        <f t="shared" ref="K42:K50" si="30">linefmt("",D42,E42,F42)</f>
        <v>0.203183,1.040377,-0.3697834,</v>
      </c>
      <c r="M42" s="46">
        <f t="shared" si="0"/>
        <v>5.8937716301116225</v>
      </c>
      <c r="N42" s="46">
        <f t="shared" si="5"/>
        <v>39</v>
      </c>
      <c r="O42" s="50">
        <f t="shared" si="1"/>
        <v>43.722398291363817</v>
      </c>
      <c r="P42" s="50">
        <f t="shared" si="2"/>
        <v>49.421284315931594</v>
      </c>
      <c r="Q42" s="50">
        <f t="shared" si="3"/>
        <v>49.616169921475439</v>
      </c>
    </row>
    <row r="43" spans="1:17">
      <c r="A43" s="4"/>
      <c r="B43" s="46" t="s">
        <v>4</v>
      </c>
      <c r="C43" s="79"/>
      <c r="D43" s="46">
        <f>I43/$H$43</f>
        <v>2.438629185579945E-2</v>
      </c>
      <c r="E43" s="46">
        <f>H43/$H$43</f>
        <v>1</v>
      </c>
      <c r="F43" s="46">
        <f>G43/$H$43</f>
        <v>-3.3706844761831369E-2</v>
      </c>
      <c r="G43" s="46">
        <f t="array" ref="G43:I43">LINEST($E31:$E33,$G31:$I33,FALSE)</f>
        <v>-0.52350621287784327</v>
      </c>
      <c r="H43" s="46">
        <v>15.53115447550422</v>
      </c>
      <c r="I43" s="46">
        <v>0.37874726589715174</v>
      </c>
      <c r="J43" s="97"/>
      <c r="K43" s="53" t="str">
        <f t="shared" si="30"/>
        <v>2.438629E-02,1,-3.370684E-02,</v>
      </c>
      <c r="M43" s="46">
        <f t="shared" si="0"/>
        <v>7.7336337484638733</v>
      </c>
      <c r="N43" s="46">
        <f t="shared" si="5"/>
        <v>40</v>
      </c>
      <c r="O43" s="50">
        <f t="shared" si="1"/>
        <v>41.593492714182389</v>
      </c>
      <c r="P43" s="50">
        <f t="shared" si="2"/>
        <v>49.327126462646262</v>
      </c>
      <c r="Q43" s="50">
        <f t="shared" si="3"/>
        <v>49.294026468598041</v>
      </c>
    </row>
    <row r="44" spans="1:17">
      <c r="A44" s="4"/>
      <c r="B44" s="46" t="s">
        <v>5</v>
      </c>
      <c r="C44" s="79"/>
      <c r="D44" s="46">
        <f>I44/$H$43</f>
        <v>-0.58666075465597023</v>
      </c>
      <c r="E44" s="46">
        <f>H44/$H$43</f>
        <v>0.32460353607685533</v>
      </c>
      <c r="F44" s="46">
        <f>G44/$H$43</f>
        <v>1.1946598314289052</v>
      </c>
      <c r="G44" s="46">
        <f t="array" ref="G44:I44">LINEST($F$31:$F$33,$G31:$I33,FALSE)</f>
        <v>18.554446387602159</v>
      </c>
      <c r="H44" s="46">
        <v>5.0414676621045471</v>
      </c>
      <c r="I44" s="46">
        <v>-9.1115188052777558</v>
      </c>
      <c r="J44" s="97"/>
      <c r="K44" s="53" t="str">
        <f t="shared" si="30"/>
        <v>-0.5866607,0.3246035,1.19466,</v>
      </c>
      <c r="M44" s="46">
        <f t="shared" si="0"/>
        <v>9.7683814723599909</v>
      </c>
      <c r="N44" s="46">
        <f t="shared" si="5"/>
        <v>41</v>
      </c>
      <c r="O44" s="50">
        <f t="shared" si="1"/>
        <v>39.464587137000947</v>
      </c>
      <c r="P44" s="50">
        <f t="shared" si="2"/>
        <v>49.232968609360938</v>
      </c>
      <c r="Q44" s="50">
        <f t="shared" si="3"/>
        <v>48.971883015720643</v>
      </c>
    </row>
    <row r="45" spans="1:17">
      <c r="A45" s="4"/>
      <c r="B45" s="46" t="str">
        <f>B42</f>
        <v>X</v>
      </c>
      <c r="C45" s="79">
        <f>C34</f>
        <v>1</v>
      </c>
      <c r="D45" s="46">
        <f>I45/$H$46</f>
        <v>0.2136458554945849</v>
      </c>
      <c r="E45" s="46">
        <f>H45/$H$46</f>
        <v>1.0367190090518639</v>
      </c>
      <c r="F45" s="46">
        <f>G45/$H$46</f>
        <v>-0.4413319338331298</v>
      </c>
      <c r="G45" s="46">
        <f t="array" ref="G45:I45">LINEST($D34:$D36,$G34:$I36,FALSE)</f>
        <v>-7.2571921375947568</v>
      </c>
      <c r="H45" s="46">
        <v>17.047642521673851</v>
      </c>
      <c r="I45" s="46">
        <v>3.5131584729403436</v>
      </c>
      <c r="J45" s="97">
        <f>H46</f>
        <v>16.44384097602768</v>
      </c>
      <c r="K45" s="53" t="str">
        <f t="shared" si="30"/>
        <v>0.2136459,1.036719,-0.4413319,</v>
      </c>
      <c r="M45" s="46">
        <f t="shared" si="0"/>
        <v>11.803129196256101</v>
      </c>
      <c r="N45" s="46">
        <f t="shared" si="5"/>
        <v>42</v>
      </c>
      <c r="O45" s="50">
        <f t="shared" si="1"/>
        <v>37.335681559819506</v>
      </c>
      <c r="P45" s="50">
        <f t="shared" si="2"/>
        <v>49.138810756075607</v>
      </c>
      <c r="Q45" s="50">
        <f t="shared" si="3"/>
        <v>48.649739562843244</v>
      </c>
    </row>
    <row r="46" spans="1:17">
      <c r="A46" s="4"/>
      <c r="B46" s="46" t="str">
        <f t="shared" ref="B46:B53" si="31">B43</f>
        <v>Y</v>
      </c>
      <c r="C46" s="79"/>
      <c r="D46" s="46">
        <f>I46/$H$46</f>
        <v>3.9791322544767083E-2</v>
      </c>
      <c r="E46" s="46">
        <f>H46/$H$46</f>
        <v>1</v>
      </c>
      <c r="F46" s="46">
        <f>G46/$H$46</f>
        <v>-0.12375379921391406</v>
      </c>
      <c r="G46" s="46">
        <f t="array" ref="G46:I46">LINEST($E34:$E36,$G34:$I36,FALSE)</f>
        <v>-2.0349877944528623</v>
      </c>
      <c r="H46" s="46">
        <v>16.44384097602768</v>
      </c>
      <c r="I46" s="46">
        <v>0.65432218015197496</v>
      </c>
      <c r="J46" s="97"/>
      <c r="K46" s="53" t="str">
        <f t="shared" si="30"/>
        <v>3.979132E-02,1,-0.1237538,</v>
      </c>
      <c r="M46" s="46">
        <f t="shared" si="0"/>
        <v>13.837876920152212</v>
      </c>
      <c r="N46" s="46">
        <f t="shared" si="5"/>
        <v>43</v>
      </c>
      <c r="O46" s="50">
        <f t="shared" si="1"/>
        <v>35.206775982638064</v>
      </c>
      <c r="P46" s="50">
        <f t="shared" si="2"/>
        <v>49.044652902790276</v>
      </c>
      <c r="Q46" s="50">
        <f t="shared" si="3"/>
        <v>48.327596109965846</v>
      </c>
    </row>
    <row r="47" spans="1:17">
      <c r="A47" s="4"/>
      <c r="B47" s="46" t="str">
        <f t="shared" si="31"/>
        <v>Z</v>
      </c>
      <c r="C47" s="79"/>
      <c r="D47" s="46">
        <f>I47/$H$46</f>
        <v>-0.56247131914353032</v>
      </c>
      <c r="E47" s="46">
        <f>H47/$H$46</f>
        <v>0.33761128718693523</v>
      </c>
      <c r="F47" s="46">
        <f>G47/$H$46</f>
        <v>1.083870843630667</v>
      </c>
      <c r="G47" s="46">
        <f t="array" ref="G47:I47">LINEST($F$31:$F$33,$G34:$I36,FALSE)</f>
        <v>17.822999791215651</v>
      </c>
      <c r="H47" s="46">
        <v>5.551626318213974</v>
      </c>
      <c r="I47" s="46">
        <v>-9.2491889255727262</v>
      </c>
      <c r="J47" s="97"/>
      <c r="K47" s="53" t="str">
        <f t="shared" si="30"/>
        <v>-0.5624713,0.3376113,1.083871,</v>
      </c>
      <c r="M47" s="46">
        <f t="shared" si="0"/>
        <v>15.872624644048329</v>
      </c>
      <c r="N47" s="46">
        <f t="shared" si="5"/>
        <v>44</v>
      </c>
      <c r="O47" s="50">
        <f t="shared" si="1"/>
        <v>33.077870405456622</v>
      </c>
      <c r="P47" s="50">
        <f t="shared" si="2"/>
        <v>48.950495049504951</v>
      </c>
      <c r="Q47" s="50">
        <f t="shared" si="3"/>
        <v>48.005452657088448</v>
      </c>
    </row>
    <row r="48" spans="1:17">
      <c r="A48" s="4"/>
      <c r="B48" s="46" t="str">
        <f t="shared" si="31"/>
        <v>X</v>
      </c>
      <c r="C48" s="79">
        <f>C37</f>
        <v>2</v>
      </c>
      <c r="D48" s="46">
        <f>I48/$H$49</f>
        <v>0.11680294136225729</v>
      </c>
      <c r="E48" s="46">
        <f>H48/$H$49</f>
        <v>1.1449635830883662</v>
      </c>
      <c r="F48" s="46">
        <f>G48/$H$49</f>
        <v>0.34688813722061007</v>
      </c>
      <c r="G48" s="46">
        <f t="array" ref="G48:I48">LINEST($D37:$D39,$G37:$I39,FALSE)</f>
        <v>3.337104536087145</v>
      </c>
      <c r="H48" s="46">
        <v>11.014683861468654</v>
      </c>
      <c r="I48" s="46">
        <v>1.1236579854571946</v>
      </c>
      <c r="J48" s="97">
        <f>H49</f>
        <v>9.6201172021193972</v>
      </c>
      <c r="K48" s="53" t="str">
        <f t="shared" si="30"/>
        <v>0.1168029,1.144964,0.3468881,</v>
      </c>
      <c r="M48" s="46">
        <f t="shared" si="0"/>
        <v>17.90737236794444</v>
      </c>
      <c r="N48" s="46">
        <f t="shared" si="5"/>
        <v>45</v>
      </c>
      <c r="O48" s="50">
        <f t="shared" si="1"/>
        <v>30.94896482827518</v>
      </c>
      <c r="P48" s="50">
        <f t="shared" si="2"/>
        <v>48.85633719621962</v>
      </c>
      <c r="Q48" s="50">
        <f t="shared" si="3"/>
        <v>47.683309204211049</v>
      </c>
    </row>
    <row r="49" spans="1:24">
      <c r="A49" s="4"/>
      <c r="B49" s="46" t="str">
        <f t="shared" si="31"/>
        <v>Y</v>
      </c>
      <c r="C49" s="79"/>
      <c r="D49" s="46">
        <f>I49/$H$49</f>
        <v>-0.1244520227764828</v>
      </c>
      <c r="E49" s="46">
        <f>H49/$H$49</f>
        <v>1</v>
      </c>
      <c r="F49" s="46">
        <f>G49/$H$49</f>
        <v>0.97143971770937243</v>
      </c>
      <c r="G49" s="46">
        <f t="array" ref="G49:I49">LINEST($E37:$E39,$G37:$I39,FALSE)</f>
        <v>9.3453639391579451</v>
      </c>
      <c r="H49" s="46">
        <v>9.6201172021193972</v>
      </c>
      <c r="I49" s="46">
        <v>-1.1972430451505973</v>
      </c>
      <c r="J49" s="97"/>
      <c r="K49" s="53" t="str">
        <f t="shared" si="30"/>
        <v>-0.124452,1,0.9714397,</v>
      </c>
      <c r="M49" s="46">
        <f t="shared" si="0"/>
        <v>19.942120091840543</v>
      </c>
      <c r="N49" s="46">
        <f t="shared" si="5"/>
        <v>46</v>
      </c>
      <c r="O49" s="50">
        <f t="shared" si="1"/>
        <v>28.820059251093753</v>
      </c>
      <c r="P49" s="50">
        <f t="shared" si="2"/>
        <v>48.762179342934296</v>
      </c>
      <c r="Q49" s="50">
        <f t="shared" si="3"/>
        <v>47.361165751333651</v>
      </c>
    </row>
    <row r="50" spans="1:24">
      <c r="A50" s="4"/>
      <c r="B50" s="46" t="str">
        <f t="shared" si="31"/>
        <v>Z</v>
      </c>
      <c r="C50" s="79"/>
      <c r="D50" s="46">
        <f>I50/$H$49</f>
        <v>-0.86957786857800612</v>
      </c>
      <c r="E50" s="46">
        <f>H50/$H$49</f>
        <v>-3.2955245426303167E-2</v>
      </c>
      <c r="F50" s="46">
        <f>G50/$H$49</f>
        <v>2.7042073638825785</v>
      </c>
      <c r="G50" s="46">
        <f t="array" ref="G50:I50">LINEST($F$31:$F$33,$G37:$I39,FALSE)</f>
        <v>26.014791779384741</v>
      </c>
      <c r="H50" s="46">
        <v>-0.31703332342564572</v>
      </c>
      <c r="I50" s="46">
        <v>-8.3654410120895975</v>
      </c>
      <c r="J50" s="97"/>
      <c r="K50" s="54" t="str">
        <f t="shared" si="30"/>
        <v>-0.8695779,-3.295524E-02,2.704207,</v>
      </c>
      <c r="M50" s="46">
        <f t="shared" si="0"/>
        <v>21.976867815736654</v>
      </c>
      <c r="N50" s="46">
        <f t="shared" si="5"/>
        <v>47</v>
      </c>
      <c r="O50" s="50">
        <f t="shared" si="1"/>
        <v>26.691153673912311</v>
      </c>
      <c r="P50" s="50">
        <f t="shared" si="2"/>
        <v>48.668021489648964</v>
      </c>
      <c r="Q50" s="50">
        <f t="shared" si="3"/>
        <v>47.039022298456253</v>
      </c>
    </row>
    <row r="51" spans="1:24">
      <c r="B51" s="46" t="str">
        <f t="shared" si="31"/>
        <v>X</v>
      </c>
      <c r="C51" s="79" t="s">
        <v>28</v>
      </c>
      <c r="D51" s="46">
        <f>(D42+D45+D48)/3</f>
        <v>0.17787725351400793</v>
      </c>
      <c r="E51" s="46">
        <f t="shared" ref="E51:F51" si="32">(E42+E45+E48)/3</f>
        <v>1.0740197155594797</v>
      </c>
      <c r="F51" s="46">
        <f t="shared" si="32"/>
        <v>-0.15474240921608132</v>
      </c>
      <c r="J51" s="97">
        <f>(J42+J45+J48)/3</f>
        <v>13.8650375512171</v>
      </c>
      <c r="M51" s="46">
        <f t="shared" si="0"/>
        <v>24.011615539632771</v>
      </c>
      <c r="N51" s="46">
        <f t="shared" si="5"/>
        <v>48</v>
      </c>
      <c r="O51" s="50">
        <f t="shared" si="1"/>
        <v>24.562248096730869</v>
      </c>
      <c r="P51" s="50">
        <f t="shared" si="2"/>
        <v>48.57386363636364</v>
      </c>
      <c r="Q51" s="50">
        <f t="shared" si="3"/>
        <v>46.716878845578862</v>
      </c>
    </row>
    <row r="52" spans="1:24">
      <c r="B52" s="46" t="str">
        <f t="shared" si="31"/>
        <v>Y</v>
      </c>
      <c r="C52" s="79"/>
      <c r="D52" s="46">
        <f t="shared" ref="D52:F53" si="33">(D43+D46+D49)/3</f>
        <v>-2.0091469458638756E-2</v>
      </c>
      <c r="E52" s="46">
        <f t="shared" si="33"/>
        <v>1</v>
      </c>
      <c r="F52" s="46">
        <f t="shared" si="33"/>
        <v>0.27132635791120902</v>
      </c>
      <c r="J52" s="97"/>
      <c r="M52" s="46">
        <f t="shared" si="0"/>
        <v>26.046363263528882</v>
      </c>
      <c r="N52" s="46">
        <f t="shared" si="5"/>
        <v>49</v>
      </c>
      <c r="O52" s="50">
        <f t="shared" si="1"/>
        <v>22.433342519549427</v>
      </c>
      <c r="P52" s="50">
        <f t="shared" si="2"/>
        <v>48.479705783078309</v>
      </c>
      <c r="Q52" s="50">
        <f t="shared" si="3"/>
        <v>46.394735392701463</v>
      </c>
    </row>
    <row r="53" spans="1:24" ht="15.75" thickBot="1">
      <c r="B53" s="46" t="str">
        <f t="shared" si="31"/>
        <v>Z</v>
      </c>
      <c r="C53" s="79"/>
      <c r="D53" s="46">
        <f t="shared" si="33"/>
        <v>-0.67290331412583548</v>
      </c>
      <c r="E53" s="46">
        <f t="shared" si="33"/>
        <v>0.20975319261249581</v>
      </c>
      <c r="F53" s="46">
        <f t="shared" si="33"/>
        <v>1.6609126796473834</v>
      </c>
      <c r="J53" s="100"/>
      <c r="M53" s="46">
        <f t="shared" si="0"/>
        <v>28.081110987424992</v>
      </c>
      <c r="N53" s="46">
        <f t="shared" si="5"/>
        <v>50</v>
      </c>
      <c r="O53" s="50">
        <f t="shared" si="1"/>
        <v>20.304436942367985</v>
      </c>
      <c r="P53" s="50">
        <f t="shared" si="2"/>
        <v>48.385547929792978</v>
      </c>
      <c r="Q53" s="50">
        <f t="shared" si="3"/>
        <v>46.072591939824065</v>
      </c>
    </row>
    <row r="54" spans="1:24">
      <c r="B54" s="79" t="s">
        <v>14</v>
      </c>
      <c r="C54" s="79"/>
      <c r="D54" s="19">
        <f>I54/$H$55</f>
        <v>0.17883211491010317</v>
      </c>
      <c r="E54" s="20">
        <f>H54/$H$55</f>
        <v>1.0644261586678643</v>
      </c>
      <c r="F54" s="21">
        <f>G54/$H$55</f>
        <v>-0.13152445111389571</v>
      </c>
      <c r="G54" s="46">
        <f t="array" ref="G54:I54">LINEST(D$31:D$39,$G$31:$I$39,FALSE)</f>
        <v>-1.6997551286673669</v>
      </c>
      <c r="H54" s="46">
        <v>13.756102435406826</v>
      </c>
      <c r="I54" s="46">
        <v>2.3111353205773986</v>
      </c>
      <c r="J54" s="98">
        <f>H55</f>
        <v>12.923491520184612</v>
      </c>
      <c r="M54" s="46">
        <f t="shared" si="0"/>
        <v>30.115858711321096</v>
      </c>
      <c r="N54" s="46">
        <f t="shared" si="5"/>
        <v>51</v>
      </c>
      <c r="O54" s="50">
        <f t="shared" si="1"/>
        <v>18.175531365186558</v>
      </c>
      <c r="P54" s="50">
        <f t="shared" si="2"/>
        <v>48.291390076507653</v>
      </c>
      <c r="Q54" s="50">
        <f t="shared" si="3"/>
        <v>45.750448486946667</v>
      </c>
    </row>
    <row r="55" spans="1:24" ht="15" customHeight="1">
      <c r="B55" s="79"/>
      <c r="C55" s="79"/>
      <c r="D55" s="22">
        <f>I55/$H$55</f>
        <v>-6.0609517257899171E-3</v>
      </c>
      <c r="E55" s="18">
        <f>H55/$H$55</f>
        <v>1</v>
      </c>
      <c r="F55" s="23">
        <f>G55/$H$55</f>
        <v>0.2546127081530688</v>
      </c>
      <c r="G55" s="46">
        <f t="array" ref="G55:I55">LINEST(E$31:E$39,$G$31:$I$39,FALSE)</f>
        <v>3.290485174747424</v>
      </c>
      <c r="H55" s="46">
        <v>12.923491520184612</v>
      </c>
      <c r="I55" s="46">
        <v>-7.8328658232494283E-2</v>
      </c>
      <c r="J55" s="98"/>
      <c r="M55" s="46">
        <f t="shared" si="0"/>
        <v>32.150606435217206</v>
      </c>
      <c r="N55" s="46">
        <f t="shared" si="5"/>
        <v>52</v>
      </c>
      <c r="O55" s="50">
        <f t="shared" si="1"/>
        <v>16.046625788005116</v>
      </c>
      <c r="P55" s="50">
        <f t="shared" si="2"/>
        <v>48.197232223222322</v>
      </c>
      <c r="Q55" s="50">
        <f t="shared" si="3"/>
        <v>45.428305034069268</v>
      </c>
    </row>
    <row r="56" spans="1:24" ht="15" customHeight="1" thickBot="1">
      <c r="B56" s="79"/>
      <c r="C56" s="79"/>
      <c r="D56" s="24">
        <f>I56/$H$55</f>
        <v>-0.62038049381908744</v>
      </c>
      <c r="E56" s="25">
        <f>H56/$H$55</f>
        <v>0.24503585134064085</v>
      </c>
      <c r="F56" s="26">
        <f>G56/$H$55</f>
        <v>1.5115079904066659</v>
      </c>
      <c r="G56" s="46">
        <f t="array" ref="G56:I56">LINEST(F$31:F$39,$G$31:$I$39,FALSE)</f>
        <v>19.53396069671183</v>
      </c>
      <c r="H56" s="46">
        <v>3.1667187469419891</v>
      </c>
      <c r="I56" s="46">
        <v>-8.0174820511589182</v>
      </c>
      <c r="J56" s="98"/>
      <c r="M56" s="46">
        <f t="shared" si="0"/>
        <v>34.185354159113324</v>
      </c>
      <c r="N56" s="46">
        <f t="shared" si="5"/>
        <v>53</v>
      </c>
      <c r="O56" s="50">
        <f t="shared" si="1"/>
        <v>13.917720210823674</v>
      </c>
      <c r="P56" s="50">
        <f t="shared" si="2"/>
        <v>48.103074369936998</v>
      </c>
      <c r="Q56" s="50">
        <f t="shared" si="3"/>
        <v>45.10616158119187</v>
      </c>
    </row>
    <row r="57" spans="1:24">
      <c r="M57" s="46">
        <f t="shared" si="0"/>
        <v>36.220101883009434</v>
      </c>
      <c r="N57" s="46">
        <f t="shared" si="5"/>
        <v>54</v>
      </c>
      <c r="O57" s="50">
        <f t="shared" si="1"/>
        <v>11.788814633642232</v>
      </c>
      <c r="P57" s="50">
        <f t="shared" si="2"/>
        <v>48.008916516651666</v>
      </c>
      <c r="Q57" s="50">
        <f t="shared" si="3"/>
        <v>44.784018128314472</v>
      </c>
    </row>
    <row r="58" spans="1:24" ht="15" customHeight="1">
      <c r="A58" s="86" t="str">
        <f>B54</f>
        <v>All</v>
      </c>
      <c r="B58" s="89" t="s">
        <v>27</v>
      </c>
      <c r="C58" s="89"/>
      <c r="D58" s="91" t="str">
        <f>D11</f>
        <v>Meter</v>
      </c>
      <c r="E58" s="91"/>
      <c r="F58" s="91" t="str">
        <f>G11</f>
        <v>Device</v>
      </c>
      <c r="G58" s="91"/>
      <c r="H58" s="91" t="s">
        <v>22</v>
      </c>
      <c r="I58" s="92"/>
      <c r="M58" s="46">
        <f t="shared" si="0"/>
        <v>38.254849606905552</v>
      </c>
      <c r="N58" s="46">
        <f t="shared" si="5"/>
        <v>55</v>
      </c>
      <c r="O58" s="50">
        <f t="shared" si="1"/>
        <v>9.6599090564607906</v>
      </c>
      <c r="P58" s="50">
        <f t="shared" si="2"/>
        <v>47.914758663366342</v>
      </c>
      <c r="Q58" s="50">
        <f t="shared" si="3"/>
        <v>44.461874675437073</v>
      </c>
      <c r="R58" s="95" t="s">
        <v>25</v>
      </c>
      <c r="S58" s="95"/>
      <c r="T58" s="95"/>
      <c r="U58" s="79" t="str">
        <f>F58</f>
        <v>Device</v>
      </c>
      <c r="V58" s="79"/>
      <c r="W58" s="79"/>
    </row>
    <row r="59" spans="1:24">
      <c r="A59" s="87"/>
      <c r="B59" s="90"/>
      <c r="C59" s="90"/>
      <c r="D59" s="48" t="s">
        <v>20</v>
      </c>
      <c r="E59" s="48" t="s">
        <v>21</v>
      </c>
      <c r="F59" s="48" t="str">
        <f>D59</f>
        <v>Lux</v>
      </c>
      <c r="G59" s="48" t="str">
        <f t="shared" ref="G59:I59" si="34">E59</f>
        <v>CCT</v>
      </c>
      <c r="H59" s="48" t="str">
        <f t="shared" si="34"/>
        <v>Lux</v>
      </c>
      <c r="I59" s="30" t="str">
        <f t="shared" si="34"/>
        <v>CCT</v>
      </c>
      <c r="M59" s="46">
        <f t="shared" si="0"/>
        <v>40.289597330801662</v>
      </c>
      <c r="N59" s="46">
        <f t="shared" si="5"/>
        <v>56</v>
      </c>
      <c r="O59" s="50">
        <f t="shared" si="1"/>
        <v>7.5310034792793488</v>
      </c>
      <c r="P59" s="50">
        <f t="shared" si="2"/>
        <v>47.820600810081011</v>
      </c>
      <c r="Q59" s="50">
        <f t="shared" si="3"/>
        <v>44.139731222559675</v>
      </c>
      <c r="R59" s="95"/>
      <c r="S59" s="95"/>
      <c r="T59" s="95"/>
      <c r="U59" s="46" t="str">
        <f>B42</f>
        <v>X</v>
      </c>
      <c r="V59" s="46" t="str">
        <f>B43</f>
        <v>Y</v>
      </c>
      <c r="W59" s="46" t="str">
        <f>B44</f>
        <v>Z</v>
      </c>
      <c r="X59" s="28" t="s">
        <v>24</v>
      </c>
    </row>
    <row r="60" spans="1:24">
      <c r="A60" s="87"/>
      <c r="B60" s="48" t="str">
        <f t="shared" ref="B60:B68" si="35">B31</f>
        <v>A</v>
      </c>
      <c r="C60" s="93">
        <f>C42</f>
        <v>0</v>
      </c>
      <c r="D60" s="31">
        <f t="shared" ref="D60:D68" si="36">E22</f>
        <v>519.54999999999995</v>
      </c>
      <c r="E60" s="32">
        <f t="shared" ref="E60:E68" si="37">getCCTfromXY(D22/SUM(D22:F22),E22/SUM(D22:F22))</f>
        <v>2880</v>
      </c>
      <c r="F60" s="31">
        <f t="shared" ref="F60:F68" si="38">V60</f>
        <v>547.17535069862515</v>
      </c>
      <c r="G60" s="32">
        <f t="shared" ref="G60:G68" si="39">getCCTfromXY(U60/X60,V60/X60)</f>
        <v>3229</v>
      </c>
      <c r="H60" s="33">
        <f>F60/D60-1</f>
        <v>5.3171688381532523E-2</v>
      </c>
      <c r="I60" s="34">
        <f t="shared" ref="I60:I68" si="40">G60/E60-1</f>
        <v>0.12118055555555562</v>
      </c>
      <c r="M60" s="46">
        <f t="shared" si="0"/>
        <v>42.324345054697758</v>
      </c>
      <c r="N60" s="46">
        <f t="shared" si="5"/>
        <v>57</v>
      </c>
      <c r="O60" s="50">
        <f t="shared" si="1"/>
        <v>5.4020979020979212</v>
      </c>
      <c r="P60" s="50">
        <f t="shared" si="2"/>
        <v>47.72644295679568</v>
      </c>
      <c r="Q60" s="50">
        <f t="shared" si="3"/>
        <v>43.817587769682277</v>
      </c>
      <c r="R60" s="78" t="str">
        <f>A58</f>
        <v>All</v>
      </c>
      <c r="S60" s="46" t="str">
        <f>B60</f>
        <v>A</v>
      </c>
      <c r="T60" s="79">
        <f>C60</f>
        <v>0</v>
      </c>
      <c r="U60" s="50">
        <f>$J$54*$J$31*($D$54*G22+$E$54*H22+$F$54*I22)</f>
        <v>571.89399584273428</v>
      </c>
      <c r="V60" s="50">
        <f>$J$54*$J$31*($D$55*G22+$E$55*H22+$F$55*I22)</f>
        <v>547.17535069862515</v>
      </c>
      <c r="W60" s="50">
        <f>$J$54*$J$31*($D$56*G22+$E$56*H22+$F$56*I22)</f>
        <v>222.48688379603917</v>
      </c>
      <c r="X60" s="29">
        <f>SUM(U60:W60)</f>
        <v>1341.5562303373986</v>
      </c>
    </row>
    <row r="61" spans="1:24">
      <c r="A61" s="87"/>
      <c r="B61" s="48" t="str">
        <f t="shared" si="35"/>
        <v>CWF</v>
      </c>
      <c r="C61" s="93"/>
      <c r="D61" s="31">
        <f t="shared" si="36"/>
        <v>1215</v>
      </c>
      <c r="E61" s="32">
        <f t="shared" si="37"/>
        <v>3861</v>
      </c>
      <c r="F61" s="31">
        <f t="shared" si="38"/>
        <v>1154.3574312476105</v>
      </c>
      <c r="G61" s="32">
        <f t="shared" si="39"/>
        <v>3853</v>
      </c>
      <c r="H61" s="33">
        <f t="shared" ref="H61:H68" si="41">F61/D61-1</f>
        <v>-4.991157922007361E-2</v>
      </c>
      <c r="I61" s="34">
        <f t="shared" si="40"/>
        <v>-2.0720020720020882E-3</v>
      </c>
      <c r="M61" s="46">
        <f t="shared" si="0"/>
        <v>44.359092778593876</v>
      </c>
      <c r="N61" s="46">
        <f t="shared" si="5"/>
        <v>58</v>
      </c>
      <c r="O61" s="50">
        <f t="shared" si="1"/>
        <v>3.2731923249164794</v>
      </c>
      <c r="P61" s="50">
        <f t="shared" si="2"/>
        <v>47.632285103510355</v>
      </c>
      <c r="Q61" s="50">
        <f t="shared" si="3"/>
        <v>43.495444316804878</v>
      </c>
      <c r="R61" s="78"/>
      <c r="S61" s="46" t="str">
        <f t="shared" ref="S61:S68" si="42">B61</f>
        <v>CWF</v>
      </c>
      <c r="T61" s="79"/>
      <c r="U61" s="50">
        <f>$J$54*$J$31*($D$54*G23+$E$54*H23+$F$54*I23)</f>
        <v>1146.1175985538289</v>
      </c>
      <c r="V61" s="50">
        <f>$J$54*$J$31*($D$55*G23+$E$55*H23+$F$55*I23)</f>
        <v>1154.3574312476105</v>
      </c>
      <c r="W61" s="50">
        <f>$J$54*$J$31*($D$56*G23+$E$56*H23+$F$56*I23)</f>
        <v>619.8588228434154</v>
      </c>
      <c r="X61" s="29">
        <f t="shared" ref="X61:X68" si="43">SUM(U61:W61)</f>
        <v>2920.3338526448551</v>
      </c>
    </row>
    <row r="62" spans="1:24">
      <c r="A62" s="87"/>
      <c r="B62" s="48" t="str">
        <f t="shared" si="35"/>
        <v>D65</v>
      </c>
      <c r="C62" s="93"/>
      <c r="D62" s="31">
        <f t="shared" si="36"/>
        <v>579.15</v>
      </c>
      <c r="E62" s="32">
        <f t="shared" si="37"/>
        <v>6345</v>
      </c>
      <c r="F62" s="31">
        <f t="shared" si="38"/>
        <v>590.36495066730708</v>
      </c>
      <c r="G62" s="32">
        <f t="shared" si="39"/>
        <v>6057</v>
      </c>
      <c r="H62" s="33">
        <f t="shared" si="41"/>
        <v>1.9364500850051147E-2</v>
      </c>
      <c r="I62" s="34">
        <f t="shared" si="40"/>
        <v>-4.539007092198577E-2</v>
      </c>
      <c r="M62" s="46">
        <f t="shared" si="0"/>
        <v>46.393840502489986</v>
      </c>
      <c r="N62" s="46">
        <f t="shared" si="5"/>
        <v>59</v>
      </c>
      <c r="O62" s="50">
        <f t="shared" si="1"/>
        <v>1.1442867477350376</v>
      </c>
      <c r="P62" s="50">
        <f t="shared" si="2"/>
        <v>47.538127250225024</v>
      </c>
      <c r="Q62" s="50">
        <f t="shared" si="3"/>
        <v>43.17330086392748</v>
      </c>
      <c r="R62" s="78"/>
      <c r="S62" s="46" t="str">
        <f t="shared" si="42"/>
        <v>D65</v>
      </c>
      <c r="T62" s="79"/>
      <c r="U62" s="50">
        <f>$J$54*$J$31*($D$54*G24+$E$54*H24+$F$54*I24)</f>
        <v>527.53800548130221</v>
      </c>
      <c r="V62" s="50">
        <f>$J$54*$J$31*($D$55*G24+$E$55*H24+$F$55*I24)</f>
        <v>590.36495066730708</v>
      </c>
      <c r="W62" s="50">
        <f>$J$54*$J$31*($D$56*G24+$E$56*H24+$F$56*I24)</f>
        <v>524.79303085273716</v>
      </c>
      <c r="X62" s="29">
        <f t="shared" si="43"/>
        <v>1642.6959870013466</v>
      </c>
    </row>
    <row r="63" spans="1:24">
      <c r="A63" s="87"/>
      <c r="B63" s="48" t="str">
        <f t="shared" si="35"/>
        <v>A</v>
      </c>
      <c r="C63" s="93">
        <f>C45</f>
        <v>1</v>
      </c>
      <c r="D63" s="31">
        <f t="shared" si="36"/>
        <v>519.54999999999995</v>
      </c>
      <c r="E63" s="32">
        <f t="shared" si="37"/>
        <v>2880</v>
      </c>
      <c r="F63" s="31">
        <f t="shared" si="38"/>
        <v>555.86856672885801</v>
      </c>
      <c r="G63" s="32">
        <f t="shared" si="39"/>
        <v>3347</v>
      </c>
      <c r="H63" s="33">
        <f t="shared" si="41"/>
        <v>6.9903891307589339E-2</v>
      </c>
      <c r="I63" s="34">
        <f t="shared" si="40"/>
        <v>0.16215277777777781</v>
      </c>
      <c r="M63" s="46">
        <f t="shared" si="0"/>
        <v>48.428588226386097</v>
      </c>
      <c r="N63" s="46">
        <f t="shared" si="5"/>
        <v>60</v>
      </c>
      <c r="O63" s="50">
        <f t="shared" si="1"/>
        <v>-0.98461882944640422</v>
      </c>
      <c r="P63" s="50">
        <f t="shared" si="2"/>
        <v>47.443969396939693</v>
      </c>
      <c r="Q63" s="50">
        <f t="shared" si="3"/>
        <v>42.851157411050082</v>
      </c>
      <c r="R63" s="78"/>
      <c r="S63" s="46" t="str">
        <f t="shared" si="42"/>
        <v>A</v>
      </c>
      <c r="T63" s="79">
        <f>C63</f>
        <v>1</v>
      </c>
      <c r="U63" s="50">
        <f>$J$54*$J$34*($D$54*G25+$E$54*H25+$F$54*I25)</f>
        <v>575.64494265862652</v>
      </c>
      <c r="V63" s="50">
        <f>$J$54*$J$34*($D$55*G25+$E$55*H25+$F$55*I25)</f>
        <v>555.86856672885801</v>
      </c>
      <c r="W63" s="50">
        <f>$J$54*$J$34*($D$56*G25+$E$56*H25+$F$56*I25)</f>
        <v>243.61195178040882</v>
      </c>
      <c r="X63" s="29">
        <f t="shared" si="43"/>
        <v>1375.1254611678935</v>
      </c>
    </row>
    <row r="64" spans="1:24" ht="15" customHeight="1">
      <c r="A64" s="87"/>
      <c r="B64" s="48" t="str">
        <f t="shared" si="35"/>
        <v>CWF</v>
      </c>
      <c r="C64" s="93"/>
      <c r="D64" s="31">
        <f t="shared" si="36"/>
        <v>1215</v>
      </c>
      <c r="E64" s="32">
        <f t="shared" si="37"/>
        <v>3861</v>
      </c>
      <c r="F64" s="31">
        <f t="shared" si="38"/>
        <v>1140.0223418586297</v>
      </c>
      <c r="G64" s="32">
        <f t="shared" si="39"/>
        <v>3904</v>
      </c>
      <c r="H64" s="33">
        <f t="shared" si="41"/>
        <v>-6.1710006700716247E-2</v>
      </c>
      <c r="I64" s="34">
        <f t="shared" si="40"/>
        <v>1.1137011137011044E-2</v>
      </c>
      <c r="M64" s="46">
        <f t="shared" si="0"/>
        <v>50.463335950282215</v>
      </c>
      <c r="N64" s="46">
        <f t="shared" si="5"/>
        <v>61</v>
      </c>
      <c r="O64" s="50">
        <f t="shared" si="1"/>
        <v>-3.113524406627846</v>
      </c>
      <c r="P64" s="50">
        <f t="shared" si="2"/>
        <v>47.349811543654369</v>
      </c>
      <c r="Q64" s="50">
        <f t="shared" si="3"/>
        <v>42.529013958172683</v>
      </c>
      <c r="R64" s="78"/>
      <c r="S64" s="46" t="str">
        <f t="shared" si="42"/>
        <v>CWF</v>
      </c>
      <c r="T64" s="79"/>
      <c r="U64" s="50">
        <f>$J$54*$J$34*($D$54*G26+$E$54*H26+$F$54*I26)</f>
        <v>1128.4277584113154</v>
      </c>
      <c r="V64" s="50">
        <f>$J$54*$J$34*($D$55*G26+$E$55*H26+$F$55*I26)</f>
        <v>1140.0223418586297</v>
      </c>
      <c r="W64" s="50">
        <f>$J$54*$J$34*($D$56*G26+$E$56*H26+$F$56*I26)</f>
        <v>624.93908723704351</v>
      </c>
      <c r="X64" s="29">
        <f t="shared" si="43"/>
        <v>2893.3891875069889</v>
      </c>
    </row>
    <row r="65" spans="1:24">
      <c r="A65" s="87"/>
      <c r="B65" s="48" t="str">
        <f t="shared" si="35"/>
        <v>D65</v>
      </c>
      <c r="C65" s="93"/>
      <c r="D65" s="31">
        <f t="shared" si="36"/>
        <v>579.15</v>
      </c>
      <c r="E65" s="32">
        <f t="shared" si="37"/>
        <v>6345</v>
      </c>
      <c r="F65" s="31">
        <f t="shared" si="38"/>
        <v>597.76077375583316</v>
      </c>
      <c r="G65" s="32">
        <f t="shared" si="39"/>
        <v>6081</v>
      </c>
      <c r="H65" s="33">
        <f t="shared" si="41"/>
        <v>3.2134634819706687E-2</v>
      </c>
      <c r="I65" s="34">
        <f t="shared" si="40"/>
        <v>-4.160756501182028E-2</v>
      </c>
      <c r="M65" s="46">
        <f t="shared" si="0"/>
        <v>52.498083674178311</v>
      </c>
      <c r="N65" s="46">
        <f t="shared" si="5"/>
        <v>62</v>
      </c>
      <c r="O65" s="50">
        <f t="shared" si="1"/>
        <v>-5.2424299838092736</v>
      </c>
      <c r="P65" s="50">
        <f t="shared" si="2"/>
        <v>47.255653690369037</v>
      </c>
      <c r="Q65" s="50">
        <f t="shared" si="3"/>
        <v>42.206870505295285</v>
      </c>
      <c r="R65" s="78"/>
      <c r="S65" s="46" t="str">
        <f t="shared" si="42"/>
        <v>D65</v>
      </c>
      <c r="T65" s="79"/>
      <c r="U65" s="50">
        <f>$J$54*$J$34*($D$54*G27+$E$54*H27+$F$54*I27)</f>
        <v>533.66893083967261</v>
      </c>
      <c r="V65" s="50">
        <f>$J$54*$J$34*($D$55*G27+$E$55*H27+$F$55*I27)</f>
        <v>597.76077375583316</v>
      </c>
      <c r="W65" s="50">
        <f>$J$54*$J$34*($D$56*G27+$E$56*H27+$F$56*I27)</f>
        <v>533.14507882313933</v>
      </c>
      <c r="X65" s="29">
        <f t="shared" si="43"/>
        <v>1664.5747834186452</v>
      </c>
    </row>
    <row r="66" spans="1:24">
      <c r="A66" s="87"/>
      <c r="B66" s="48" t="str">
        <f t="shared" si="35"/>
        <v>A</v>
      </c>
      <c r="C66" s="93">
        <f>C48</f>
        <v>2</v>
      </c>
      <c r="D66" s="31">
        <f t="shared" si="36"/>
        <v>519.54999999999995</v>
      </c>
      <c r="E66" s="32">
        <f t="shared" si="37"/>
        <v>2880</v>
      </c>
      <c r="F66" s="31">
        <f t="shared" si="38"/>
        <v>500.8134597557858</v>
      </c>
      <c r="G66" s="32">
        <f t="shared" si="39"/>
        <v>2400</v>
      </c>
      <c r="H66" s="33">
        <f t="shared" si="41"/>
        <v>-3.6063016541649784E-2</v>
      </c>
      <c r="I66" s="34">
        <f t="shared" si="40"/>
        <v>-0.16666666666666663</v>
      </c>
      <c r="M66" s="46">
        <f t="shared" si="0"/>
        <v>54.532831398074443</v>
      </c>
      <c r="N66" s="46">
        <f t="shared" si="5"/>
        <v>63</v>
      </c>
      <c r="O66" s="50">
        <f t="shared" si="1"/>
        <v>-7.3713355609907296</v>
      </c>
      <c r="P66" s="50">
        <f t="shared" si="2"/>
        <v>47.161495837083713</v>
      </c>
      <c r="Q66" s="50">
        <f t="shared" si="3"/>
        <v>41.884727052417887</v>
      </c>
      <c r="R66" s="78"/>
      <c r="S66" s="46" t="str">
        <f t="shared" si="42"/>
        <v>A</v>
      </c>
      <c r="T66" s="79">
        <f>C66</f>
        <v>2</v>
      </c>
      <c r="U66" s="50">
        <f>$J$54*$J$37*($D$54*G28+$E$54*H28+$F$54*I28)</f>
        <v>568.61851376869072</v>
      </c>
      <c r="V66" s="50">
        <f>$J$54*$J$37*($D$55*G28+$E$55*H28+$F$55*I28)</f>
        <v>500.8134597557858</v>
      </c>
      <c r="W66" s="50">
        <f>$J$54*$J$37*($D$56*G28+$E$56*H28+$F$56*I28)</f>
        <v>54.004846102893239</v>
      </c>
      <c r="X66" s="29">
        <f t="shared" si="43"/>
        <v>1123.4368196273697</v>
      </c>
    </row>
    <row r="67" spans="1:24">
      <c r="A67" s="87"/>
      <c r="B67" s="48" t="str">
        <f t="shared" si="35"/>
        <v>CWF</v>
      </c>
      <c r="C67" s="93"/>
      <c r="D67" s="31">
        <f t="shared" si="36"/>
        <v>1215</v>
      </c>
      <c r="E67" s="32">
        <f t="shared" si="37"/>
        <v>3861</v>
      </c>
      <c r="F67" s="31">
        <f t="shared" si="38"/>
        <v>1312.9572709106164</v>
      </c>
      <c r="G67" s="32">
        <f t="shared" si="39"/>
        <v>3880</v>
      </c>
      <c r="H67" s="33">
        <f t="shared" si="41"/>
        <v>8.0623268239190526E-2</v>
      </c>
      <c r="I67" s="34">
        <f t="shared" si="40"/>
        <v>4.9210049210048901E-3</v>
      </c>
      <c r="R67" s="78"/>
      <c r="S67" s="46" t="str">
        <f t="shared" si="42"/>
        <v>CWF</v>
      </c>
      <c r="T67" s="79"/>
      <c r="U67" s="50">
        <f>$J$54*$J$37*($D$54*G29+$E$54*H29+$F$54*I29)</f>
        <v>1299.4676485856289</v>
      </c>
      <c r="V67" s="50">
        <f>$J$54*$J$37*($D$55*G29+$E$55*H29+$F$55*I29)</f>
        <v>1312.9572709106164</v>
      </c>
      <c r="W67" s="50">
        <f>$J$54*$J$37*($D$56*G29+$E$56*H29+$F$56*I29)</f>
        <v>707.68202708243143</v>
      </c>
      <c r="X67" s="29">
        <f t="shared" si="43"/>
        <v>3320.1069465786768</v>
      </c>
    </row>
    <row r="68" spans="1:24">
      <c r="A68" s="87"/>
      <c r="B68" s="48" t="str">
        <f t="shared" si="35"/>
        <v>D65</v>
      </c>
      <c r="C68" s="93"/>
      <c r="D68" s="31">
        <f t="shared" si="36"/>
        <v>579.15</v>
      </c>
      <c r="E68" s="32">
        <f t="shared" si="37"/>
        <v>6345</v>
      </c>
      <c r="F68" s="31">
        <f t="shared" si="38"/>
        <v>548.52078871018136</v>
      </c>
      <c r="G68" s="32">
        <f t="shared" si="39"/>
        <v>5930</v>
      </c>
      <c r="H68" s="33">
        <f t="shared" si="41"/>
        <v>-5.2886491046911233E-2</v>
      </c>
      <c r="I68" s="34">
        <f t="shared" si="40"/>
        <v>-6.5405831363278155E-2</v>
      </c>
      <c r="R68" s="78"/>
      <c r="S68" s="46" t="str">
        <f t="shared" si="42"/>
        <v>D65</v>
      </c>
      <c r="T68" s="79"/>
      <c r="U68" s="50">
        <f>$J$54*$J$37*($D$54*G30+$E$54*H30+$F$54*I30)</f>
        <v>492.39435534833171</v>
      </c>
      <c r="V68" s="50">
        <f>$J$54*$J$37*($D$55*G30+$E$55*H30+$F$55*I30)</f>
        <v>548.52078871018136</v>
      </c>
      <c r="W68" s="50">
        <f>$J$54*$J$37*($D$56*G30+$E$56*H30+$F$56*I30)</f>
        <v>478.82790455151024</v>
      </c>
      <c r="X68" s="29">
        <f t="shared" si="43"/>
        <v>1519.7430486100234</v>
      </c>
    </row>
    <row r="69" spans="1:24">
      <c r="A69" s="88"/>
      <c r="B69" s="94" t="s">
        <v>29</v>
      </c>
      <c r="C69" s="94"/>
      <c r="D69" s="47"/>
      <c r="E69" s="36" t="str">
        <f>H59</f>
        <v>Lux</v>
      </c>
      <c r="F69" s="37">
        <f>MAX(MAX(H60:H68,-MIN(H60:H68)))</f>
        <v>8.0623268239190526E-2</v>
      </c>
      <c r="G69" s="47"/>
      <c r="H69" s="36" t="str">
        <f>I59</f>
        <v>CCT</v>
      </c>
      <c r="I69" s="38">
        <f>MAX(MAX(I60:I68,-MIN(I60:I68)))</f>
        <v>0.16666666666666663</v>
      </c>
      <c r="R69" s="4"/>
      <c r="T69" s="12"/>
      <c r="U69" s="50"/>
      <c r="V69" s="50"/>
      <c r="W69" s="50"/>
      <c r="X69" s="29"/>
    </row>
    <row r="70" spans="1:24">
      <c r="A70" s="86" t="str">
        <f>C51</f>
        <v>Average</v>
      </c>
      <c r="B70" s="89" t="s">
        <v>27</v>
      </c>
      <c r="C70" s="89"/>
      <c r="D70" s="91" t="str">
        <f>D58</f>
        <v>Meter</v>
      </c>
      <c r="E70" s="91"/>
      <c r="F70" s="91" t="str">
        <f>F58</f>
        <v>Device</v>
      </c>
      <c r="G70" s="91"/>
      <c r="H70" s="91" t="s">
        <v>22</v>
      </c>
      <c r="I70" s="92"/>
      <c r="R70" s="95" t="s">
        <v>25</v>
      </c>
      <c r="S70" s="95"/>
      <c r="T70" s="95"/>
      <c r="U70" s="79" t="str">
        <f>U58</f>
        <v>Device</v>
      </c>
      <c r="V70" s="79"/>
      <c r="W70" s="79"/>
    </row>
    <row r="71" spans="1:24">
      <c r="A71" s="87"/>
      <c r="B71" s="90"/>
      <c r="C71" s="90"/>
      <c r="D71" s="48" t="s">
        <v>20</v>
      </c>
      <c r="E71" s="48" t="s">
        <v>21</v>
      </c>
      <c r="F71" s="48" t="str">
        <f>D71</f>
        <v>Lux</v>
      </c>
      <c r="G71" s="48" t="str">
        <f t="shared" ref="G71:I71" si="44">E71</f>
        <v>CCT</v>
      </c>
      <c r="H71" s="48" t="str">
        <f t="shared" si="44"/>
        <v>Lux</v>
      </c>
      <c r="I71" s="30" t="str">
        <f t="shared" si="44"/>
        <v>CCT</v>
      </c>
      <c r="R71" s="95"/>
      <c r="S71" s="95"/>
      <c r="T71" s="95"/>
      <c r="U71" s="46" t="str">
        <f>U59</f>
        <v>X</v>
      </c>
      <c r="V71" s="46" t="str">
        <f t="shared" ref="V71:W71" si="45">V59</f>
        <v>Y</v>
      </c>
      <c r="W71" s="46" t="str">
        <f t="shared" si="45"/>
        <v>Z</v>
      </c>
      <c r="X71" s="28" t="s">
        <v>24</v>
      </c>
    </row>
    <row r="72" spans="1:24">
      <c r="A72" s="87"/>
      <c r="B72" s="48" t="str">
        <f t="shared" ref="B72:B80" si="46">B43</f>
        <v>Y</v>
      </c>
      <c r="C72" s="93">
        <f>C60</f>
        <v>0</v>
      </c>
      <c r="D72" s="31">
        <f>D60</f>
        <v>519.54999999999995</v>
      </c>
      <c r="E72" s="31">
        <f t="shared" ref="E72:E80" si="47">E60</f>
        <v>2880</v>
      </c>
      <c r="F72" s="31">
        <f t="shared" ref="F72:F80" si="48">V72</f>
        <v>580.37426618377538</v>
      </c>
      <c r="G72" s="32">
        <f t="shared" ref="G72:G80" si="49">getCCTfromXY(U72/X72,V72/X72)</f>
        <v>3284</v>
      </c>
      <c r="H72" s="33">
        <f>F72/D72-1</f>
        <v>0.11707105415027508</v>
      </c>
      <c r="I72" s="34">
        <f t="shared" ref="I72:I80" si="50">G72/E72-1</f>
        <v>0.14027777777777772</v>
      </c>
      <c r="R72" s="78" t="str">
        <f>A70</f>
        <v>Average</v>
      </c>
      <c r="S72" s="46" t="str">
        <f>S60</f>
        <v>A</v>
      </c>
      <c r="T72" s="79">
        <f>C72</f>
        <v>0</v>
      </c>
      <c r="U72" s="50">
        <f>$J$51*$J$31*($D$51*G22+$E$51*H22+$F$51*I22)</f>
        <v>604.16386365749281</v>
      </c>
      <c r="V72" s="50">
        <f>$J$51*$J$31*($D$52*G22+$E$52*H22+$F$52*I22)</f>
        <v>580.37426618377538</v>
      </c>
      <c r="W72" s="50">
        <f>$J$51*$J$31*($D$53*G22+$E$53*H22+$F$53*I22)</f>
        <v>245.13546100226364</v>
      </c>
      <c r="X72" s="29">
        <f>SUM(U72:W72)</f>
        <v>1429.6735908435317</v>
      </c>
    </row>
    <row r="73" spans="1:24">
      <c r="A73" s="87"/>
      <c r="B73" s="48" t="str">
        <f t="shared" si="46"/>
        <v>Z</v>
      </c>
      <c r="C73" s="93"/>
      <c r="D73" s="31">
        <f t="shared" ref="D73:D80" si="51">D61</f>
        <v>1215</v>
      </c>
      <c r="E73" s="31">
        <f t="shared" si="47"/>
        <v>3861</v>
      </c>
      <c r="F73" s="31">
        <f t="shared" si="48"/>
        <v>1236.5412389510657</v>
      </c>
      <c r="G73" s="32">
        <f t="shared" si="49"/>
        <v>3892</v>
      </c>
      <c r="H73" s="33">
        <f t="shared" ref="H73:H80" si="52">F73/D73-1</f>
        <v>1.7729414774539709E-2</v>
      </c>
      <c r="I73" s="34">
        <f t="shared" si="50"/>
        <v>8.0290080290079668E-3</v>
      </c>
      <c r="R73" s="78"/>
      <c r="S73" s="46" t="str">
        <f t="shared" ref="S73:S80" si="53">S61</f>
        <v>CWF</v>
      </c>
      <c r="T73" s="79"/>
      <c r="U73" s="50">
        <f t="shared" ref="U73:U74" si="54">$J$51*$J$31*($D$51*G23+$E$51*H23+$F$51*I23)</f>
        <v>1224.6261960311158</v>
      </c>
      <c r="V73" s="50">
        <f t="shared" ref="V73:V74" si="55">$J$51*$J$31*($D$52*G23+$E$52*H23+$F$52*I23)</f>
        <v>1236.5412389510657</v>
      </c>
      <c r="W73" s="50">
        <f t="shared" ref="W73:W74" si="56">$J$51*$J$31*($D$53*G23+$E$53*H23+$F$53*I23)</f>
        <v>674.00736728001527</v>
      </c>
      <c r="X73" s="29">
        <f t="shared" ref="X73:X80" si="57">SUM(U73:W73)</f>
        <v>3135.1748022621969</v>
      </c>
    </row>
    <row r="74" spans="1:24">
      <c r="A74" s="87"/>
      <c r="B74" s="48" t="str">
        <f t="shared" si="46"/>
        <v>X</v>
      </c>
      <c r="C74" s="93"/>
      <c r="D74" s="31">
        <f t="shared" si="51"/>
        <v>579.15</v>
      </c>
      <c r="E74" s="31">
        <f t="shared" si="47"/>
        <v>6345</v>
      </c>
      <c r="F74" s="31">
        <f t="shared" si="48"/>
        <v>635.46153018426241</v>
      </c>
      <c r="G74" s="32">
        <f t="shared" si="49"/>
        <v>6411</v>
      </c>
      <c r="H74" s="33">
        <f t="shared" si="52"/>
        <v>9.7231339349499235E-2</v>
      </c>
      <c r="I74" s="34">
        <f t="shared" si="50"/>
        <v>1.0401891252955098E-2</v>
      </c>
      <c r="R74" s="78"/>
      <c r="S74" s="46" t="str">
        <f t="shared" si="53"/>
        <v>D65</v>
      </c>
      <c r="T74" s="79"/>
      <c r="U74" s="50">
        <f t="shared" si="54"/>
        <v>560.32253443936474</v>
      </c>
      <c r="V74" s="50">
        <f t="shared" si="55"/>
        <v>635.46153018426241</v>
      </c>
      <c r="W74" s="50">
        <f t="shared" si="56"/>
        <v>590.9188923617819</v>
      </c>
      <c r="X74" s="29">
        <f t="shared" si="57"/>
        <v>1786.7029569854092</v>
      </c>
    </row>
    <row r="75" spans="1:24">
      <c r="A75" s="87"/>
      <c r="B75" s="48" t="str">
        <f t="shared" si="46"/>
        <v>Y</v>
      </c>
      <c r="C75" s="93">
        <f>C63</f>
        <v>1</v>
      </c>
      <c r="D75" s="31">
        <f t="shared" si="51"/>
        <v>519.54999999999995</v>
      </c>
      <c r="E75" s="31">
        <f t="shared" si="47"/>
        <v>2880</v>
      </c>
      <c r="F75" s="31">
        <f t="shared" si="48"/>
        <v>590.06084241452254</v>
      </c>
      <c r="G75" s="32">
        <f t="shared" si="49"/>
        <v>3416</v>
      </c>
      <c r="H75" s="33">
        <f t="shared" si="52"/>
        <v>0.13571521973731615</v>
      </c>
      <c r="I75" s="34">
        <f t="shared" si="50"/>
        <v>0.18611111111111112</v>
      </c>
      <c r="R75" s="78"/>
      <c r="S75" s="46" t="str">
        <f t="shared" si="53"/>
        <v>A</v>
      </c>
      <c r="T75" s="79">
        <f>C75</f>
        <v>1</v>
      </c>
      <c r="U75" s="50">
        <f>$J$51*$J$34*($D$51*G25+$E$51*H25+$F$51*I25)</f>
        <v>608.1316676198893</v>
      </c>
      <c r="V75" s="50">
        <f>$J$51*$J$34*($D$52*G25+$E$52*H25+$F$52*I25)</f>
        <v>590.06084241452254</v>
      </c>
      <c r="W75" s="50">
        <f>$J$51*$J$34*($D$53*G25+$E$53*H25+$F$53*I25)</f>
        <v>269.42762006254691</v>
      </c>
      <c r="X75" s="29">
        <f t="shared" si="57"/>
        <v>1467.6201300969587</v>
      </c>
    </row>
    <row r="76" spans="1:24">
      <c r="A76" s="87"/>
      <c r="B76" s="48" t="str">
        <f t="shared" si="46"/>
        <v>Z</v>
      </c>
      <c r="C76" s="93"/>
      <c r="D76" s="31">
        <f t="shared" si="51"/>
        <v>1215</v>
      </c>
      <c r="E76" s="31">
        <f t="shared" si="47"/>
        <v>3861</v>
      </c>
      <c r="F76" s="31">
        <f t="shared" si="48"/>
        <v>1221.2925658290717</v>
      </c>
      <c r="G76" s="32">
        <f t="shared" si="49"/>
        <v>3950</v>
      </c>
      <c r="H76" s="33">
        <f t="shared" si="52"/>
        <v>5.1790665259849877E-3</v>
      </c>
      <c r="I76" s="34">
        <f t="shared" si="50"/>
        <v>2.3051023051023023E-2</v>
      </c>
      <c r="R76" s="78"/>
      <c r="S76" s="46" t="str">
        <f t="shared" si="53"/>
        <v>CWF</v>
      </c>
      <c r="T76" s="79"/>
      <c r="U76" s="50">
        <f t="shared" ref="U76:U77" si="58">$J$51*$J$34*($D$51*G26+$E$51*H26+$F$51*I26)</f>
        <v>1205.3788698582678</v>
      </c>
      <c r="V76" s="50">
        <f t="shared" ref="V76:V77" si="59">$J$51*$J$34*($D$52*G26+$E$52*H26+$F$52*I26)</f>
        <v>1221.2925658290717</v>
      </c>
      <c r="W76" s="50">
        <f t="shared" ref="W76:W77" si="60">$J$51*$J$34*($D$53*G26+$E$53*H26+$F$53*I26)</f>
        <v>680.95506457101339</v>
      </c>
      <c r="X76" s="29">
        <f t="shared" si="57"/>
        <v>3107.6265002583527</v>
      </c>
    </row>
    <row r="77" spans="1:24">
      <c r="A77" s="87"/>
      <c r="B77" s="48" t="str">
        <f t="shared" si="46"/>
        <v>X</v>
      </c>
      <c r="C77" s="93"/>
      <c r="D77" s="31">
        <f t="shared" si="51"/>
        <v>579.15</v>
      </c>
      <c r="E77" s="31">
        <f t="shared" si="47"/>
        <v>6345</v>
      </c>
      <c r="F77" s="31">
        <f t="shared" si="48"/>
        <v>643.43545851393958</v>
      </c>
      <c r="G77" s="32">
        <f t="shared" si="49"/>
        <v>6440</v>
      </c>
      <c r="H77" s="33">
        <f t="shared" si="52"/>
        <v>0.11099966936707184</v>
      </c>
      <c r="I77" s="34">
        <f t="shared" si="50"/>
        <v>1.4972419227738287E-2</v>
      </c>
      <c r="R77" s="78"/>
      <c r="S77" s="46" t="str">
        <f t="shared" si="53"/>
        <v>D65</v>
      </c>
      <c r="T77" s="79"/>
      <c r="U77" s="50">
        <f t="shared" si="58"/>
        <v>566.78037684539595</v>
      </c>
      <c r="V77" s="50">
        <f t="shared" si="59"/>
        <v>643.43545851393958</v>
      </c>
      <c r="W77" s="50">
        <f t="shared" si="60"/>
        <v>600.45642749117121</v>
      </c>
      <c r="X77" s="29">
        <f t="shared" si="57"/>
        <v>1810.6722628505067</v>
      </c>
    </row>
    <row r="78" spans="1:24">
      <c r="A78" s="87"/>
      <c r="B78" s="48" t="str">
        <f t="shared" si="46"/>
        <v>Y</v>
      </c>
      <c r="C78" s="93">
        <f>C66</f>
        <v>2</v>
      </c>
      <c r="D78" s="31">
        <f t="shared" si="51"/>
        <v>519.54999999999995</v>
      </c>
      <c r="E78" s="31">
        <f t="shared" si="47"/>
        <v>2880</v>
      </c>
      <c r="F78" s="31">
        <f t="shared" si="48"/>
        <v>527.34731914453334</v>
      </c>
      <c r="G78" s="32">
        <f t="shared" si="49"/>
        <v>2374</v>
      </c>
      <c r="H78" s="33">
        <f t="shared" si="52"/>
        <v>1.500783205568923E-2</v>
      </c>
      <c r="I78" s="34">
        <f t="shared" si="50"/>
        <v>-0.17569444444444449</v>
      </c>
      <c r="R78" s="78"/>
      <c r="S78" s="46" t="str">
        <f t="shared" si="53"/>
        <v>A</v>
      </c>
      <c r="T78" s="79">
        <f>C78</f>
        <v>2</v>
      </c>
      <c r="U78" s="50">
        <f>$J$51*$J$37*($D$51*G28+$E$51*H28+$F$51*I28)</f>
        <v>600.84715835195732</v>
      </c>
      <c r="V78" s="50">
        <f>$J$51*$J$37*($D$52*G28+$E$52*H28+$F$52*I28)</f>
        <v>527.34731914453334</v>
      </c>
      <c r="W78" s="50">
        <f>$J$51*$J$37*($D$53*G28+$E$53*H28+$F$53*I28)</f>
        <v>50.614236058624179</v>
      </c>
      <c r="X78" s="29">
        <f t="shared" si="57"/>
        <v>1178.8087135551148</v>
      </c>
    </row>
    <row r="79" spans="1:24">
      <c r="A79" s="87"/>
      <c r="B79" s="48" t="str">
        <f t="shared" si="46"/>
        <v>Z</v>
      </c>
      <c r="C79" s="93"/>
      <c r="D79" s="31">
        <f t="shared" si="51"/>
        <v>1215</v>
      </c>
      <c r="E79" s="31">
        <f t="shared" si="47"/>
        <v>3861</v>
      </c>
      <c r="F79" s="31">
        <f t="shared" si="48"/>
        <v>1408.3349406827492</v>
      </c>
      <c r="G79" s="32">
        <f t="shared" si="49"/>
        <v>3904</v>
      </c>
      <c r="H79" s="33">
        <f t="shared" si="52"/>
        <v>0.15912340796934088</v>
      </c>
      <c r="I79" s="34">
        <f t="shared" si="50"/>
        <v>1.1137011137011044E-2</v>
      </c>
      <c r="R79" s="78"/>
      <c r="S79" s="46" t="str">
        <f t="shared" si="53"/>
        <v>CWF</v>
      </c>
      <c r="T79" s="79"/>
      <c r="U79" s="50">
        <f t="shared" ref="U79:U80" si="61">$J$51*$J$37*($D$51*G29+$E$51*H29+$F$51*I29)</f>
        <v>1391.6280818586858</v>
      </c>
      <c r="V79" s="50">
        <f t="shared" ref="V79:V80" si="62">$J$51*$J$37*($D$52*G29+$E$52*H29+$F$52*I29)</f>
        <v>1408.3349406827492</v>
      </c>
      <c r="W79" s="50">
        <f t="shared" ref="W79:W80" si="63">$J$51*$J$37*($D$53*G29+$E$53*H29+$F$53*I29)</f>
        <v>765.73193041511001</v>
      </c>
      <c r="X79" s="29">
        <f t="shared" si="57"/>
        <v>3565.694952956545</v>
      </c>
    </row>
    <row r="80" spans="1:24">
      <c r="A80" s="87"/>
      <c r="B80" s="48" t="str">
        <f t="shared" si="46"/>
        <v>X</v>
      </c>
      <c r="C80" s="93"/>
      <c r="D80" s="31">
        <f t="shared" si="51"/>
        <v>579.15</v>
      </c>
      <c r="E80" s="31">
        <f t="shared" si="47"/>
        <v>6345</v>
      </c>
      <c r="F80" s="31">
        <f t="shared" si="48"/>
        <v>590.41669290117136</v>
      </c>
      <c r="G80" s="32">
        <f t="shared" si="49"/>
        <v>6257</v>
      </c>
      <c r="H80" s="33">
        <f t="shared" si="52"/>
        <v>1.9453842529865151E-2</v>
      </c>
      <c r="I80" s="34">
        <f t="shared" si="50"/>
        <v>-1.3869188337273464E-2</v>
      </c>
      <c r="R80" s="78"/>
      <c r="S80" s="46" t="str">
        <f t="shared" si="53"/>
        <v>D65</v>
      </c>
      <c r="T80" s="79"/>
      <c r="U80" s="50">
        <f t="shared" si="61"/>
        <v>523.36473474364402</v>
      </c>
      <c r="V80" s="50">
        <f t="shared" si="62"/>
        <v>590.41669290117136</v>
      </c>
      <c r="W80" s="50">
        <f t="shared" si="63"/>
        <v>538.37440343989351</v>
      </c>
      <c r="X80" s="29">
        <f t="shared" si="57"/>
        <v>1652.1558310847088</v>
      </c>
    </row>
    <row r="81" spans="1:24">
      <c r="A81" s="88"/>
      <c r="B81" s="94" t="s">
        <v>29</v>
      </c>
      <c r="C81" s="94"/>
      <c r="D81" s="47"/>
      <c r="E81" s="36" t="str">
        <f>H71</f>
        <v>Lux</v>
      </c>
      <c r="F81" s="37">
        <f>MAX(MAX(H72:H80,-MIN(H72:H80)))</f>
        <v>0.15912340796934088</v>
      </c>
      <c r="G81" s="47"/>
      <c r="H81" s="36" t="str">
        <f>I71</f>
        <v>CCT</v>
      </c>
      <c r="I81" s="38">
        <f>MAX(MAX(I72:I80,-MIN(I72:I80)))</f>
        <v>0.18611111111111112</v>
      </c>
    </row>
    <row r="82" spans="1:24">
      <c r="A82" s="86" t="s">
        <v>30</v>
      </c>
      <c r="B82" s="89" t="s">
        <v>27</v>
      </c>
      <c r="C82" s="89"/>
      <c r="D82" s="91" t="str">
        <f>D70</f>
        <v>Meter</v>
      </c>
      <c r="E82" s="91"/>
      <c r="F82" s="91" t="str">
        <f>F70</f>
        <v>Device</v>
      </c>
      <c r="G82" s="91"/>
      <c r="H82" s="91" t="s">
        <v>22</v>
      </c>
      <c r="I82" s="92"/>
      <c r="R82" s="95" t="s">
        <v>25</v>
      </c>
      <c r="S82" s="95"/>
      <c r="T82" s="95"/>
      <c r="U82" s="79" t="str">
        <f>U70</f>
        <v>Device</v>
      </c>
      <c r="V82" s="79"/>
      <c r="W82" s="79"/>
    </row>
    <row r="83" spans="1:24">
      <c r="A83" s="87"/>
      <c r="B83" s="90"/>
      <c r="C83" s="90"/>
      <c r="D83" s="48" t="s">
        <v>20</v>
      </c>
      <c r="E83" s="48" t="s">
        <v>21</v>
      </c>
      <c r="F83" s="48" t="str">
        <f>D83</f>
        <v>Lux</v>
      </c>
      <c r="G83" s="48" t="str">
        <f t="shared" ref="G83:I83" si="64">E83</f>
        <v>CCT</v>
      </c>
      <c r="H83" s="48" t="str">
        <f t="shared" si="64"/>
        <v>Lux</v>
      </c>
      <c r="I83" s="30" t="str">
        <f t="shared" si="64"/>
        <v>CCT</v>
      </c>
      <c r="R83" s="95"/>
      <c r="S83" s="95"/>
      <c r="T83" s="95"/>
      <c r="U83" s="46" t="str">
        <f>U71</f>
        <v>X</v>
      </c>
      <c r="V83" s="46" t="str">
        <f t="shared" ref="V83:W83" si="65">V71</f>
        <v>Y</v>
      </c>
      <c r="W83" s="46" t="str">
        <f t="shared" si="65"/>
        <v>Z</v>
      </c>
      <c r="X83" s="28" t="s">
        <v>24</v>
      </c>
    </row>
    <row r="84" spans="1:24">
      <c r="A84" s="87"/>
      <c r="B84" s="48">
        <f t="shared" ref="B84:B92" si="66">B55</f>
        <v>0</v>
      </c>
      <c r="C84" s="93">
        <f>C72</f>
        <v>0</v>
      </c>
      <c r="D84" s="31">
        <f>D72</f>
        <v>519.54999999999995</v>
      </c>
      <c r="E84" s="31">
        <f t="shared" ref="E84:E92" si="67">E72</f>
        <v>2880</v>
      </c>
      <c r="F84" s="31">
        <f t="shared" ref="F84:F92" si="68">V84</f>
        <v>519.55000000000007</v>
      </c>
      <c r="G84" s="32">
        <f t="shared" ref="G84:G92" si="69">getCCTfromXY(U84/X84,V84/X84)</f>
        <v>2880</v>
      </c>
      <c r="H84" s="33">
        <f>F84/D84-1</f>
        <v>0</v>
      </c>
      <c r="I84" s="34">
        <f t="shared" ref="I84:I92" si="70">G84/E84-1</f>
        <v>0</v>
      </c>
      <c r="R84" s="78" t="str">
        <f>A82</f>
        <v>Per Range</v>
      </c>
      <c r="S84" s="46" t="str">
        <f>S72</f>
        <v>A</v>
      </c>
      <c r="T84" s="79">
        <f>T72</f>
        <v>0</v>
      </c>
      <c r="U84" s="50">
        <f>$J$42*$J$31*($D$42*G22+$E$42*H22+$F$42*I22)</f>
        <v>559.95000000000027</v>
      </c>
      <c r="V84" s="50">
        <f>$J$42*$J$31*($D$43*G22+$E$43*H22+$F$43*I22)</f>
        <v>519.55000000000007</v>
      </c>
      <c r="W84" s="50">
        <f>$J$42*$J$31*($D$44*G22+$E$44*H22+$F$44*I22)</f>
        <v>156.55000000000044</v>
      </c>
      <c r="X84" s="29">
        <f>SUM(U84:W84)</f>
        <v>1236.0500000000009</v>
      </c>
    </row>
    <row r="85" spans="1:24">
      <c r="A85" s="87"/>
      <c r="B85" s="48">
        <f t="shared" si="66"/>
        <v>0</v>
      </c>
      <c r="C85" s="93"/>
      <c r="D85" s="31">
        <f t="shared" ref="D85:D92" si="71">D73</f>
        <v>1215</v>
      </c>
      <c r="E85" s="31">
        <f t="shared" si="67"/>
        <v>3861</v>
      </c>
      <c r="F85" s="31">
        <f t="shared" si="68"/>
        <v>1215</v>
      </c>
      <c r="G85" s="32">
        <f t="shared" si="69"/>
        <v>3861</v>
      </c>
      <c r="H85" s="33">
        <f t="shared" ref="H85:H92" si="72">F85/D85-1</f>
        <v>0</v>
      </c>
      <c r="I85" s="34">
        <f t="shared" si="70"/>
        <v>0</v>
      </c>
      <c r="R85" s="78"/>
      <c r="S85" s="46" t="str">
        <f t="shared" ref="S85:S92" si="73">S73</f>
        <v>CWF</v>
      </c>
      <c r="T85" s="79"/>
      <c r="U85" s="50">
        <f t="shared" ref="U85:U86" si="74">$J$42*$J$31*($D$42*G23+$E$42*H23+$F$42*I23)</f>
        <v>1205.0000000000002</v>
      </c>
      <c r="V85" s="50">
        <f t="shared" ref="V85:V86" si="75">$J$42*$J$31*($D$43*G23+$E$43*H23+$F$43*I23)</f>
        <v>1215</v>
      </c>
      <c r="W85" s="50">
        <f t="shared" ref="W85:W86" si="76">$J$42*$J$31*($D$44*G23+$E$44*H23+$F$44*I23)</f>
        <v>652.50000000000023</v>
      </c>
      <c r="X85" s="29">
        <f t="shared" ref="X85:X92" si="77">SUM(U85:W85)</f>
        <v>3072.5</v>
      </c>
    </row>
    <row r="86" spans="1:24">
      <c r="A86" s="87"/>
      <c r="B86" s="48">
        <f t="shared" si="66"/>
        <v>0</v>
      </c>
      <c r="C86" s="93"/>
      <c r="D86" s="31">
        <f t="shared" si="71"/>
        <v>579.15</v>
      </c>
      <c r="E86" s="31">
        <f t="shared" si="67"/>
        <v>6345</v>
      </c>
      <c r="F86" s="31">
        <f t="shared" si="68"/>
        <v>579.15000000000009</v>
      </c>
      <c r="G86" s="32">
        <f t="shared" si="69"/>
        <v>6345</v>
      </c>
      <c r="H86" s="33">
        <f t="shared" si="72"/>
        <v>0</v>
      </c>
      <c r="I86" s="34">
        <f t="shared" si="70"/>
        <v>0</v>
      </c>
      <c r="R86" s="78"/>
      <c r="S86" s="46" t="str">
        <f t="shared" si="73"/>
        <v>D65</v>
      </c>
      <c r="T86" s="79"/>
      <c r="U86" s="50">
        <f t="shared" si="74"/>
        <v>511.84999999999997</v>
      </c>
      <c r="V86" s="50">
        <f t="shared" si="75"/>
        <v>579.15000000000009</v>
      </c>
      <c r="W86" s="50">
        <f t="shared" si="76"/>
        <v>534.15</v>
      </c>
      <c r="X86" s="29">
        <f t="shared" si="77"/>
        <v>1625.15</v>
      </c>
    </row>
    <row r="87" spans="1:24">
      <c r="A87" s="87"/>
      <c r="B87" s="48" t="str">
        <f t="shared" si="66"/>
        <v>Results</v>
      </c>
      <c r="C87" s="93">
        <f>C75</f>
        <v>1</v>
      </c>
      <c r="D87" s="31">
        <f t="shared" si="71"/>
        <v>519.54999999999995</v>
      </c>
      <c r="E87" s="31">
        <f t="shared" si="67"/>
        <v>2880</v>
      </c>
      <c r="F87" s="31">
        <f t="shared" si="68"/>
        <v>519.5500000000003</v>
      </c>
      <c r="G87" s="32">
        <f t="shared" si="69"/>
        <v>2880</v>
      </c>
      <c r="H87" s="33">
        <f t="shared" si="72"/>
        <v>0</v>
      </c>
      <c r="I87" s="34">
        <f t="shared" si="70"/>
        <v>0</v>
      </c>
      <c r="R87" s="78"/>
      <c r="S87" s="46" t="str">
        <f t="shared" si="73"/>
        <v>A</v>
      </c>
      <c r="T87" s="79">
        <f>T75</f>
        <v>1</v>
      </c>
      <c r="U87" s="50">
        <f>$J$45*$J$34*($D$45*G25+$E$45*H25+$F$45*I25)</f>
        <v>559.95000000000027</v>
      </c>
      <c r="V87" s="50">
        <f>$J$45*$J$34*($D$46*G25+$E$46*H25+$F$46*I25)</f>
        <v>519.5500000000003</v>
      </c>
      <c r="W87" s="50">
        <f>$J$45*$J$34*($D$47*G25+$E$47*H25+$F$47*I25)</f>
        <v>156.5500000000001</v>
      </c>
      <c r="X87" s="29">
        <f t="shared" si="77"/>
        <v>1236.0500000000006</v>
      </c>
    </row>
    <row r="88" spans="1:24">
      <c r="A88" s="87"/>
      <c r="B88" s="48">
        <f t="shared" si="66"/>
        <v>0</v>
      </c>
      <c r="C88" s="93"/>
      <c r="D88" s="31">
        <f t="shared" si="71"/>
        <v>1215</v>
      </c>
      <c r="E88" s="31">
        <f t="shared" si="67"/>
        <v>3861</v>
      </c>
      <c r="F88" s="31">
        <f t="shared" si="68"/>
        <v>1215.0000000000002</v>
      </c>
      <c r="G88" s="32">
        <f t="shared" si="69"/>
        <v>3861</v>
      </c>
      <c r="H88" s="33">
        <f t="shared" si="72"/>
        <v>0</v>
      </c>
      <c r="I88" s="34">
        <f t="shared" si="70"/>
        <v>0</v>
      </c>
      <c r="R88" s="78"/>
      <c r="S88" s="46" t="str">
        <f t="shared" si="73"/>
        <v>CWF</v>
      </c>
      <c r="T88" s="79"/>
      <c r="U88" s="50">
        <f t="shared" ref="U88:U89" si="78">$J$45*$J$34*($D$45*G26+$E$45*H26+$F$45*I26)</f>
        <v>1204.9999999999998</v>
      </c>
      <c r="V88" s="50">
        <f t="shared" ref="V88:V89" si="79">$J$45*$J$34*($D$46*G26+$E$46*H26+$F$46*I26)</f>
        <v>1215.0000000000002</v>
      </c>
      <c r="W88" s="50">
        <f t="shared" ref="W88:W89" si="80">$J$45*$J$34*($D$47*G26+$E$47*H26+$F$47*I26)</f>
        <v>652.50000000000023</v>
      </c>
      <c r="X88" s="29">
        <f t="shared" si="77"/>
        <v>3072.5</v>
      </c>
    </row>
    <row r="89" spans="1:24">
      <c r="A89" s="87"/>
      <c r="B89" s="48" t="str">
        <f t="shared" si="66"/>
        <v>A</v>
      </c>
      <c r="C89" s="93"/>
      <c r="D89" s="31">
        <f t="shared" si="71"/>
        <v>579.15</v>
      </c>
      <c r="E89" s="31">
        <f t="shared" si="67"/>
        <v>6345</v>
      </c>
      <c r="F89" s="31">
        <f t="shared" si="68"/>
        <v>579.15000000000009</v>
      </c>
      <c r="G89" s="32">
        <f t="shared" si="69"/>
        <v>6345</v>
      </c>
      <c r="H89" s="33">
        <f t="shared" si="72"/>
        <v>0</v>
      </c>
      <c r="I89" s="34">
        <f t="shared" si="70"/>
        <v>0</v>
      </c>
      <c r="R89" s="78"/>
      <c r="S89" s="46" t="str">
        <f t="shared" si="73"/>
        <v>D65</v>
      </c>
      <c r="T89" s="79"/>
      <c r="U89" s="50">
        <f t="shared" si="78"/>
        <v>511.85</v>
      </c>
      <c r="V89" s="50">
        <f t="shared" si="79"/>
        <v>579.15000000000009</v>
      </c>
      <c r="W89" s="50">
        <f t="shared" si="80"/>
        <v>534.15</v>
      </c>
      <c r="X89" s="29">
        <f t="shared" si="77"/>
        <v>1625.15</v>
      </c>
    </row>
    <row r="90" spans="1:24">
      <c r="A90" s="87"/>
      <c r="B90" s="48" t="str">
        <f t="shared" si="66"/>
        <v>CWF</v>
      </c>
      <c r="C90" s="93">
        <f>C78</f>
        <v>2</v>
      </c>
      <c r="D90" s="31">
        <f t="shared" si="71"/>
        <v>519.54999999999995</v>
      </c>
      <c r="E90" s="31">
        <f t="shared" si="67"/>
        <v>2880</v>
      </c>
      <c r="F90" s="31">
        <f t="shared" si="68"/>
        <v>519.55000000000018</v>
      </c>
      <c r="G90" s="32">
        <f t="shared" si="69"/>
        <v>2880</v>
      </c>
      <c r="H90" s="33">
        <f t="shared" si="72"/>
        <v>0</v>
      </c>
      <c r="I90" s="34">
        <f t="shared" si="70"/>
        <v>0</v>
      </c>
      <c r="R90" s="78"/>
      <c r="S90" s="46" t="str">
        <f t="shared" si="73"/>
        <v>A</v>
      </c>
      <c r="T90" s="79">
        <f>T78</f>
        <v>2</v>
      </c>
      <c r="U90" s="50">
        <f>$J$48*$J$37*($D$48*G28+$E$48*H28+$F$48*I28)</f>
        <v>559.95000000000027</v>
      </c>
      <c r="V90" s="50">
        <f>$J$48*$J$37*($D$49*G28+$E$49*H28+$F$49*I28)</f>
        <v>519.55000000000018</v>
      </c>
      <c r="W90" s="50">
        <f>$J$48*$J$37*($D$50*G28+$E$50*H28+$F$50*I28)</f>
        <v>156.5499999999999</v>
      </c>
      <c r="X90" s="29">
        <f t="shared" si="77"/>
        <v>1236.0500000000004</v>
      </c>
    </row>
    <row r="91" spans="1:24">
      <c r="A91" s="87"/>
      <c r="B91" s="48" t="str">
        <f t="shared" si="66"/>
        <v>D65</v>
      </c>
      <c r="C91" s="93"/>
      <c r="D91" s="31">
        <f t="shared" si="71"/>
        <v>1215</v>
      </c>
      <c r="E91" s="31">
        <f t="shared" si="67"/>
        <v>3861</v>
      </c>
      <c r="F91" s="31">
        <f t="shared" si="68"/>
        <v>1215</v>
      </c>
      <c r="G91" s="32">
        <f t="shared" si="69"/>
        <v>3861</v>
      </c>
      <c r="H91" s="33">
        <f t="shared" si="72"/>
        <v>0</v>
      </c>
      <c r="I91" s="34">
        <f t="shared" si="70"/>
        <v>0</v>
      </c>
      <c r="R91" s="78"/>
      <c r="S91" s="46" t="str">
        <f t="shared" si="73"/>
        <v>CWF</v>
      </c>
      <c r="T91" s="79"/>
      <c r="U91" s="50">
        <f t="shared" ref="U91:U92" si="81">$J$48*$J$37*($D$48*G29+$E$48*H29+$F$48*I29)</f>
        <v>1205.0000000000002</v>
      </c>
      <c r="V91" s="50">
        <f t="shared" ref="V91:V92" si="82">$J$48*$J$37*($D$49*G29+$E$49*H29+$F$49*I29)</f>
        <v>1215</v>
      </c>
      <c r="W91" s="50">
        <f t="shared" ref="W91:W92" si="83">$J$48*$J$37*($D$50*G29+$E$50*H29+$F$50*I29)</f>
        <v>652.5</v>
      </c>
      <c r="X91" s="29">
        <f t="shared" si="77"/>
        <v>3072.5</v>
      </c>
    </row>
    <row r="92" spans="1:24">
      <c r="A92" s="87"/>
      <c r="B92" s="48" t="str">
        <f t="shared" si="66"/>
        <v>A</v>
      </c>
      <c r="C92" s="93"/>
      <c r="D92" s="31">
        <f t="shared" si="71"/>
        <v>579.15</v>
      </c>
      <c r="E92" s="31">
        <f t="shared" si="67"/>
        <v>6345</v>
      </c>
      <c r="F92" s="31">
        <f t="shared" si="68"/>
        <v>579.15000000000009</v>
      </c>
      <c r="G92" s="32">
        <f t="shared" si="69"/>
        <v>6345</v>
      </c>
      <c r="H92" s="33">
        <f t="shared" si="72"/>
        <v>0</v>
      </c>
      <c r="I92" s="34">
        <f t="shared" si="70"/>
        <v>0</v>
      </c>
      <c r="R92" s="78"/>
      <c r="S92" s="46" t="str">
        <f t="shared" si="73"/>
        <v>D65</v>
      </c>
      <c r="T92" s="79"/>
      <c r="U92" s="50">
        <f t="shared" si="81"/>
        <v>511.85</v>
      </c>
      <c r="V92" s="50">
        <f t="shared" si="82"/>
        <v>579.15000000000009</v>
      </c>
      <c r="W92" s="50">
        <f t="shared" si="83"/>
        <v>534.15</v>
      </c>
      <c r="X92" s="29">
        <f t="shared" si="77"/>
        <v>1625.15</v>
      </c>
    </row>
    <row r="93" spans="1:24">
      <c r="A93" s="88"/>
      <c r="B93" s="94" t="s">
        <v>29</v>
      </c>
      <c r="C93" s="94"/>
      <c r="D93" s="47"/>
      <c r="E93" s="36" t="str">
        <f>H83</f>
        <v>Lux</v>
      </c>
      <c r="F93" s="37">
        <f>MAX(MAX(H84:H92,-MIN(H84:H92)))</f>
        <v>0</v>
      </c>
      <c r="G93" s="47"/>
      <c r="H93" s="36" t="str">
        <f>I83</f>
        <v>CCT</v>
      </c>
      <c r="I93" s="38">
        <f>MAX(MAX(I84:I92,-MIN(I84:I92)))</f>
        <v>0</v>
      </c>
    </row>
  </sheetData>
  <mergeCells count="80">
    <mergeCell ref="U82:W82"/>
    <mergeCell ref="C84:C86"/>
    <mergeCell ref="R84:R92"/>
    <mergeCell ref="T84:T86"/>
    <mergeCell ref="C87:C89"/>
    <mergeCell ref="T87:T89"/>
    <mergeCell ref="C90:C92"/>
    <mergeCell ref="T90:T92"/>
    <mergeCell ref="R82:T83"/>
    <mergeCell ref="A82:A93"/>
    <mergeCell ref="B82:C83"/>
    <mergeCell ref="D82:E82"/>
    <mergeCell ref="F82:G82"/>
    <mergeCell ref="H82:I82"/>
    <mergeCell ref="B93:C93"/>
    <mergeCell ref="U70:W70"/>
    <mergeCell ref="C72:C74"/>
    <mergeCell ref="R72:R80"/>
    <mergeCell ref="T72:T74"/>
    <mergeCell ref="C75:C77"/>
    <mergeCell ref="T75:T77"/>
    <mergeCell ref="C78:C80"/>
    <mergeCell ref="T78:T80"/>
    <mergeCell ref="R70:T71"/>
    <mergeCell ref="A70:A81"/>
    <mergeCell ref="B70:C71"/>
    <mergeCell ref="D70:E70"/>
    <mergeCell ref="F70:G70"/>
    <mergeCell ref="H70:I70"/>
    <mergeCell ref="B81:C81"/>
    <mergeCell ref="R58:T59"/>
    <mergeCell ref="U58:W58"/>
    <mergeCell ref="C60:C62"/>
    <mergeCell ref="R60:R68"/>
    <mergeCell ref="T60:T62"/>
    <mergeCell ref="C63:C65"/>
    <mergeCell ref="T63:T65"/>
    <mergeCell ref="C66:C68"/>
    <mergeCell ref="T66:T68"/>
    <mergeCell ref="B54:C56"/>
    <mergeCell ref="J54:J56"/>
    <mergeCell ref="A58:A69"/>
    <mergeCell ref="B58:C59"/>
    <mergeCell ref="D58:E58"/>
    <mergeCell ref="F58:G58"/>
    <mergeCell ref="H58:I58"/>
    <mergeCell ref="B69:C69"/>
    <mergeCell ref="C45:C47"/>
    <mergeCell ref="J45:J47"/>
    <mergeCell ref="C48:C50"/>
    <mergeCell ref="J48:J50"/>
    <mergeCell ref="C51:C53"/>
    <mergeCell ref="J51:J53"/>
    <mergeCell ref="B40:C41"/>
    <mergeCell ref="D40:F40"/>
    <mergeCell ref="G40:I41"/>
    <mergeCell ref="J40:J41"/>
    <mergeCell ref="C42:C44"/>
    <mergeCell ref="J42:J44"/>
    <mergeCell ref="A31:A39"/>
    <mergeCell ref="C31:C33"/>
    <mergeCell ref="J31:J33"/>
    <mergeCell ref="C34:C36"/>
    <mergeCell ref="J34:J36"/>
    <mergeCell ref="C37:C39"/>
    <mergeCell ref="J37:J39"/>
    <mergeCell ref="A22:A30"/>
    <mergeCell ref="C22:C24"/>
    <mergeCell ref="J22:J24"/>
    <mergeCell ref="C25:C27"/>
    <mergeCell ref="J25:J27"/>
    <mergeCell ref="C28:C30"/>
    <mergeCell ref="J28:J30"/>
    <mergeCell ref="C2:F2"/>
    <mergeCell ref="D11:F11"/>
    <mergeCell ref="G11:I11"/>
    <mergeCell ref="A13:A21"/>
    <mergeCell ref="B13:B15"/>
    <mergeCell ref="B16:B18"/>
    <mergeCell ref="B19:B21"/>
  </mergeCells>
  <conditionalFormatting sqref="M3:M66">
    <cfRule type="cellIs" dxfId="278" priority="1" operator="equal">
      <formula>$M$2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Summary</vt:lpstr>
      <vt:lpstr>Dut 1</vt:lpstr>
      <vt:lpstr>Dut 2</vt:lpstr>
      <vt:lpstr>Dut 3</vt:lpstr>
      <vt:lpstr>Dut 4</vt:lpstr>
      <vt:lpstr>Dut 5</vt:lpstr>
      <vt:lpstr>Dut 6</vt:lpstr>
      <vt:lpstr>Dut 7</vt:lpstr>
      <vt:lpstr>Dut 8</vt:lpstr>
      <vt:lpstr>Dut 9</vt:lpstr>
      <vt:lpstr>Dut 10</vt:lpstr>
      <vt:lpstr>Dut 11</vt:lpstr>
      <vt:lpstr>Dut 12</vt:lpstr>
      <vt:lpstr>Dut 13</vt:lpstr>
      <vt:lpstr>Dut 14</vt:lpstr>
      <vt:lpstr>Dut 15</vt:lpstr>
      <vt:lpstr>Dut 16</vt:lpstr>
      <vt:lpstr>Dut 17</vt:lpstr>
      <vt:lpstr>Dut 18</vt:lpstr>
      <vt:lpstr>Dut 19</vt:lpstr>
      <vt:lpstr>Dut 20</vt:lpstr>
      <vt:lpstr>Dut 21</vt:lpstr>
      <vt:lpstr>Dut 22</vt:lpstr>
      <vt:lpstr>Dut 23</vt:lpstr>
      <vt:lpstr>Dut 24</vt:lpstr>
      <vt:lpstr>Dut 25</vt:lpstr>
      <vt:lpstr>Dut 26</vt:lpstr>
      <vt:lpstr>Dut 27</vt:lpstr>
      <vt:lpstr>Dut 28</vt:lpstr>
      <vt:lpstr>Dut 29</vt:lpstr>
      <vt:lpstr>Dut 30</vt:lpstr>
      <vt:lpstr>Dut 31</vt:lpstr>
      <vt:lpstr>Dut 32</vt:lpstr>
      <vt:lpstr>Dut 33</vt:lpstr>
      <vt:lpstr>Dut 34</vt:lpstr>
      <vt:lpstr>Dut 35</vt:lpstr>
      <vt:lpstr>Dut 36</vt:lpstr>
      <vt:lpstr>Dut 37</vt:lpstr>
      <vt:lpstr>Dut 38</vt:lpstr>
      <vt:lpstr>Dut 39</vt:lpstr>
      <vt:lpstr>Dut 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2014-01-27T20:37:46Z</dcterms:modified>
</cp:coreProperties>
</file>