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0" yWindow="120" windowWidth="29940" windowHeight="11100" activeTab="2"/>
  </bookViews>
  <sheets>
    <sheet name="Summary" sheetId="2" r:id="rId1"/>
    <sheet name="Graphs" sheetId="5" r:id="rId2"/>
    <sheet name="Calculations" sheetId="6" r:id="rId3"/>
    <sheet name="data0" sheetId="3" r:id="rId4"/>
    <sheet name="Calibration" sheetId="7" r:id="rId5"/>
    <sheet name="DUTenable" sheetId="9" r:id="rId6"/>
    <sheet name="uvGraph" sheetId="10" r:id="rId7"/>
  </sheets>
  <functionGroups/>
  <externalReferences>
    <externalReference r:id="rId8"/>
  </externalReferences>
  <definedNames>
    <definedName name="attn">data0!$D$164</definedName>
    <definedName name="balance">Calculations!$B$55</definedName>
    <definedName name="cmpSet">data0!$C$304</definedName>
    <definedName name="comp38">Summary!$L$8</definedName>
    <definedName name="DeltaComp">Summary!$L$5</definedName>
    <definedName name="Enable">DUTenable!$C$2:$C$9,DUTenable!$E$2:$E$9,DUTenable!$G$2:$G$9,DUTenable!$I$2:$I$9</definedName>
    <definedName name="glass">Summary!$L$18</definedName>
    <definedName name="inputN">Summary!$L$6</definedName>
    <definedName name="inv125Comp">Summary!$L$9</definedName>
    <definedName name="Lux">Summary!$G$6</definedName>
    <definedName name="maxComp">#REF!</definedName>
    <definedName name="minComp">Summary!$F$6</definedName>
    <definedName name="partNumber">Summary!$K$18</definedName>
    <definedName name="PorB">[1]Calculations!$Q$17</definedName>
    <definedName name="_xlnm.Print_Area" localSheetId="3">data0!$F$1:$AP$17</definedName>
    <definedName name="_xlnm.Print_Area" localSheetId="0">Summary!$A$6:$H$17</definedName>
    <definedName name="RangeN">Summary!$L$7</definedName>
    <definedName name="solver_adj" localSheetId="2" hidden="1">Calculations!$A$76</definedName>
    <definedName name="solver_cvg" localSheetId="2" hidden="1">0.0001</definedName>
    <definedName name="solver_drv" localSheetId="2" hidden="1">1</definedName>
    <definedName name="solver_est" localSheetId="2" hidden="1">1</definedName>
    <definedName name="solver_itr" localSheetId="2" hidden="1">100</definedName>
    <definedName name="solver_lin" localSheetId="2" hidden="1">1</definedName>
    <definedName name="solver_neg" localSheetId="2" hidden="1">2</definedName>
    <definedName name="solver_num" localSheetId="2" hidden="1">0</definedName>
    <definedName name="solver_nwt" localSheetId="2" hidden="1">1</definedName>
    <definedName name="solver_opt" localSheetId="2" hidden="1">Calculations!$A$75</definedName>
    <definedName name="solver_pre" localSheetId="2" hidden="1">0.000001</definedName>
    <definedName name="solver_scl" localSheetId="2" hidden="1">2</definedName>
    <definedName name="solver_sho" localSheetId="2" hidden="1">2</definedName>
    <definedName name="solver_tim" localSheetId="2" hidden="1">100</definedName>
    <definedName name="solver_tol" localSheetId="2" hidden="1">0.05</definedName>
    <definedName name="solver_typ" localSheetId="2" hidden="1">3</definedName>
    <definedName name="solver_val" localSheetId="2" hidden="1">0</definedName>
    <definedName name="useDir">Calculations!$AH$37</definedName>
    <definedName name="UseEnableMask">DUTenable!$G$11</definedName>
    <definedName name="xOffset">Summary!$L$11</definedName>
    <definedName name="yOffset">Summary!$L$12</definedName>
  </definedNames>
  <calcPr calcId="125725"/>
</workbook>
</file>

<file path=xl/calcChain.xml><?xml version="1.0" encoding="utf-8"?>
<calcChain xmlns="http://schemas.openxmlformats.org/spreadsheetml/2006/main">
  <c r="L173" i="3"/>
  <c r="B37" i="6"/>
  <c r="D68" l="1"/>
  <c r="D74" s="1"/>
  <c r="B39"/>
  <c r="AP55"/>
  <c r="AO55"/>
  <c r="AN427" i="3"/>
  <c r="AM427"/>
  <c r="AL427"/>
  <c r="AK427"/>
  <c r="AJ427"/>
  <c r="AI427"/>
  <c r="AH427"/>
  <c r="AG427"/>
  <c r="AF427"/>
  <c r="AE427"/>
  <c r="AD427"/>
  <c r="AC427"/>
  <c r="AB427"/>
  <c r="AA427"/>
  <c r="Z427"/>
  <c r="Y427"/>
  <c r="X427"/>
  <c r="W427"/>
  <c r="V427"/>
  <c r="U427"/>
  <c r="T427"/>
  <c r="S427"/>
  <c r="R427"/>
  <c r="Q427"/>
  <c r="P427"/>
  <c r="O427"/>
  <c r="N427"/>
  <c r="M427"/>
  <c r="L427"/>
  <c r="K427"/>
  <c r="J427"/>
  <c r="I427"/>
  <c r="H427"/>
  <c r="G427"/>
  <c r="E427"/>
  <c r="F427"/>
  <c r="C419"/>
  <c r="C423" s="1"/>
  <c r="I452" s="1"/>
  <c r="M452" s="1"/>
  <c r="C418"/>
  <c r="C422" s="1"/>
  <c r="C417"/>
  <c r="C421" s="1"/>
  <c r="C416"/>
  <c r="C420" s="1"/>
  <c r="C397"/>
  <c r="C401" s="1"/>
  <c r="C396"/>
  <c r="C400" s="1"/>
  <c r="C395"/>
  <c r="C399" s="1"/>
  <c r="C394"/>
  <c r="C398" s="1"/>
  <c r="C375"/>
  <c r="C379" s="1"/>
  <c r="C374"/>
  <c r="C378" s="1"/>
  <c r="C373"/>
  <c r="C377" s="1"/>
  <c r="C372"/>
  <c r="C376" s="1"/>
  <c r="C357"/>
  <c r="C356"/>
  <c r="C355"/>
  <c r="C354"/>
  <c r="C353"/>
  <c r="C352"/>
  <c r="C351"/>
  <c r="C350"/>
  <c r="AB174"/>
  <c r="AA174"/>
  <c r="Z174"/>
  <c r="Y174"/>
  <c r="X174"/>
  <c r="W174"/>
  <c r="O302"/>
  <c r="O301"/>
  <c r="O300"/>
  <c r="O299"/>
  <c r="O298"/>
  <c r="O297"/>
  <c r="O296"/>
  <c r="O295"/>
  <c r="O294"/>
  <c r="O293"/>
  <c r="O292"/>
  <c r="O291"/>
  <c r="O290"/>
  <c r="O289"/>
  <c r="O288"/>
  <c r="O287"/>
  <c r="O286"/>
  <c r="O285"/>
  <c r="O284"/>
  <c r="O283"/>
  <c r="O282"/>
  <c r="O281"/>
  <c r="O280"/>
  <c r="O279"/>
  <c r="O278"/>
  <c r="O277"/>
  <c r="O276"/>
  <c r="O275"/>
  <c r="O274"/>
  <c r="O273"/>
  <c r="O272"/>
  <c r="O271"/>
  <c r="O270"/>
  <c r="O269"/>
  <c r="O268"/>
  <c r="O267"/>
  <c r="O266"/>
  <c r="O265"/>
  <c r="O264"/>
  <c r="O263"/>
  <c r="O262"/>
  <c r="O261"/>
  <c r="O260"/>
  <c r="O259"/>
  <c r="O258"/>
  <c r="O257"/>
  <c r="O256"/>
  <c r="O255"/>
  <c r="O254"/>
  <c r="O253"/>
  <c r="O252"/>
  <c r="O251"/>
  <c r="O250"/>
  <c r="O249"/>
  <c r="O248"/>
  <c r="O247"/>
  <c r="O246"/>
  <c r="O245"/>
  <c r="O244"/>
  <c r="O243"/>
  <c r="O242"/>
  <c r="O241"/>
  <c r="O240"/>
  <c r="O239"/>
  <c r="O238"/>
  <c r="O237"/>
  <c r="O236"/>
  <c r="O235"/>
  <c r="O234"/>
  <c r="O233"/>
  <c r="O232"/>
  <c r="O231"/>
  <c r="O230"/>
  <c r="O229"/>
  <c r="O228"/>
  <c r="O227"/>
  <c r="O226"/>
  <c r="O225"/>
  <c r="O224"/>
  <c r="O223"/>
  <c r="O222"/>
  <c r="O221"/>
  <c r="O220"/>
  <c r="O219"/>
  <c r="O218"/>
  <c r="O217"/>
  <c r="O216"/>
  <c r="O215"/>
  <c r="O214"/>
  <c r="O213"/>
  <c r="O212"/>
  <c r="O211"/>
  <c r="O210"/>
  <c r="O209"/>
  <c r="O208"/>
  <c r="O207"/>
  <c r="O206"/>
  <c r="O205"/>
  <c r="O204"/>
  <c r="O203"/>
  <c r="O202"/>
  <c r="O201"/>
  <c r="O200"/>
  <c r="O199"/>
  <c r="O198"/>
  <c r="O197"/>
  <c r="O196"/>
  <c r="O195"/>
  <c r="O194"/>
  <c r="O193"/>
  <c r="O192"/>
  <c r="O191"/>
  <c r="O190"/>
  <c r="O189"/>
  <c r="O188"/>
  <c r="O187"/>
  <c r="O186"/>
  <c r="O185"/>
  <c r="O184"/>
  <c r="O183"/>
  <c r="O182"/>
  <c r="O181"/>
  <c r="O180"/>
  <c r="O179"/>
  <c r="O178"/>
  <c r="O177"/>
  <c r="O176"/>
  <c r="O175"/>
  <c r="U162"/>
  <c r="T162"/>
  <c r="S162"/>
  <c r="R162"/>
  <c r="Q162"/>
  <c r="P162"/>
  <c r="U174"/>
  <c r="T174"/>
  <c r="S174"/>
  <c r="R174"/>
  <c r="Q174"/>
  <c r="P174"/>
  <c r="A77" i="6"/>
  <c r="A59"/>
  <c r="A65"/>
  <c r="A71"/>
  <c r="C330" i="3"/>
  <c r="C329"/>
  <c r="C328"/>
  <c r="B420"/>
  <c r="B416"/>
  <c r="A416"/>
  <c r="C334"/>
  <c r="C333"/>
  <c r="C332"/>
  <c r="C309"/>
  <c r="AJ37" i="6"/>
  <c r="K39" l="1"/>
  <c r="T39" s="1"/>
  <c r="AC39" s="1"/>
  <c r="D8" i="3"/>
  <c r="Q23" i="10" l="1"/>
  <c r="P23"/>
  <c r="Q22"/>
  <c r="P22"/>
  <c r="Q21"/>
  <c r="P21"/>
  <c r="Q20"/>
  <c r="P20"/>
  <c r="Q19"/>
  <c r="P19"/>
  <c r="Q18"/>
  <c r="P18"/>
  <c r="Q17"/>
  <c r="P17"/>
  <c r="O17"/>
  <c r="N17"/>
  <c r="Q10"/>
  <c r="P10"/>
  <c r="O10"/>
  <c r="N10"/>
  <c r="Q3"/>
  <c r="P3"/>
  <c r="O3"/>
  <c r="N3"/>
  <c r="C195"/>
  <c r="C194"/>
  <c r="C193"/>
  <c r="C192"/>
  <c r="C191"/>
  <c r="C190"/>
  <c r="C189"/>
  <c r="C188"/>
  <c r="C187"/>
  <c r="C186"/>
  <c r="C185"/>
  <c r="C184"/>
  <c r="C183"/>
  <c r="C182"/>
  <c r="C181"/>
  <c r="C180"/>
  <c r="C179"/>
  <c r="C178"/>
  <c r="C177"/>
  <c r="C176"/>
  <c r="C175"/>
  <c r="C174"/>
  <c r="C173"/>
  <c r="C172"/>
  <c r="C171"/>
  <c r="C170"/>
  <c r="C169"/>
  <c r="C168"/>
  <c r="C167"/>
  <c r="C166"/>
  <c r="C165"/>
  <c r="C164"/>
  <c r="C163"/>
  <c r="C162"/>
  <c r="C161"/>
  <c r="C160"/>
  <c r="C159"/>
  <c r="C158"/>
  <c r="C157"/>
  <c r="C156"/>
  <c r="C155"/>
  <c r="C154"/>
  <c r="C153"/>
  <c r="C152"/>
  <c r="C151"/>
  <c r="C150"/>
  <c r="C149"/>
  <c r="C148"/>
  <c r="C147"/>
  <c r="C146"/>
  <c r="C145"/>
  <c r="C144"/>
  <c r="C143"/>
  <c r="C142"/>
  <c r="C141"/>
  <c r="C140"/>
  <c r="C139"/>
  <c r="C138"/>
  <c r="C137"/>
  <c r="C136"/>
  <c r="C135"/>
  <c r="C134"/>
  <c r="C133"/>
  <c r="C132"/>
  <c r="C131"/>
  <c r="C130"/>
  <c r="C129"/>
  <c r="C128"/>
  <c r="C127"/>
  <c r="C126"/>
  <c r="C125"/>
  <c r="C124"/>
  <c r="C123"/>
  <c r="C122"/>
  <c r="C121"/>
  <c r="C120"/>
  <c r="C119"/>
  <c r="C118"/>
  <c r="C117"/>
  <c r="C116"/>
  <c r="C115"/>
  <c r="C114"/>
  <c r="C113"/>
  <c r="C112"/>
  <c r="C111"/>
  <c r="C110"/>
  <c r="C109"/>
  <c r="C108"/>
  <c r="C107"/>
  <c r="C106"/>
  <c r="C105"/>
  <c r="C104"/>
  <c r="C103"/>
  <c r="C102"/>
  <c r="C101"/>
  <c r="C100"/>
  <c r="C99"/>
  <c r="C98"/>
  <c r="C97"/>
  <c r="C96"/>
  <c r="C95"/>
  <c r="C94"/>
  <c r="C93"/>
  <c r="C92"/>
  <c r="C91"/>
  <c r="C90"/>
  <c r="C89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 l="1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 l="1"/>
  <c r="C6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5"/>
  <c r="J451" i="3" l="1"/>
  <c r="F451"/>
  <c r="L452"/>
  <c r="K452"/>
  <c r="J452"/>
  <c r="E176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E202" s="1"/>
  <c r="E203" s="1"/>
  <c r="E204" s="1"/>
  <c r="E205" s="1"/>
  <c r="E206" s="1"/>
  <c r="E207" s="1"/>
  <c r="E208" s="1"/>
  <c r="E209" s="1"/>
  <c r="E210" s="1"/>
  <c r="E211" s="1"/>
  <c r="E212" s="1"/>
  <c r="E213" s="1"/>
  <c r="E214" s="1"/>
  <c r="E215" s="1"/>
  <c r="E216" s="1"/>
  <c r="E217" s="1"/>
  <c r="E218" s="1"/>
  <c r="E219" s="1"/>
  <c r="E220" s="1"/>
  <c r="E221" s="1"/>
  <c r="E222" s="1"/>
  <c r="E223" s="1"/>
  <c r="E224" s="1"/>
  <c r="E225" s="1"/>
  <c r="E226" s="1"/>
  <c r="E227" s="1"/>
  <c r="E228" s="1"/>
  <c r="E229" s="1"/>
  <c r="E230" s="1"/>
  <c r="E231" s="1"/>
  <c r="E232" s="1"/>
  <c r="E233" s="1"/>
  <c r="E234" s="1"/>
  <c r="E235" s="1"/>
  <c r="E236" s="1"/>
  <c r="E237" s="1"/>
  <c r="E238" s="1"/>
  <c r="E239" s="1"/>
  <c r="E154"/>
  <c r="E305" s="1"/>
  <c r="E153"/>
  <c r="E304" s="1"/>
  <c r="AN77"/>
  <c r="AN153" s="1"/>
  <c r="AN304" s="1"/>
  <c r="AM77"/>
  <c r="AM153" s="1"/>
  <c r="AM304" s="1"/>
  <c r="AL77"/>
  <c r="AL153" s="1"/>
  <c r="AL304" s="1"/>
  <c r="F77"/>
  <c r="F153" s="1"/>
  <c r="F304" s="1"/>
  <c r="E240" l="1"/>
  <c r="D2" i="9"/>
  <c r="F2" s="1"/>
  <c r="H2" s="1"/>
  <c r="B3"/>
  <c r="D3"/>
  <c r="F3" s="1"/>
  <c r="H3" s="1"/>
  <c r="B4"/>
  <c r="D4"/>
  <c r="F4" s="1"/>
  <c r="H4" s="1"/>
  <c r="B5"/>
  <c r="D5"/>
  <c r="F5" s="1"/>
  <c r="H5" s="1"/>
  <c r="B6"/>
  <c r="D6"/>
  <c r="F6" s="1"/>
  <c r="H6" s="1"/>
  <c r="B7"/>
  <c r="D7"/>
  <c r="F7" s="1"/>
  <c r="H7" s="1"/>
  <c r="B8"/>
  <c r="D8"/>
  <c r="F8" s="1"/>
  <c r="H8" s="1"/>
  <c r="B9"/>
  <c r="D9"/>
  <c r="F9" s="1"/>
  <c r="H9" s="1"/>
  <c r="C14"/>
  <c r="C16" s="1"/>
  <c r="G78" i="3" s="1"/>
  <c r="J14" i="9"/>
  <c r="K14"/>
  <c r="K16" s="1"/>
  <c r="O78" i="3" s="1"/>
  <c r="R14" i="9"/>
  <c r="S14"/>
  <c r="S16" s="1"/>
  <c r="W78" i="3" s="1"/>
  <c r="Z14" i="9"/>
  <c r="AA14"/>
  <c r="AA16" s="1"/>
  <c r="AE78" i="3" s="1"/>
  <c r="C15" i="9"/>
  <c r="D15"/>
  <c r="E15" s="1"/>
  <c r="J15"/>
  <c r="K15"/>
  <c r="L15"/>
  <c r="R15"/>
  <c r="S15"/>
  <c r="T15"/>
  <c r="Z15"/>
  <c r="AA15"/>
  <c r="AB15"/>
  <c r="B16"/>
  <c r="F78" i="3" s="1"/>
  <c r="J16" i="9"/>
  <c r="N78" i="3" s="1"/>
  <c r="R16" i="9"/>
  <c r="V78" i="3" s="1"/>
  <c r="Z16" i="9"/>
  <c r="AD78" i="3" s="1"/>
  <c r="G146" l="1"/>
  <c r="G134"/>
  <c r="G141"/>
  <c r="G129"/>
  <c r="G122"/>
  <c r="G110"/>
  <c r="G98"/>
  <c r="G117"/>
  <c r="G93"/>
  <c r="G79"/>
  <c r="G105"/>
  <c r="G86"/>
  <c r="G81"/>
  <c r="G80"/>
  <c r="V141"/>
  <c r="V129"/>
  <c r="V146"/>
  <c r="V134"/>
  <c r="V117"/>
  <c r="V105"/>
  <c r="V93"/>
  <c r="V98"/>
  <c r="V86"/>
  <c r="V81"/>
  <c r="V122"/>
  <c r="V110"/>
  <c r="V80"/>
  <c r="V79"/>
  <c r="W146"/>
  <c r="W134"/>
  <c r="W141"/>
  <c r="W129"/>
  <c r="W144"/>
  <c r="W132"/>
  <c r="W139"/>
  <c r="W120"/>
  <c r="W108"/>
  <c r="W96"/>
  <c r="W127"/>
  <c r="W122"/>
  <c r="W110"/>
  <c r="W98"/>
  <c r="W117"/>
  <c r="W93"/>
  <c r="W91"/>
  <c r="W79"/>
  <c r="W115"/>
  <c r="W105"/>
  <c r="W86"/>
  <c r="W103"/>
  <c r="W81"/>
  <c r="W84"/>
  <c r="W80"/>
  <c r="AD141"/>
  <c r="AD129"/>
  <c r="AD146"/>
  <c r="AD134"/>
  <c r="AD117"/>
  <c r="AD105"/>
  <c r="AD93"/>
  <c r="AD122"/>
  <c r="AD110"/>
  <c r="AD98"/>
  <c r="AD86"/>
  <c r="AD81"/>
  <c r="AD79"/>
  <c r="AD80"/>
  <c r="O146"/>
  <c r="O134"/>
  <c r="O141"/>
  <c r="O129"/>
  <c r="O122"/>
  <c r="O110"/>
  <c r="O98"/>
  <c r="O117"/>
  <c r="O80"/>
  <c r="O79"/>
  <c r="O105"/>
  <c r="O93"/>
  <c r="O86"/>
  <c r="O81"/>
  <c r="AE146"/>
  <c r="AE134"/>
  <c r="AE141"/>
  <c r="AE129"/>
  <c r="AE122"/>
  <c r="AE110"/>
  <c r="AE98"/>
  <c r="AE117"/>
  <c r="AE93"/>
  <c r="AE79"/>
  <c r="AE105"/>
  <c r="AE86"/>
  <c r="AE81"/>
  <c r="AE80"/>
  <c r="N141"/>
  <c r="N129"/>
  <c r="N146"/>
  <c r="N134"/>
  <c r="N117"/>
  <c r="N105"/>
  <c r="N93"/>
  <c r="N122"/>
  <c r="N110"/>
  <c r="N98"/>
  <c r="N86"/>
  <c r="N81"/>
  <c r="N79"/>
  <c r="N80"/>
  <c r="F80"/>
  <c r="F146"/>
  <c r="F141"/>
  <c r="F134"/>
  <c r="F129"/>
  <c r="F122"/>
  <c r="F117"/>
  <c r="F110"/>
  <c r="F105"/>
  <c r="F79"/>
  <c r="F81"/>
  <c r="F98"/>
  <c r="F93"/>
  <c r="F86"/>
  <c r="E241"/>
  <c r="AD154"/>
  <c r="AD305" s="1"/>
  <c r="F154"/>
  <c r="AE154"/>
  <c r="AE305" s="1"/>
  <c r="O154"/>
  <c r="O305" s="1"/>
  <c r="N154"/>
  <c r="N305" s="1"/>
  <c r="V154"/>
  <c r="V305" s="1"/>
  <c r="W154"/>
  <c r="W305" s="1"/>
  <c r="G154"/>
  <c r="G305" s="1"/>
  <c r="F15" i="9"/>
  <c r="M15"/>
  <c r="U15" s="1"/>
  <c r="AC15" s="1"/>
  <c r="D14"/>
  <c r="F305" i="3" l="1"/>
  <c r="F416" s="1"/>
  <c r="W82"/>
  <c r="W309" s="1"/>
  <c r="G418"/>
  <c r="G420"/>
  <c r="G422"/>
  <c r="G416"/>
  <c r="N418"/>
  <c r="N422"/>
  <c r="N420"/>
  <c r="N416"/>
  <c r="AD418"/>
  <c r="AD422"/>
  <c r="AD420"/>
  <c r="AD416"/>
  <c r="AE418"/>
  <c r="AE422"/>
  <c r="AE420"/>
  <c r="AE416"/>
  <c r="O418"/>
  <c r="O416"/>
  <c r="O422"/>
  <c r="O420"/>
  <c r="V418"/>
  <c r="V422"/>
  <c r="V420"/>
  <c r="V416"/>
  <c r="F422"/>
  <c r="F420"/>
  <c r="W418"/>
  <c r="W422"/>
  <c r="W420"/>
  <c r="W416"/>
  <c r="W400"/>
  <c r="W398"/>
  <c r="W394"/>
  <c r="W378"/>
  <c r="W376"/>
  <c r="W372"/>
  <c r="W356"/>
  <c r="W396"/>
  <c r="W374"/>
  <c r="W352"/>
  <c r="W354"/>
  <c r="W350"/>
  <c r="G400"/>
  <c r="G398"/>
  <c r="G394"/>
  <c r="G378"/>
  <c r="G376"/>
  <c r="G350"/>
  <c r="G396"/>
  <c r="G374"/>
  <c r="G352"/>
  <c r="G372"/>
  <c r="G356"/>
  <c r="G354"/>
  <c r="N396"/>
  <c r="N374"/>
  <c r="N400"/>
  <c r="N398"/>
  <c r="N394"/>
  <c r="N378"/>
  <c r="N376"/>
  <c r="N372"/>
  <c r="N356"/>
  <c r="N354"/>
  <c r="N350"/>
  <c r="N352"/>
  <c r="AD396"/>
  <c r="AD374"/>
  <c r="AD352"/>
  <c r="AD400"/>
  <c r="AD398"/>
  <c r="AD394"/>
  <c r="AD378"/>
  <c r="AD376"/>
  <c r="AD372"/>
  <c r="AD356"/>
  <c r="AD354"/>
  <c r="AD350"/>
  <c r="AE400"/>
  <c r="AE398"/>
  <c r="AE394"/>
  <c r="AE378"/>
  <c r="AE376"/>
  <c r="AE396"/>
  <c r="AE374"/>
  <c r="AE352"/>
  <c r="AE372"/>
  <c r="AE356"/>
  <c r="AE354"/>
  <c r="AE350"/>
  <c r="O400"/>
  <c r="O398"/>
  <c r="O394"/>
  <c r="O378"/>
  <c r="O376"/>
  <c r="O396"/>
  <c r="O374"/>
  <c r="O352"/>
  <c r="O372"/>
  <c r="O356"/>
  <c r="O354"/>
  <c r="O350"/>
  <c r="V396"/>
  <c r="V374"/>
  <c r="V400"/>
  <c r="V398"/>
  <c r="V394"/>
  <c r="V378"/>
  <c r="V376"/>
  <c r="V372"/>
  <c r="V356"/>
  <c r="V354"/>
  <c r="V350"/>
  <c r="V352"/>
  <c r="F400"/>
  <c r="F398"/>
  <c r="F376"/>
  <c r="F372"/>
  <c r="F350"/>
  <c r="F352"/>
  <c r="W330"/>
  <c r="W334"/>
  <c r="W332"/>
  <c r="W328"/>
  <c r="O330"/>
  <c r="O334"/>
  <c r="O332"/>
  <c r="O328"/>
  <c r="N330"/>
  <c r="N334"/>
  <c r="N332"/>
  <c r="N328"/>
  <c r="AD334"/>
  <c r="AD332"/>
  <c r="AD328"/>
  <c r="AD330"/>
  <c r="AE330"/>
  <c r="AE334"/>
  <c r="AE332"/>
  <c r="AE328"/>
  <c r="G330"/>
  <c r="G334"/>
  <c r="G332"/>
  <c r="G328"/>
  <c r="V330"/>
  <c r="V334"/>
  <c r="V332"/>
  <c r="V328"/>
  <c r="F328"/>
  <c r="F330"/>
  <c r="AE82"/>
  <c r="AD82"/>
  <c r="V82"/>
  <c r="V309" s="1"/>
  <c r="O82"/>
  <c r="N82"/>
  <c r="Z54" i="6"/>
  <c r="W310" i="3"/>
  <c r="W308"/>
  <c r="W312"/>
  <c r="W306"/>
  <c r="AH54" i="6"/>
  <c r="AE310" i="3"/>
  <c r="AE312"/>
  <c r="AE308"/>
  <c r="AE306"/>
  <c r="G310"/>
  <c r="G308"/>
  <c r="G312"/>
  <c r="G306"/>
  <c r="R54" i="6"/>
  <c r="O310" i="3"/>
  <c r="O312"/>
  <c r="O308"/>
  <c r="O306"/>
  <c r="Y54" i="6"/>
  <c r="V308" i="3"/>
  <c r="V312"/>
  <c r="V306"/>
  <c r="V310"/>
  <c r="Q54" i="6"/>
  <c r="N308" i="3"/>
  <c r="N310"/>
  <c r="N306"/>
  <c r="N312"/>
  <c r="AG54" i="6"/>
  <c r="AD308" i="3"/>
  <c r="AD310"/>
  <c r="AD306"/>
  <c r="AD312"/>
  <c r="G82"/>
  <c r="G309" s="1"/>
  <c r="I54" i="6"/>
  <c r="J54"/>
  <c r="F82" i="3"/>
  <c r="F310"/>
  <c r="F312"/>
  <c r="F308"/>
  <c r="F306"/>
  <c r="E242"/>
  <c r="E14" i="9"/>
  <c r="L14"/>
  <c r="D16"/>
  <c r="H78" i="3" s="1"/>
  <c r="G15" i="9"/>
  <c r="N15"/>
  <c r="V15" s="1"/>
  <c r="AD15" s="1"/>
  <c r="I147" i="6" l="1"/>
  <c r="I61"/>
  <c r="F334" i="3"/>
  <c r="F356"/>
  <c r="F394"/>
  <c r="F396"/>
  <c r="F332"/>
  <c r="F354"/>
  <c r="F378"/>
  <c r="F374"/>
  <c r="F418"/>
  <c r="W83"/>
  <c r="N83"/>
  <c r="N309"/>
  <c r="AE83"/>
  <c r="AE309"/>
  <c r="AD83"/>
  <c r="AD309"/>
  <c r="F83"/>
  <c r="F309"/>
  <c r="O83"/>
  <c r="O309"/>
  <c r="V83"/>
  <c r="H146"/>
  <c r="H134"/>
  <c r="H141"/>
  <c r="H129"/>
  <c r="H117"/>
  <c r="H105"/>
  <c r="H122"/>
  <c r="H110"/>
  <c r="H93"/>
  <c r="H80"/>
  <c r="H79"/>
  <c r="H98"/>
  <c r="H86"/>
  <c r="H81"/>
  <c r="G83"/>
  <c r="E243"/>
  <c r="H154"/>
  <c r="H305" s="1"/>
  <c r="T14" i="9"/>
  <c r="L16"/>
  <c r="P78" i="3" s="1"/>
  <c r="O15" i="9"/>
  <c r="W15" s="1"/>
  <c r="AE15" s="1"/>
  <c r="H15"/>
  <c r="F14"/>
  <c r="M14"/>
  <c r="E16"/>
  <c r="I78" i="3" s="1"/>
  <c r="H422" l="1"/>
  <c r="H420"/>
  <c r="H416"/>
  <c r="H418"/>
  <c r="H400"/>
  <c r="H398"/>
  <c r="H394"/>
  <c r="H378"/>
  <c r="H376"/>
  <c r="H372"/>
  <c r="H356"/>
  <c r="H354"/>
  <c r="H350"/>
  <c r="H396"/>
  <c r="H374"/>
  <c r="H352"/>
  <c r="H334"/>
  <c r="H332"/>
  <c r="H330"/>
  <c r="H328"/>
  <c r="I146"/>
  <c r="I134"/>
  <c r="I141"/>
  <c r="I129"/>
  <c r="I122"/>
  <c r="I110"/>
  <c r="I98"/>
  <c r="I81"/>
  <c r="I117"/>
  <c r="I93"/>
  <c r="I80"/>
  <c r="I105"/>
  <c r="I79"/>
  <c r="I86"/>
  <c r="K54" i="6"/>
  <c r="H310" i="3"/>
  <c r="H306"/>
  <c r="H308"/>
  <c r="H312"/>
  <c r="H82"/>
  <c r="H309" s="1"/>
  <c r="P146"/>
  <c r="P134"/>
  <c r="P141"/>
  <c r="P129"/>
  <c r="P117"/>
  <c r="P105"/>
  <c r="P122"/>
  <c r="P110"/>
  <c r="P80"/>
  <c r="P79"/>
  <c r="P98"/>
  <c r="P93"/>
  <c r="P86"/>
  <c r="P81"/>
  <c r="E244"/>
  <c r="P154"/>
  <c r="P305" s="1"/>
  <c r="I154"/>
  <c r="I305" s="1"/>
  <c r="I15" i="9"/>
  <c r="Q15" s="1"/>
  <c r="Y15" s="1"/>
  <c r="AG15" s="1"/>
  <c r="P15"/>
  <c r="X15" s="1"/>
  <c r="AF15" s="1"/>
  <c r="N14"/>
  <c r="F16"/>
  <c r="J78" i="3" s="1"/>
  <c r="G14" i="9"/>
  <c r="AB14"/>
  <c r="AB16" s="1"/>
  <c r="AF78" i="3" s="1"/>
  <c r="T16" i="9"/>
  <c r="X78" i="3" s="1"/>
  <c r="U14" i="9"/>
  <c r="M16"/>
  <c r="Q78" i="3" s="1"/>
  <c r="P422" l="1"/>
  <c r="P420"/>
  <c r="P416"/>
  <c r="P418"/>
  <c r="I422"/>
  <c r="I420"/>
  <c r="I416"/>
  <c r="I418"/>
  <c r="I396"/>
  <c r="I374"/>
  <c r="I400"/>
  <c r="I398"/>
  <c r="I394"/>
  <c r="I378"/>
  <c r="I376"/>
  <c r="I372"/>
  <c r="I356"/>
  <c r="I354"/>
  <c r="I350"/>
  <c r="I352"/>
  <c r="P400"/>
  <c r="P398"/>
  <c r="P394"/>
  <c r="P378"/>
  <c r="P376"/>
  <c r="P372"/>
  <c r="P356"/>
  <c r="P354"/>
  <c r="P350"/>
  <c r="P396"/>
  <c r="P374"/>
  <c r="P352"/>
  <c r="P328"/>
  <c r="P334"/>
  <c r="P330"/>
  <c r="P332"/>
  <c r="I334"/>
  <c r="I332"/>
  <c r="I328"/>
  <c r="I330"/>
  <c r="P82"/>
  <c r="P309" s="1"/>
  <c r="L54" i="6"/>
  <c r="I312" i="3"/>
  <c r="I310"/>
  <c r="I306"/>
  <c r="I308"/>
  <c r="AF146"/>
  <c r="AF134"/>
  <c r="AF141"/>
  <c r="AF129"/>
  <c r="AF117"/>
  <c r="AF105"/>
  <c r="AF93"/>
  <c r="AF122"/>
  <c r="AF110"/>
  <c r="AF80"/>
  <c r="AF79"/>
  <c r="AF98"/>
  <c r="AF86"/>
  <c r="AF81"/>
  <c r="X146"/>
  <c r="X134"/>
  <c r="X141"/>
  <c r="X129"/>
  <c r="X117"/>
  <c r="X105"/>
  <c r="X93"/>
  <c r="X122"/>
  <c r="X110"/>
  <c r="X80"/>
  <c r="X79"/>
  <c r="X98"/>
  <c r="X86"/>
  <c r="X81"/>
  <c r="J141"/>
  <c r="J129"/>
  <c r="J146"/>
  <c r="J134"/>
  <c r="J117"/>
  <c r="J105"/>
  <c r="J93"/>
  <c r="J110"/>
  <c r="J86"/>
  <c r="J79"/>
  <c r="J81"/>
  <c r="J122"/>
  <c r="J98"/>
  <c r="J80"/>
  <c r="H83"/>
  <c r="S54" i="6"/>
  <c r="P306" i="3"/>
  <c r="P312"/>
  <c r="P310"/>
  <c r="P308"/>
  <c r="Q144"/>
  <c r="Q140"/>
  <c r="Q132"/>
  <c r="Q128"/>
  <c r="Q139"/>
  <c r="Q146"/>
  <c r="Q134"/>
  <c r="Q145"/>
  <c r="Q141"/>
  <c r="Q133"/>
  <c r="Q129"/>
  <c r="Q122"/>
  <c r="Q110"/>
  <c r="Q98"/>
  <c r="Q120"/>
  <c r="Q116"/>
  <c r="Q108"/>
  <c r="Q104"/>
  <c r="Q96"/>
  <c r="Q127"/>
  <c r="Q115"/>
  <c r="Q117"/>
  <c r="Q103"/>
  <c r="Q93"/>
  <c r="Q121"/>
  <c r="Q85"/>
  <c r="Q81"/>
  <c r="Q84"/>
  <c r="Q109"/>
  <c r="Q92"/>
  <c r="Q80"/>
  <c r="Q105"/>
  <c r="Q97"/>
  <c r="Q91"/>
  <c r="Q79"/>
  <c r="Q86"/>
  <c r="I82"/>
  <c r="I309" s="1"/>
  <c r="E245"/>
  <c r="X154"/>
  <c r="X305" s="1"/>
  <c r="J154"/>
  <c r="J305" s="1"/>
  <c r="Q154"/>
  <c r="Q305" s="1"/>
  <c r="AF154"/>
  <c r="AF305" s="1"/>
  <c r="AC14" i="9"/>
  <c r="AC16" s="1"/>
  <c r="AG78" i="3" s="1"/>
  <c r="U16" i="9"/>
  <c r="Y78" i="3" s="1"/>
  <c r="G16" i="9"/>
  <c r="K78" i="3" s="1"/>
  <c r="H14" i="9"/>
  <c r="O14"/>
  <c r="V14"/>
  <c r="N16"/>
  <c r="R78" i="3" s="1"/>
  <c r="Q147" l="1"/>
  <c r="Q148" s="1"/>
  <c r="Q142"/>
  <c r="Q419" s="1"/>
  <c r="Q135"/>
  <c r="Q136" s="1"/>
  <c r="Q130"/>
  <c r="Q123"/>
  <c r="Q124" s="1"/>
  <c r="Q118"/>
  <c r="Q111"/>
  <c r="Q106"/>
  <c r="Q107" s="1"/>
  <c r="Q99"/>
  <c r="Q100" s="1"/>
  <c r="Q94"/>
  <c r="Q87"/>
  <c r="Q88" s="1"/>
  <c r="Q82"/>
  <c r="Q309" s="1"/>
  <c r="AF422"/>
  <c r="AF420"/>
  <c r="AF416"/>
  <c r="AF418"/>
  <c r="X422"/>
  <c r="X420"/>
  <c r="X416"/>
  <c r="X418"/>
  <c r="J418"/>
  <c r="J422"/>
  <c r="J420"/>
  <c r="J416"/>
  <c r="Q422"/>
  <c r="Q420"/>
  <c r="Q416"/>
  <c r="Q418"/>
  <c r="J396"/>
  <c r="J374"/>
  <c r="J352"/>
  <c r="J400"/>
  <c r="J398"/>
  <c r="J394"/>
  <c r="J378"/>
  <c r="J376"/>
  <c r="J372"/>
  <c r="J356"/>
  <c r="J354"/>
  <c r="J350"/>
  <c r="AF400"/>
  <c r="AF398"/>
  <c r="AF394"/>
  <c r="AF378"/>
  <c r="AF376"/>
  <c r="AF372"/>
  <c r="AF356"/>
  <c r="AF354"/>
  <c r="AF396"/>
  <c r="AF374"/>
  <c r="AF352"/>
  <c r="AF350"/>
  <c r="X400"/>
  <c r="X398"/>
  <c r="X394"/>
  <c r="X378"/>
  <c r="X376"/>
  <c r="X372"/>
  <c r="X356"/>
  <c r="X354"/>
  <c r="X350"/>
  <c r="X396"/>
  <c r="X374"/>
  <c r="X352"/>
  <c r="Q396"/>
  <c r="Q400"/>
  <c r="Q398"/>
  <c r="Q394"/>
  <c r="Q378"/>
  <c r="Q376"/>
  <c r="Q372"/>
  <c r="Q356"/>
  <c r="Q354"/>
  <c r="Q350"/>
  <c r="Q374"/>
  <c r="Q352"/>
  <c r="AF328"/>
  <c r="AF334"/>
  <c r="AF330"/>
  <c r="AF332"/>
  <c r="J330"/>
  <c r="J334"/>
  <c r="J332"/>
  <c r="J328"/>
  <c r="Q330"/>
  <c r="Q334"/>
  <c r="Q332"/>
  <c r="Q328"/>
  <c r="X332"/>
  <c r="X334"/>
  <c r="X330"/>
  <c r="X328"/>
  <c r="AF82"/>
  <c r="X82"/>
  <c r="P83"/>
  <c r="AI54" i="6"/>
  <c r="AF306" i="3"/>
  <c r="AF312"/>
  <c r="AF310"/>
  <c r="AF308"/>
  <c r="I83"/>
  <c r="Y146"/>
  <c r="Y134"/>
  <c r="Y141"/>
  <c r="Y129"/>
  <c r="Y122"/>
  <c r="Y110"/>
  <c r="Y98"/>
  <c r="Y93"/>
  <c r="Y81"/>
  <c r="Y117"/>
  <c r="Y80"/>
  <c r="Y105"/>
  <c r="Y79"/>
  <c r="Y86"/>
  <c r="AG146"/>
  <c r="AG134"/>
  <c r="AG141"/>
  <c r="AG129"/>
  <c r="AG122"/>
  <c r="AG110"/>
  <c r="AG98"/>
  <c r="AG117"/>
  <c r="AG93"/>
  <c r="AG81"/>
  <c r="AG80"/>
  <c r="AG105"/>
  <c r="AG79"/>
  <c r="AG86"/>
  <c r="AA54" i="6"/>
  <c r="X310" i="3"/>
  <c r="X306"/>
  <c r="X308"/>
  <c r="X312"/>
  <c r="J82"/>
  <c r="J309" s="1"/>
  <c r="M54" i="6"/>
  <c r="J312" i="3"/>
  <c r="J308"/>
  <c r="J310"/>
  <c r="J306"/>
  <c r="R141"/>
  <c r="R129"/>
  <c r="R146"/>
  <c r="R134"/>
  <c r="R117"/>
  <c r="R105"/>
  <c r="R93"/>
  <c r="R79"/>
  <c r="R122"/>
  <c r="R86"/>
  <c r="R110"/>
  <c r="R81"/>
  <c r="R98"/>
  <c r="R80"/>
  <c r="K146"/>
  <c r="K134"/>
  <c r="K145"/>
  <c r="K141"/>
  <c r="K133"/>
  <c r="K129"/>
  <c r="K144"/>
  <c r="K140"/>
  <c r="K132"/>
  <c r="K139"/>
  <c r="K120"/>
  <c r="K116"/>
  <c r="K108"/>
  <c r="K104"/>
  <c r="K96"/>
  <c r="K127"/>
  <c r="K122"/>
  <c r="K110"/>
  <c r="K98"/>
  <c r="K128"/>
  <c r="K121"/>
  <c r="K117"/>
  <c r="K109"/>
  <c r="K105"/>
  <c r="K97"/>
  <c r="K92"/>
  <c r="K84"/>
  <c r="K103"/>
  <c r="K91"/>
  <c r="K79"/>
  <c r="K80"/>
  <c r="K86"/>
  <c r="K115"/>
  <c r="K93"/>
  <c r="K85"/>
  <c r="K81"/>
  <c r="T54" i="6"/>
  <c r="Q312" i="3"/>
  <c r="Q306"/>
  <c r="Q310"/>
  <c r="Q308"/>
  <c r="E246"/>
  <c r="AG154"/>
  <c r="AG305" s="1"/>
  <c r="Y154"/>
  <c r="Y305" s="1"/>
  <c r="R154"/>
  <c r="R305" s="1"/>
  <c r="K154"/>
  <c r="K305" s="1"/>
  <c r="I14" i="9"/>
  <c r="P14"/>
  <c r="H16"/>
  <c r="L78" i="3" s="1"/>
  <c r="O16" i="9"/>
  <c r="S78" i="3" s="1"/>
  <c r="W14" i="9"/>
  <c r="AD14"/>
  <c r="AD16" s="1"/>
  <c r="AH78" i="3" s="1"/>
  <c r="V16" i="9"/>
  <c r="Z78" i="3" s="1"/>
  <c r="Q137" l="1"/>
  <c r="Q401" s="1"/>
  <c r="Q113"/>
  <c r="Q357" s="1"/>
  <c r="Q112"/>
  <c r="Q114" s="1"/>
  <c r="Q131"/>
  <c r="Q138" s="1"/>
  <c r="Q143"/>
  <c r="Q150" s="1"/>
  <c r="Q149"/>
  <c r="Q423" s="1"/>
  <c r="K147"/>
  <c r="K148" s="1"/>
  <c r="K142"/>
  <c r="Q397"/>
  <c r="K135"/>
  <c r="K136" s="1"/>
  <c r="K130"/>
  <c r="K397" s="1"/>
  <c r="Q125"/>
  <c r="Q379" s="1"/>
  <c r="Q375"/>
  <c r="Q119"/>
  <c r="Q126" s="1"/>
  <c r="K123"/>
  <c r="K124" s="1"/>
  <c r="K118"/>
  <c r="K375" s="1"/>
  <c r="Q353"/>
  <c r="K111"/>
  <c r="K112" s="1"/>
  <c r="K106"/>
  <c r="K353" s="1"/>
  <c r="Q101"/>
  <c r="Q335" s="1"/>
  <c r="Q95"/>
  <c r="Q102" s="1"/>
  <c r="Q331"/>
  <c r="K99"/>
  <c r="K100" s="1"/>
  <c r="K94"/>
  <c r="Q83"/>
  <c r="Q90" s="1"/>
  <c r="Q89"/>
  <c r="Q313" s="1"/>
  <c r="K87"/>
  <c r="K88" s="1"/>
  <c r="K82"/>
  <c r="K83" s="1"/>
  <c r="Y420"/>
  <c r="Y422"/>
  <c r="Y416"/>
  <c r="Y418"/>
  <c r="R418"/>
  <c r="R422"/>
  <c r="R420"/>
  <c r="R416"/>
  <c r="K418"/>
  <c r="K422"/>
  <c r="K416"/>
  <c r="K420"/>
  <c r="AG420"/>
  <c r="AG416"/>
  <c r="AG418"/>
  <c r="AG422"/>
  <c r="K400"/>
  <c r="K398"/>
  <c r="K394"/>
  <c r="K378"/>
  <c r="K376"/>
  <c r="K372"/>
  <c r="K354"/>
  <c r="K396"/>
  <c r="K374"/>
  <c r="K352"/>
  <c r="K350"/>
  <c r="K356"/>
  <c r="Y396"/>
  <c r="Y374"/>
  <c r="Y400"/>
  <c r="Y398"/>
  <c r="Y394"/>
  <c r="Y378"/>
  <c r="Y376"/>
  <c r="Y372"/>
  <c r="Y356"/>
  <c r="Y354"/>
  <c r="Y350"/>
  <c r="Y352"/>
  <c r="AG396"/>
  <c r="AG374"/>
  <c r="AG352"/>
  <c r="AG400"/>
  <c r="AG398"/>
  <c r="AG394"/>
  <c r="AG378"/>
  <c r="AG376"/>
  <c r="AG372"/>
  <c r="AG356"/>
  <c r="AG354"/>
  <c r="AG350"/>
  <c r="R396"/>
  <c r="R374"/>
  <c r="R352"/>
  <c r="R400"/>
  <c r="R398"/>
  <c r="R394"/>
  <c r="R378"/>
  <c r="R376"/>
  <c r="R372"/>
  <c r="R356"/>
  <c r="R354"/>
  <c r="R350"/>
  <c r="R334"/>
  <c r="R332"/>
  <c r="R328"/>
  <c r="R330"/>
  <c r="K330"/>
  <c r="K328"/>
  <c r="K334"/>
  <c r="K332"/>
  <c r="AG334"/>
  <c r="AG332"/>
  <c r="AG328"/>
  <c r="AG330"/>
  <c r="Y334"/>
  <c r="Y332"/>
  <c r="Y328"/>
  <c r="Y330"/>
  <c r="AF83"/>
  <c r="AF309"/>
  <c r="X83"/>
  <c r="X309"/>
  <c r="AG82"/>
  <c r="AG309" s="1"/>
  <c r="Y82"/>
  <c r="R82"/>
  <c r="L146"/>
  <c r="L134"/>
  <c r="L141"/>
  <c r="L129"/>
  <c r="L117"/>
  <c r="L105"/>
  <c r="L122"/>
  <c r="L110"/>
  <c r="L98"/>
  <c r="L93"/>
  <c r="L81"/>
  <c r="L80"/>
  <c r="L79"/>
  <c r="L86"/>
  <c r="AH141"/>
  <c r="AH129"/>
  <c r="AH146"/>
  <c r="AH134"/>
  <c r="AH117"/>
  <c r="AH105"/>
  <c r="AH93"/>
  <c r="AH79"/>
  <c r="AH122"/>
  <c r="AH86"/>
  <c r="AH110"/>
  <c r="AH81"/>
  <c r="AH98"/>
  <c r="AH80"/>
  <c r="AB54" i="6"/>
  <c r="Y312" i="3"/>
  <c r="Y310"/>
  <c r="Y306"/>
  <c r="Y308"/>
  <c r="Z141"/>
  <c r="Z129"/>
  <c r="Z146"/>
  <c r="Z134"/>
  <c r="Z117"/>
  <c r="Z105"/>
  <c r="Z93"/>
  <c r="Z110"/>
  <c r="Z86"/>
  <c r="Z79"/>
  <c r="Z81"/>
  <c r="Z122"/>
  <c r="Z98"/>
  <c r="Z80"/>
  <c r="U54" i="6"/>
  <c r="R310" i="3"/>
  <c r="R308"/>
  <c r="R312"/>
  <c r="R306"/>
  <c r="S146"/>
  <c r="S134"/>
  <c r="S145"/>
  <c r="S141"/>
  <c r="S133"/>
  <c r="S129"/>
  <c r="S140"/>
  <c r="S128"/>
  <c r="S116"/>
  <c r="S104"/>
  <c r="S122"/>
  <c r="S110"/>
  <c r="S98"/>
  <c r="S121"/>
  <c r="S117"/>
  <c r="S109"/>
  <c r="S105"/>
  <c r="S97"/>
  <c r="S92"/>
  <c r="S93"/>
  <c r="S79"/>
  <c r="S86"/>
  <c r="S80"/>
  <c r="S85"/>
  <c r="S81"/>
  <c r="N54" i="6"/>
  <c r="K310" i="3"/>
  <c r="K312"/>
  <c r="K308"/>
  <c r="K306"/>
  <c r="AJ54" i="6"/>
  <c r="AG312" i="3"/>
  <c r="AG306"/>
  <c r="AG310"/>
  <c r="AG308"/>
  <c r="J83"/>
  <c r="E247"/>
  <c r="S154"/>
  <c r="S305" s="1"/>
  <c r="AH154"/>
  <c r="AH305" s="1"/>
  <c r="Z154"/>
  <c r="Z305" s="1"/>
  <c r="L154"/>
  <c r="L305" s="1"/>
  <c r="W16" i="9"/>
  <c r="AA78" i="3" s="1"/>
  <c r="AE14" i="9"/>
  <c r="AE16" s="1"/>
  <c r="AI78" i="3" s="1"/>
  <c r="Q14" i="9"/>
  <c r="I16"/>
  <c r="M78" i="3" s="1"/>
  <c r="X14" i="9"/>
  <c r="P16"/>
  <c r="T78" i="3" s="1"/>
  <c r="K125" l="1"/>
  <c r="K379" s="1"/>
  <c r="K137"/>
  <c r="K401" s="1"/>
  <c r="K149"/>
  <c r="K423" s="1"/>
  <c r="K113"/>
  <c r="K357" s="1"/>
  <c r="K119"/>
  <c r="K126" s="1"/>
  <c r="K131"/>
  <c r="K138" s="1"/>
  <c r="K107"/>
  <c r="K114" s="1"/>
  <c r="K419"/>
  <c r="K143"/>
  <c r="K150" s="1"/>
  <c r="K101"/>
  <c r="K335" s="1"/>
  <c r="K95"/>
  <c r="K102" s="1"/>
  <c r="K331"/>
  <c r="K89"/>
  <c r="K313" s="1"/>
  <c r="K90"/>
  <c r="K309"/>
  <c r="L422"/>
  <c r="L420"/>
  <c r="L416"/>
  <c r="L418"/>
  <c r="S418"/>
  <c r="S422"/>
  <c r="S420"/>
  <c r="S416"/>
  <c r="AH418"/>
  <c r="AH422"/>
  <c r="AH420"/>
  <c r="AH416"/>
  <c r="Z418"/>
  <c r="Z422"/>
  <c r="Z420"/>
  <c r="Z416"/>
  <c r="AH396"/>
  <c r="AH374"/>
  <c r="AH400"/>
  <c r="AH398"/>
  <c r="AH394"/>
  <c r="AH378"/>
  <c r="AH376"/>
  <c r="AH372"/>
  <c r="AH356"/>
  <c r="AH354"/>
  <c r="AH350"/>
  <c r="AH352"/>
  <c r="L400"/>
  <c r="L398"/>
  <c r="L394"/>
  <c r="L378"/>
  <c r="L376"/>
  <c r="L372"/>
  <c r="L356"/>
  <c r="L354"/>
  <c r="L396"/>
  <c r="L374"/>
  <c r="L352"/>
  <c r="L350"/>
  <c r="S400"/>
  <c r="S398"/>
  <c r="S394"/>
  <c r="S378"/>
  <c r="S376"/>
  <c r="S396"/>
  <c r="S374"/>
  <c r="S352"/>
  <c r="S354"/>
  <c r="S350"/>
  <c r="S372"/>
  <c r="S356"/>
  <c r="Z396"/>
  <c r="Z374"/>
  <c r="Z400"/>
  <c r="Z398"/>
  <c r="Z394"/>
  <c r="Z378"/>
  <c r="Z376"/>
  <c r="Z372"/>
  <c r="Z356"/>
  <c r="Z354"/>
  <c r="Z350"/>
  <c r="Z352"/>
  <c r="L334"/>
  <c r="L332"/>
  <c r="L328"/>
  <c r="L330"/>
  <c r="S330"/>
  <c r="S328"/>
  <c r="S334"/>
  <c r="S332"/>
  <c r="Z330"/>
  <c r="Z334"/>
  <c r="Z332"/>
  <c r="Z328"/>
  <c r="AH330"/>
  <c r="AH334"/>
  <c r="AH332"/>
  <c r="AH328"/>
  <c r="Y83"/>
  <c r="Y309"/>
  <c r="R83"/>
  <c r="R309"/>
  <c r="AG83"/>
  <c r="AH82"/>
  <c r="Z82"/>
  <c r="Z309" s="1"/>
  <c r="S82"/>
  <c r="S309" s="1"/>
  <c r="L82"/>
  <c r="L309" s="1"/>
  <c r="M146"/>
  <c r="M134"/>
  <c r="M141"/>
  <c r="M129"/>
  <c r="M122"/>
  <c r="M110"/>
  <c r="M98"/>
  <c r="M86"/>
  <c r="M105"/>
  <c r="M93"/>
  <c r="M81"/>
  <c r="M80"/>
  <c r="M117"/>
  <c r="M79"/>
  <c r="AA146"/>
  <c r="AA134"/>
  <c r="AA141"/>
  <c r="AA129"/>
  <c r="AA122"/>
  <c r="AA110"/>
  <c r="AA98"/>
  <c r="AA117"/>
  <c r="AA105"/>
  <c r="AA80"/>
  <c r="AA79"/>
  <c r="AA93"/>
  <c r="AA86"/>
  <c r="AA81"/>
  <c r="T146"/>
  <c r="T134"/>
  <c r="T141"/>
  <c r="T129"/>
  <c r="T117"/>
  <c r="T105"/>
  <c r="T122"/>
  <c r="T110"/>
  <c r="T98"/>
  <c r="T81"/>
  <c r="T80"/>
  <c r="T93"/>
  <c r="T79"/>
  <c r="T86"/>
  <c r="AC54" i="6"/>
  <c r="Z312" i="3"/>
  <c r="Z308"/>
  <c r="Z310"/>
  <c r="Z306"/>
  <c r="O54" i="6"/>
  <c r="L306" i="3"/>
  <c r="L312"/>
  <c r="L308"/>
  <c r="L310"/>
  <c r="V54" i="6"/>
  <c r="S310" i="3"/>
  <c r="S308"/>
  <c r="S312"/>
  <c r="S306"/>
  <c r="AI146"/>
  <c r="AI134"/>
  <c r="AI145"/>
  <c r="AI141"/>
  <c r="AI133"/>
  <c r="AI129"/>
  <c r="AI144"/>
  <c r="AI140"/>
  <c r="AI132"/>
  <c r="AI128"/>
  <c r="AI139"/>
  <c r="AI127"/>
  <c r="AI120"/>
  <c r="AI116"/>
  <c r="AI108"/>
  <c r="AI104"/>
  <c r="AI96"/>
  <c r="AI122"/>
  <c r="AI110"/>
  <c r="AI98"/>
  <c r="AI121"/>
  <c r="AI117"/>
  <c r="AI109"/>
  <c r="AI105"/>
  <c r="AI97"/>
  <c r="AI84"/>
  <c r="AI80"/>
  <c r="AI115"/>
  <c r="AI103"/>
  <c r="AI91"/>
  <c r="AI79"/>
  <c r="AI93"/>
  <c r="AI92"/>
  <c r="AI86"/>
  <c r="AI85"/>
  <c r="AI81"/>
  <c r="AK54" i="6"/>
  <c r="AH310" i="3"/>
  <c r="AH308"/>
  <c r="AH312"/>
  <c r="AH306"/>
  <c r="E248"/>
  <c r="AA154"/>
  <c r="AA305" s="1"/>
  <c r="AI154"/>
  <c r="AI305" s="1"/>
  <c r="M154"/>
  <c r="M305" s="1"/>
  <c r="T154"/>
  <c r="T305" s="1"/>
  <c r="Y14" i="9"/>
  <c r="Q16"/>
  <c r="U78" i="3" s="1"/>
  <c r="AF14" i="9"/>
  <c r="AF16" s="1"/>
  <c r="AJ78" i="3" s="1"/>
  <c r="X16" i="9"/>
  <c r="AB78" i="3" s="1"/>
  <c r="AI147" l="1"/>
  <c r="AI148" s="1"/>
  <c r="AI142"/>
  <c r="AI143" s="1"/>
  <c r="AI135"/>
  <c r="AI136" s="1"/>
  <c r="AI130"/>
  <c r="AI123"/>
  <c r="AI124" s="1"/>
  <c r="AI118"/>
  <c r="AI111"/>
  <c r="AI112" s="1"/>
  <c r="AI106"/>
  <c r="AI107" s="1"/>
  <c r="AI99"/>
  <c r="AI100" s="1"/>
  <c r="AI94"/>
  <c r="AI95" s="1"/>
  <c r="AI87"/>
  <c r="AI88" s="1"/>
  <c r="AI82"/>
  <c r="AI309" s="1"/>
  <c r="AI418"/>
  <c r="AI420"/>
  <c r="AI422"/>
  <c r="AI416"/>
  <c r="M420"/>
  <c r="M416"/>
  <c r="M418"/>
  <c r="M422"/>
  <c r="AA418"/>
  <c r="AA416"/>
  <c r="AA422"/>
  <c r="AA420"/>
  <c r="T422"/>
  <c r="T420"/>
  <c r="T416"/>
  <c r="T418"/>
  <c r="AI400"/>
  <c r="AI398"/>
  <c r="AI394"/>
  <c r="AI378"/>
  <c r="AI376"/>
  <c r="AI372"/>
  <c r="AI354"/>
  <c r="AI396"/>
  <c r="AI374"/>
  <c r="AI352"/>
  <c r="AI350"/>
  <c r="AI356"/>
  <c r="M396"/>
  <c r="M374"/>
  <c r="M400"/>
  <c r="M398"/>
  <c r="M394"/>
  <c r="M378"/>
  <c r="M376"/>
  <c r="M372"/>
  <c r="M356"/>
  <c r="M354"/>
  <c r="M350"/>
  <c r="M352"/>
  <c r="T400"/>
  <c r="T398"/>
  <c r="T394"/>
  <c r="T378"/>
  <c r="T376"/>
  <c r="T372"/>
  <c r="T356"/>
  <c r="T354"/>
  <c r="T396"/>
  <c r="T374"/>
  <c r="T352"/>
  <c r="T350"/>
  <c r="AA400"/>
  <c r="AA398"/>
  <c r="AA394"/>
  <c r="AA378"/>
  <c r="AA376"/>
  <c r="AA396"/>
  <c r="AA374"/>
  <c r="AA352"/>
  <c r="AA356"/>
  <c r="AA354"/>
  <c r="AA350"/>
  <c r="AA372"/>
  <c r="T334"/>
  <c r="T328"/>
  <c r="T332"/>
  <c r="T330"/>
  <c r="AA330"/>
  <c r="AA328"/>
  <c r="AA334"/>
  <c r="AA332"/>
  <c r="AI330"/>
  <c r="AI328"/>
  <c r="AI334"/>
  <c r="AI332"/>
  <c r="T82"/>
  <c r="T309" s="1"/>
  <c r="M334"/>
  <c r="M332"/>
  <c r="M328"/>
  <c r="M330"/>
  <c r="AH83"/>
  <c r="AH309"/>
  <c r="AA82"/>
  <c r="Z83"/>
  <c r="S83"/>
  <c r="M82"/>
  <c r="M309" s="1"/>
  <c r="L83"/>
  <c r="AJ139"/>
  <c r="AJ127"/>
  <c r="AJ146"/>
  <c r="AJ134"/>
  <c r="AJ141"/>
  <c r="AJ129"/>
  <c r="AJ144"/>
  <c r="AJ132"/>
  <c r="AJ117"/>
  <c r="AJ105"/>
  <c r="AJ93"/>
  <c r="AJ115"/>
  <c r="AJ103"/>
  <c r="AJ122"/>
  <c r="AJ110"/>
  <c r="AJ98"/>
  <c r="AJ96"/>
  <c r="AJ84"/>
  <c r="AJ80"/>
  <c r="AJ79"/>
  <c r="AJ120"/>
  <c r="AJ91"/>
  <c r="AJ108"/>
  <c r="AJ86"/>
  <c r="AJ81"/>
  <c r="AB146"/>
  <c r="AB134"/>
  <c r="AB141"/>
  <c r="AB129"/>
  <c r="AB117"/>
  <c r="AB105"/>
  <c r="AB93"/>
  <c r="AB122"/>
  <c r="AB110"/>
  <c r="AB98"/>
  <c r="AB81"/>
  <c r="AB80"/>
  <c r="AB79"/>
  <c r="AB86"/>
  <c r="W54" i="6"/>
  <c r="T312" i="3"/>
  <c r="T306"/>
  <c r="T310"/>
  <c r="T308"/>
  <c r="AD54" i="6"/>
  <c r="AA310" i="3"/>
  <c r="AA312"/>
  <c r="AA308"/>
  <c r="AA306"/>
  <c r="U146"/>
  <c r="U134"/>
  <c r="U141"/>
  <c r="U129"/>
  <c r="U122"/>
  <c r="U110"/>
  <c r="U98"/>
  <c r="U86"/>
  <c r="U117"/>
  <c r="U105"/>
  <c r="U81"/>
  <c r="U80"/>
  <c r="U93"/>
  <c r="U79"/>
  <c r="AL54" i="6"/>
  <c r="AI310" i="3"/>
  <c r="AI308"/>
  <c r="AI312"/>
  <c r="AI306"/>
  <c r="P54" i="6"/>
  <c r="M312" i="3"/>
  <c r="M310"/>
  <c r="M306"/>
  <c r="M308"/>
  <c r="E249"/>
  <c r="AJ154"/>
  <c r="AJ305" s="1"/>
  <c r="AB154"/>
  <c r="AB305" s="1"/>
  <c r="U154"/>
  <c r="U305" s="1"/>
  <c r="AG14" i="9"/>
  <c r="AG16" s="1"/>
  <c r="AK78" i="3" s="1"/>
  <c r="Y16" i="9"/>
  <c r="AC78" i="3" s="1"/>
  <c r="AI125" l="1"/>
  <c r="AI379" s="1"/>
  <c r="AI113"/>
  <c r="AI357" s="1"/>
  <c r="AI150"/>
  <c r="AI149"/>
  <c r="AI423" s="1"/>
  <c r="AI419"/>
  <c r="AI137"/>
  <c r="AI401" s="1"/>
  <c r="AI397"/>
  <c r="AI131"/>
  <c r="AI138" s="1"/>
  <c r="AI375"/>
  <c r="AI119"/>
  <c r="AI126" s="1"/>
  <c r="AI114"/>
  <c r="AI353"/>
  <c r="AI101"/>
  <c r="AI335" s="1"/>
  <c r="AI102"/>
  <c r="AI331"/>
  <c r="AI83"/>
  <c r="AI90" s="1"/>
  <c r="AI89"/>
  <c r="AI313" s="1"/>
  <c r="AJ82"/>
  <c r="AJ309" s="1"/>
  <c r="AJ422"/>
  <c r="AJ420"/>
  <c r="AJ416"/>
  <c r="AJ418"/>
  <c r="AB422"/>
  <c r="AB420"/>
  <c r="AB416"/>
  <c r="AB418"/>
  <c r="U422"/>
  <c r="U420"/>
  <c r="U416"/>
  <c r="U418"/>
  <c r="AJ400"/>
  <c r="AJ398"/>
  <c r="AJ394"/>
  <c r="AJ378"/>
  <c r="AJ376"/>
  <c r="AJ372"/>
  <c r="AJ356"/>
  <c r="AJ354"/>
  <c r="AJ350"/>
  <c r="AJ396"/>
  <c r="AJ374"/>
  <c r="AJ352"/>
  <c r="AB400"/>
  <c r="AB398"/>
  <c r="AB394"/>
  <c r="AB378"/>
  <c r="AB376"/>
  <c r="AB372"/>
  <c r="AB356"/>
  <c r="AB354"/>
  <c r="AB350"/>
  <c r="AB396"/>
  <c r="AB374"/>
  <c r="AB352"/>
  <c r="U396"/>
  <c r="U374"/>
  <c r="U400"/>
  <c r="U398"/>
  <c r="U394"/>
  <c r="U378"/>
  <c r="U376"/>
  <c r="U372"/>
  <c r="U356"/>
  <c r="U354"/>
  <c r="U350"/>
  <c r="U352"/>
  <c r="AJ334"/>
  <c r="AJ328"/>
  <c r="AJ332"/>
  <c r="AJ330"/>
  <c r="AB332"/>
  <c r="AB334"/>
  <c r="AB328"/>
  <c r="AB330"/>
  <c r="T83"/>
  <c r="U334"/>
  <c r="U332"/>
  <c r="U328"/>
  <c r="U330"/>
  <c r="AA83"/>
  <c r="AA309"/>
  <c r="AB82"/>
  <c r="U82"/>
  <c r="M83"/>
  <c r="X54" i="6"/>
  <c r="U312" i="3"/>
  <c r="U306"/>
  <c r="U310"/>
  <c r="U308"/>
  <c r="AK144"/>
  <c r="AK132"/>
  <c r="AK139"/>
  <c r="AK146"/>
  <c r="AK134"/>
  <c r="AK141"/>
  <c r="AK129"/>
  <c r="AK127"/>
  <c r="AK122"/>
  <c r="AK110"/>
  <c r="AK98"/>
  <c r="AK120"/>
  <c r="AK108"/>
  <c r="AK96"/>
  <c r="AK115"/>
  <c r="AK117"/>
  <c r="AK105"/>
  <c r="AK81"/>
  <c r="AK80"/>
  <c r="AK103"/>
  <c r="AK84"/>
  <c r="AK93"/>
  <c r="AK91"/>
  <c r="AK79"/>
  <c r="AK86"/>
  <c r="AC144"/>
  <c r="AC132"/>
  <c r="AC139"/>
  <c r="AC146"/>
  <c r="AC134"/>
  <c r="AC141"/>
  <c r="AC129"/>
  <c r="AC122"/>
  <c r="AC110"/>
  <c r="AC98"/>
  <c r="AC120"/>
  <c r="AC108"/>
  <c r="AC96"/>
  <c r="AC127"/>
  <c r="AC115"/>
  <c r="AC86"/>
  <c r="AC105"/>
  <c r="AC81"/>
  <c r="AC80"/>
  <c r="AC103"/>
  <c r="AC84"/>
  <c r="AC117"/>
  <c r="AC93"/>
  <c r="AC91"/>
  <c r="AC79"/>
  <c r="AM54" i="6"/>
  <c r="AJ312" i="3"/>
  <c r="AJ306"/>
  <c r="AJ310"/>
  <c r="AJ308"/>
  <c r="AE54" i="6"/>
  <c r="AB306" i="3"/>
  <c r="AB312"/>
  <c r="AB308"/>
  <c r="AB310"/>
  <c r="E250"/>
  <c r="AC154"/>
  <c r="AC305" s="1"/>
  <c r="AK154"/>
  <c r="AK305" s="1"/>
  <c r="AK82" l="1"/>
  <c r="AK83" s="1"/>
  <c r="AJ83"/>
  <c r="AC82"/>
  <c r="AC83" s="1"/>
  <c r="AK420"/>
  <c r="AK422"/>
  <c r="AK416"/>
  <c r="AK418"/>
  <c r="AC422"/>
  <c r="AC416"/>
  <c r="AC420"/>
  <c r="AC418"/>
  <c r="AC396"/>
  <c r="AC374"/>
  <c r="AC400"/>
  <c r="AC398"/>
  <c r="AC394"/>
  <c r="AC378"/>
  <c r="AC376"/>
  <c r="AC372"/>
  <c r="AC356"/>
  <c r="AC354"/>
  <c r="AC350"/>
  <c r="AC352"/>
  <c r="AK396"/>
  <c r="AK374"/>
  <c r="AK400"/>
  <c r="AK398"/>
  <c r="AK394"/>
  <c r="AK378"/>
  <c r="AK376"/>
  <c r="AK372"/>
  <c r="AK356"/>
  <c r="AK354"/>
  <c r="AK350"/>
  <c r="AK352"/>
  <c r="AK334"/>
  <c r="AK332"/>
  <c r="AK328"/>
  <c r="AK330"/>
  <c r="AC334"/>
  <c r="AC332"/>
  <c r="AC328"/>
  <c r="AC330"/>
  <c r="AB83"/>
  <c r="AB309"/>
  <c r="U83"/>
  <c r="U309"/>
  <c r="AF54" i="6"/>
  <c r="AC312" i="3"/>
  <c r="AC310"/>
  <c r="AC306"/>
  <c r="AC308"/>
  <c r="AN54" i="6"/>
  <c r="AK312" i="3"/>
  <c r="AK306"/>
  <c r="AK310"/>
  <c r="AK308"/>
  <c r="AM129"/>
  <c r="AL93"/>
  <c r="AM93"/>
  <c r="AL117"/>
  <c r="AM117"/>
  <c r="AL105"/>
  <c r="AM105"/>
  <c r="AM98"/>
  <c r="AL98"/>
  <c r="AL122"/>
  <c r="AM122"/>
  <c r="AL146"/>
  <c r="AM146"/>
  <c r="AM110"/>
  <c r="AL110"/>
  <c r="AL141"/>
  <c r="AM141"/>
  <c r="E251"/>
  <c r="AL134"/>
  <c r="AM134"/>
  <c r="AL129"/>
  <c r="A139"/>
  <c r="A160" s="1"/>
  <c r="K162" s="1"/>
  <c r="K174" s="1"/>
  <c r="A127"/>
  <c r="A115"/>
  <c r="A103"/>
  <c r="D95"/>
  <c r="D107" s="1"/>
  <c r="D119" s="1"/>
  <c r="D131" s="1"/>
  <c r="D143" s="1"/>
  <c r="D94"/>
  <c r="D93"/>
  <c r="D105" s="1"/>
  <c r="D117" s="1"/>
  <c r="D129" s="1"/>
  <c r="D141" s="1"/>
  <c r="D92"/>
  <c r="D104" s="1"/>
  <c r="D116" s="1"/>
  <c r="D128" s="1"/>
  <c r="D140" s="1"/>
  <c r="D91"/>
  <c r="D103" s="1"/>
  <c r="D115" s="1"/>
  <c r="D127" s="1"/>
  <c r="D139" s="1"/>
  <c r="B101"/>
  <c r="B113" s="1"/>
  <c r="B125" s="1"/>
  <c r="B137" s="1"/>
  <c r="B149" s="1"/>
  <c r="A91"/>
  <c r="AL81"/>
  <c r="AM81"/>
  <c r="AM86"/>
  <c r="AL86"/>
  <c r="AM80"/>
  <c r="AL80"/>
  <c r="AM79"/>
  <c r="AL79"/>
  <c r="A79"/>
  <c r="D88"/>
  <c r="D100" s="1"/>
  <c r="D112" s="1"/>
  <c r="D124" s="1"/>
  <c r="D136" s="1"/>
  <c r="D148" s="1"/>
  <c r="D87"/>
  <c r="D86"/>
  <c r="D98" s="1"/>
  <c r="D110" s="1"/>
  <c r="D122" s="1"/>
  <c r="D134" s="1"/>
  <c r="D146" s="1"/>
  <c r="D85"/>
  <c r="D97" s="1"/>
  <c r="D109" s="1"/>
  <c r="D121" s="1"/>
  <c r="D133" s="1"/>
  <c r="D145" s="1"/>
  <c r="D84"/>
  <c r="D96" s="1"/>
  <c r="D108" s="1"/>
  <c r="D120" s="1"/>
  <c r="D132" s="1"/>
  <c r="D144" s="1"/>
  <c r="F32" i="7"/>
  <c r="M9" i="10" s="1"/>
  <c r="E32" i="7"/>
  <c r="L9" i="10" s="1"/>
  <c r="D32" i="7"/>
  <c r="F31"/>
  <c r="M8" i="10" s="1"/>
  <c r="E31" i="7"/>
  <c r="L8" i="10" s="1"/>
  <c r="D31" i="7"/>
  <c r="K8" i="10" s="1"/>
  <c r="F30" i="7"/>
  <c r="M7" i="10" s="1"/>
  <c r="E30" i="7"/>
  <c r="L7" i="10" s="1"/>
  <c r="D30" i="7"/>
  <c r="F29"/>
  <c r="M6" i="10" s="1"/>
  <c r="E29" i="7"/>
  <c r="D29"/>
  <c r="K6" i="10" s="1"/>
  <c r="F28" i="7"/>
  <c r="AQ17" i="3" s="1"/>
  <c r="E28" i="7"/>
  <c r="L5" i="10" s="1"/>
  <c r="D28" i="7"/>
  <c r="K5" i="10" s="1"/>
  <c r="F27" i="7"/>
  <c r="M4" i="10" s="1"/>
  <c r="E27" i="7"/>
  <c r="D27"/>
  <c r="K4" i="10" s="1"/>
  <c r="H26" i="7"/>
  <c r="G26"/>
  <c r="F26"/>
  <c r="E26"/>
  <c r="D26"/>
  <c r="H22"/>
  <c r="G22"/>
  <c r="H21"/>
  <c r="G21"/>
  <c r="H20"/>
  <c r="G20"/>
  <c r="H19"/>
  <c r="G19"/>
  <c r="H18"/>
  <c r="G18"/>
  <c r="H17"/>
  <c r="G17"/>
  <c r="H16"/>
  <c r="G16"/>
  <c r="H15"/>
  <c r="G15"/>
  <c r="H14"/>
  <c r="G14"/>
  <c r="H13"/>
  <c r="G13"/>
  <c r="H12"/>
  <c r="G12"/>
  <c r="H11"/>
  <c r="G11"/>
  <c r="C14"/>
  <c r="C16" s="1"/>
  <c r="C18" s="1"/>
  <c r="C20" s="1"/>
  <c r="C22" s="1"/>
  <c r="C13"/>
  <c r="C15" s="1"/>
  <c r="C17" s="1"/>
  <c r="C19" s="1"/>
  <c r="C21" s="1"/>
  <c r="AM74" i="3"/>
  <c r="AL74"/>
  <c r="AM73"/>
  <c r="AL73"/>
  <c r="AM72"/>
  <c r="AL72"/>
  <c r="AM71"/>
  <c r="AL71"/>
  <c r="AM70"/>
  <c r="AL70"/>
  <c r="K166" s="1"/>
  <c r="AM69"/>
  <c r="AL69"/>
  <c r="AM68"/>
  <c r="AL68"/>
  <c r="AM67"/>
  <c r="AL67"/>
  <c r="AM66"/>
  <c r="AL66"/>
  <c r="AM62"/>
  <c r="AL62"/>
  <c r="AM61"/>
  <c r="AL61"/>
  <c r="AM60"/>
  <c r="AL60"/>
  <c r="AM59"/>
  <c r="AL59"/>
  <c r="AM58"/>
  <c r="AL58"/>
  <c r="J166" s="1"/>
  <c r="AM57"/>
  <c r="AL57"/>
  <c r="AM56"/>
  <c r="AL56"/>
  <c r="AM55"/>
  <c r="AL55"/>
  <c r="AM54"/>
  <c r="AL54"/>
  <c r="AM50"/>
  <c r="AL50"/>
  <c r="AM49"/>
  <c r="AL49"/>
  <c r="AM48"/>
  <c r="AL48"/>
  <c r="AM47"/>
  <c r="AL47"/>
  <c r="AM46"/>
  <c r="AL46"/>
  <c r="I166" s="1"/>
  <c r="AM45"/>
  <c r="AL45"/>
  <c r="AM44"/>
  <c r="AL44"/>
  <c r="AM43"/>
  <c r="AL43"/>
  <c r="AM42"/>
  <c r="AL42"/>
  <c r="AM38"/>
  <c r="AL38"/>
  <c r="AM37"/>
  <c r="AL37"/>
  <c r="AM36"/>
  <c r="AL36"/>
  <c r="AM35"/>
  <c r="AL35"/>
  <c r="AM34"/>
  <c r="AL34"/>
  <c r="H166" s="1"/>
  <c r="AM33"/>
  <c r="AL33"/>
  <c r="AM32"/>
  <c r="AL32"/>
  <c r="AM31"/>
  <c r="AL31"/>
  <c r="AM30"/>
  <c r="AL30"/>
  <c r="AM26"/>
  <c r="AL26"/>
  <c r="AM25"/>
  <c r="AL25"/>
  <c r="AM24"/>
  <c r="AL24"/>
  <c r="AM23"/>
  <c r="AL23"/>
  <c r="AM22"/>
  <c r="AL22"/>
  <c r="G166" s="1"/>
  <c r="AM21"/>
  <c r="AL21"/>
  <c r="AM20"/>
  <c r="AL20"/>
  <c r="AM19"/>
  <c r="AL19"/>
  <c r="AM18"/>
  <c r="AL18"/>
  <c r="AM14"/>
  <c r="AL14"/>
  <c r="AM13"/>
  <c r="AL13"/>
  <c r="AM12"/>
  <c r="AL12"/>
  <c r="AM8"/>
  <c r="AL8"/>
  <c r="AM7"/>
  <c r="AL7"/>
  <c r="AM6"/>
  <c r="AL6"/>
  <c r="B32" i="7"/>
  <c r="B21" s="1"/>
  <c r="B31"/>
  <c r="B19" s="1"/>
  <c r="B30"/>
  <c r="B17" s="1"/>
  <c r="B29"/>
  <c r="B15" s="1"/>
  <c r="B28"/>
  <c r="B13" s="1"/>
  <c r="B27"/>
  <c r="B11" s="1"/>
  <c r="E74" i="3"/>
  <c r="E73"/>
  <c r="E72"/>
  <c r="E68"/>
  <c r="E67"/>
  <c r="E66"/>
  <c r="E62"/>
  <c r="E61"/>
  <c r="E60"/>
  <c r="E56"/>
  <c r="E55"/>
  <c r="E54"/>
  <c r="E50"/>
  <c r="E49"/>
  <c r="E48"/>
  <c r="E44"/>
  <c r="E43"/>
  <c r="E42"/>
  <c r="E38"/>
  <c r="E37"/>
  <c r="E36"/>
  <c r="E32"/>
  <c r="E31"/>
  <c r="E30"/>
  <c r="E26"/>
  <c r="E25"/>
  <c r="E24"/>
  <c r="E20"/>
  <c r="E19"/>
  <c r="E18"/>
  <c r="B21"/>
  <c r="B33" s="1"/>
  <c r="B45" s="1"/>
  <c r="B57" s="1"/>
  <c r="B69" s="1"/>
  <c r="B84" s="1"/>
  <c r="B15"/>
  <c r="B27" s="1"/>
  <c r="B39" s="1"/>
  <c r="B51" s="1"/>
  <c r="B63" s="1"/>
  <c r="B79" s="1"/>
  <c r="E14"/>
  <c r="E13"/>
  <c r="E12"/>
  <c r="E8"/>
  <c r="E7"/>
  <c r="E6"/>
  <c r="D14"/>
  <c r="D13"/>
  <c r="D19" s="1"/>
  <c r="D25" s="1"/>
  <c r="D31" s="1"/>
  <c r="D37" s="1"/>
  <c r="D43" s="1"/>
  <c r="D49" s="1"/>
  <c r="D55" s="1"/>
  <c r="D61" s="1"/>
  <c r="D67" s="1"/>
  <c r="D73" s="1"/>
  <c r="D12"/>
  <c r="D9"/>
  <c r="D15" s="1"/>
  <c r="D21" s="1"/>
  <c r="D27" s="1"/>
  <c r="D33" s="1"/>
  <c r="D39" s="1"/>
  <c r="D45" s="1"/>
  <c r="D51" s="1"/>
  <c r="D57" s="1"/>
  <c r="D63" s="1"/>
  <c r="D69" s="1"/>
  <c r="D4"/>
  <c r="D10" s="1"/>
  <c r="D16" s="1"/>
  <c r="D22" s="1"/>
  <c r="D28" s="1"/>
  <c r="D34" s="1"/>
  <c r="D40" s="1"/>
  <c r="D46" s="1"/>
  <c r="D52" s="1"/>
  <c r="D58" s="1"/>
  <c r="D64" s="1"/>
  <c r="D70" s="1"/>
  <c r="C6"/>
  <c r="AE45" i="6"/>
  <c r="D80"/>
  <c r="G85" i="3" l="1"/>
  <c r="J85"/>
  <c r="AF85"/>
  <c r="M85"/>
  <c r="W85"/>
  <c r="W87" s="1"/>
  <c r="V85"/>
  <c r="O85"/>
  <c r="AE85"/>
  <c r="AD85"/>
  <c r="N85"/>
  <c r="F85"/>
  <c r="H85"/>
  <c r="I85"/>
  <c r="P85"/>
  <c r="X85"/>
  <c r="Y85"/>
  <c r="AG85"/>
  <c r="R85"/>
  <c r="AH85"/>
  <c r="Z85"/>
  <c r="L85"/>
  <c r="T85"/>
  <c r="AA85"/>
  <c r="AB85"/>
  <c r="AJ85"/>
  <c r="AJ87" s="1"/>
  <c r="U85"/>
  <c r="AK85"/>
  <c r="AK87" s="1"/>
  <c r="AK89" s="1"/>
  <c r="AK313" s="1"/>
  <c r="AC85"/>
  <c r="AC87" s="1"/>
  <c r="AC88" s="1"/>
  <c r="AC90" s="1"/>
  <c r="AC309"/>
  <c r="AK309"/>
  <c r="AL420"/>
  <c r="AM332"/>
  <c r="AL376"/>
  <c r="AM420"/>
  <c r="AM418"/>
  <c r="AL418"/>
  <c r="AL422"/>
  <c r="AM422"/>
  <c r="AM416"/>
  <c r="AL416"/>
  <c r="AL394"/>
  <c r="AE51" i="6"/>
  <c r="AM372" i="3"/>
  <c r="AM394"/>
  <c r="AM376"/>
  <c r="AN376" s="1"/>
  <c r="A158"/>
  <c r="I162" s="1"/>
  <c r="I174" s="1"/>
  <c r="A372"/>
  <c r="AL354"/>
  <c r="AM354"/>
  <c r="AM398"/>
  <c r="AL398"/>
  <c r="AM396"/>
  <c r="AL396"/>
  <c r="AL332"/>
  <c r="A157"/>
  <c r="H162" s="1"/>
  <c r="H174" s="1"/>
  <c r="A350"/>
  <c r="AM352"/>
  <c r="AL352"/>
  <c r="AM350"/>
  <c r="AL350"/>
  <c r="AM374"/>
  <c r="AL374"/>
  <c r="AM356"/>
  <c r="AL356"/>
  <c r="AM378"/>
  <c r="AL378"/>
  <c r="AM400"/>
  <c r="AL400"/>
  <c r="AL372"/>
  <c r="A159"/>
  <c r="J162" s="1"/>
  <c r="J174" s="1"/>
  <c r="A394"/>
  <c r="A156"/>
  <c r="G162" s="1"/>
  <c r="G174" s="1"/>
  <c r="A328"/>
  <c r="AL334"/>
  <c r="AM334"/>
  <c r="A155"/>
  <c r="F162" s="1"/>
  <c r="F174" s="1"/>
  <c r="A306"/>
  <c r="AL330"/>
  <c r="AM330"/>
  <c r="D106"/>
  <c r="C331"/>
  <c r="AM328"/>
  <c r="AL328"/>
  <c r="D89"/>
  <c r="D101" s="1"/>
  <c r="D113" s="1"/>
  <c r="D125" s="1"/>
  <c r="D137" s="1"/>
  <c r="D149" s="1"/>
  <c r="E172" s="1"/>
  <c r="C313"/>
  <c r="M10" i="6"/>
  <c r="Q10" s="1"/>
  <c r="AE84" i="3"/>
  <c r="N84"/>
  <c r="G84"/>
  <c r="G87" s="1"/>
  <c r="AD84"/>
  <c r="V84"/>
  <c r="O84"/>
  <c r="H84"/>
  <c r="P84"/>
  <c r="I84"/>
  <c r="J84"/>
  <c r="J87" s="1"/>
  <c r="AF84"/>
  <c r="AF87" s="1"/>
  <c r="X84"/>
  <c r="R84"/>
  <c r="Y84"/>
  <c r="AG84"/>
  <c r="AG87" s="1"/>
  <c r="L84"/>
  <c r="S84"/>
  <c r="S87" s="1"/>
  <c r="AH84"/>
  <c r="Z84"/>
  <c r="M84"/>
  <c r="M87" s="1"/>
  <c r="T84"/>
  <c r="AA84"/>
  <c r="AB84"/>
  <c r="U84"/>
  <c r="AQ40"/>
  <c r="I163" s="1"/>
  <c r="B91"/>
  <c r="B306"/>
  <c r="D18"/>
  <c r="D24" s="1"/>
  <c r="F84"/>
  <c r="B96"/>
  <c r="B310"/>
  <c r="AQ15"/>
  <c r="AQ5"/>
  <c r="AQ3"/>
  <c r="AQ65"/>
  <c r="G32" i="7"/>
  <c r="AQ51" i="3"/>
  <c r="AQ16"/>
  <c r="G163" s="1"/>
  <c r="AN129"/>
  <c r="I19" i="7"/>
  <c r="G31"/>
  <c r="AQ53" i="3"/>
  <c r="H31" i="7"/>
  <c r="O8" i="10"/>
  <c r="N8"/>
  <c r="AQ41" i="3"/>
  <c r="I17" i="7"/>
  <c r="G30"/>
  <c r="K7" i="10"/>
  <c r="AQ29" i="3"/>
  <c r="AQ63"/>
  <c r="K9" i="10"/>
  <c r="N9" s="1"/>
  <c r="AQ28" i="3"/>
  <c r="H163" s="1"/>
  <c r="L6" i="10"/>
  <c r="O6" s="1"/>
  <c r="G28" i="7"/>
  <c r="M5" i="10"/>
  <c r="N5" s="1"/>
  <c r="AQ4" i="3"/>
  <c r="AI155" s="1"/>
  <c r="L4" i="10"/>
  <c r="O4" s="1"/>
  <c r="D20" i="3"/>
  <c r="AL308"/>
  <c r="AM308"/>
  <c r="AM310"/>
  <c r="AL310"/>
  <c r="AL312"/>
  <c r="AM312"/>
  <c r="AM306"/>
  <c r="AL306"/>
  <c r="I21" i="7"/>
  <c r="H32"/>
  <c r="I15"/>
  <c r="I13"/>
  <c r="G27"/>
  <c r="I11"/>
  <c r="H27"/>
  <c r="AQ52" i="3"/>
  <c r="X159" s="1"/>
  <c r="AQ39"/>
  <c r="H30" i="7"/>
  <c r="H28"/>
  <c r="AN122" i="3"/>
  <c r="AN117"/>
  <c r="AN141"/>
  <c r="AN110"/>
  <c r="K158"/>
  <c r="S158"/>
  <c r="AN146"/>
  <c r="AN93"/>
  <c r="AC157"/>
  <c r="AN98"/>
  <c r="AN105"/>
  <c r="AN48"/>
  <c r="AN46"/>
  <c r="AN44"/>
  <c r="AN42"/>
  <c r="AN26"/>
  <c r="E252"/>
  <c r="D5"/>
  <c r="D11" s="1"/>
  <c r="D17" s="1"/>
  <c r="D23" s="1"/>
  <c r="D29" s="1"/>
  <c r="D35" s="1"/>
  <c r="D41" s="1"/>
  <c r="D47" s="1"/>
  <c r="D53" s="1"/>
  <c r="D59" s="1"/>
  <c r="D65" s="1"/>
  <c r="D71" s="1"/>
  <c r="AN79"/>
  <c r="AN86"/>
  <c r="AN25"/>
  <c r="AN30"/>
  <c r="AN32"/>
  <c r="AN34"/>
  <c r="AN36"/>
  <c r="AN38"/>
  <c r="AN43"/>
  <c r="AN47"/>
  <c r="AN49"/>
  <c r="AN80"/>
  <c r="AN67"/>
  <c r="D90"/>
  <c r="D102" s="1"/>
  <c r="D114" s="1"/>
  <c r="D126" s="1"/>
  <c r="D138" s="1"/>
  <c r="D150" s="1"/>
  <c r="E173" s="1"/>
  <c r="AN20"/>
  <c r="W155"/>
  <c r="Q155"/>
  <c r="K155"/>
  <c r="AJ155"/>
  <c r="D99"/>
  <c r="Q159"/>
  <c r="AN21"/>
  <c r="AN45"/>
  <c r="AN50"/>
  <c r="AN68"/>
  <c r="AN70"/>
  <c r="AN72"/>
  <c r="AN74"/>
  <c r="AN81"/>
  <c r="AK155"/>
  <c r="AN134"/>
  <c r="AN55"/>
  <c r="AN54"/>
  <c r="AN57"/>
  <c r="AN61"/>
  <c r="AN59"/>
  <c r="AN13"/>
  <c r="AN8"/>
  <c r="AN6"/>
  <c r="AN18"/>
  <c r="AN23"/>
  <c r="AN66"/>
  <c r="AN19"/>
  <c r="AN22"/>
  <c r="AN24"/>
  <c r="AN31"/>
  <c r="AN33"/>
  <c r="AN35"/>
  <c r="AN37"/>
  <c r="AN56"/>
  <c r="AN58"/>
  <c r="AN60"/>
  <c r="AN62"/>
  <c r="AN69"/>
  <c r="AN71"/>
  <c r="AN73"/>
  <c r="AN14"/>
  <c r="AN12"/>
  <c r="AN7"/>
  <c r="AQ64"/>
  <c r="G29" i="7"/>
  <c r="AQ27" i="3"/>
  <c r="H29" i="7"/>
  <c r="R39" i="6"/>
  <c r="AA39" s="1"/>
  <c r="AH39" s="1"/>
  <c r="Q39"/>
  <c r="Z39" s="1"/>
  <c r="P39"/>
  <c r="Y39" s="1"/>
  <c r="F39"/>
  <c r="O39" s="1"/>
  <c r="X39" s="1"/>
  <c r="AG39" s="1"/>
  <c r="E39"/>
  <c r="N39" s="1"/>
  <c r="W39" s="1"/>
  <c r="AF39" s="1"/>
  <c r="I27" i="7"/>
  <c r="I30"/>
  <c r="I29"/>
  <c r="I28"/>
  <c r="I32"/>
  <c r="I31"/>
  <c r="AE156" i="3" l="1"/>
  <c r="AA87"/>
  <c r="AK159"/>
  <c r="AC155"/>
  <c r="G92"/>
  <c r="AF92"/>
  <c r="J92"/>
  <c r="M92"/>
  <c r="W159"/>
  <c r="Q156"/>
  <c r="AD87"/>
  <c r="AD89" s="1"/>
  <c r="AD313" s="1"/>
  <c r="Q158"/>
  <c r="AJ158"/>
  <c r="AI158"/>
  <c r="AK157"/>
  <c r="K156"/>
  <c r="AK156"/>
  <c r="AC156"/>
  <c r="AJ156"/>
  <c r="W156"/>
  <c r="AI156"/>
  <c r="F163"/>
  <c r="F155"/>
  <c r="AH87"/>
  <c r="AH88" s="1"/>
  <c r="AH90" s="1"/>
  <c r="AB87"/>
  <c r="AB88" s="1"/>
  <c r="AB90" s="1"/>
  <c r="Z87"/>
  <c r="Z88" s="1"/>
  <c r="Z90" s="1"/>
  <c r="Y87"/>
  <c r="Y89" s="1"/>
  <c r="Y313" s="1"/>
  <c r="V87"/>
  <c r="V88" s="1"/>
  <c r="V90" s="1"/>
  <c r="U87"/>
  <c r="T87"/>
  <c r="T89" s="1"/>
  <c r="T313" s="1"/>
  <c r="R87"/>
  <c r="R88" s="1"/>
  <c r="R90" s="1"/>
  <c r="P87"/>
  <c r="P88" s="1"/>
  <c r="P90" s="1"/>
  <c r="O87"/>
  <c r="O88" s="1"/>
  <c r="O90" s="1"/>
  <c r="N87"/>
  <c r="N88" s="1"/>
  <c r="N90" s="1"/>
  <c r="L87"/>
  <c r="L89" s="1"/>
  <c r="L313" s="1"/>
  <c r="I87"/>
  <c r="I89" s="1"/>
  <c r="I313" s="1"/>
  <c r="H87"/>
  <c r="H88" s="1"/>
  <c r="H90" s="1"/>
  <c r="AK88"/>
  <c r="AK90" s="1"/>
  <c r="X87"/>
  <c r="X89" s="1"/>
  <c r="F87"/>
  <c r="F313" s="1"/>
  <c r="AE87"/>
  <c r="AE89" s="1"/>
  <c r="AE313" s="1"/>
  <c r="AC89"/>
  <c r="AC313" s="1"/>
  <c r="AJ88"/>
  <c r="AJ90" s="1"/>
  <c r="AJ89"/>
  <c r="AJ313" s="1"/>
  <c r="W88"/>
  <c r="W90" s="1"/>
  <c r="W89"/>
  <c r="W313" s="1"/>
  <c r="V92"/>
  <c r="AD92"/>
  <c r="W92"/>
  <c r="W94" s="1"/>
  <c r="F92"/>
  <c r="AE92"/>
  <c r="N92"/>
  <c r="O92"/>
  <c r="H92"/>
  <c r="P92"/>
  <c r="I92"/>
  <c r="X92"/>
  <c r="R92"/>
  <c r="Y92"/>
  <c r="AG92"/>
  <c r="Z92"/>
  <c r="L92"/>
  <c r="AH92"/>
  <c r="T92"/>
  <c r="AA92"/>
  <c r="AJ92"/>
  <c r="AJ94" s="1"/>
  <c r="U92"/>
  <c r="AB92"/>
  <c r="AK92"/>
  <c r="AK94" s="1"/>
  <c r="AC92"/>
  <c r="AC94" s="1"/>
  <c r="AB158"/>
  <c r="W158"/>
  <c r="AC158"/>
  <c r="AD158"/>
  <c r="T158"/>
  <c r="I158"/>
  <c r="AK158"/>
  <c r="AL309"/>
  <c r="AM309"/>
  <c r="AN420"/>
  <c r="AN332"/>
  <c r="AN416"/>
  <c r="V158"/>
  <c r="AN394"/>
  <c r="S155"/>
  <c r="AG156"/>
  <c r="AN378"/>
  <c r="AN418"/>
  <c r="AN422"/>
  <c r="AN372"/>
  <c r="AF157"/>
  <c r="AN374"/>
  <c r="AN352"/>
  <c r="Y155"/>
  <c r="AB155"/>
  <c r="AG155"/>
  <c r="I155"/>
  <c r="AN398"/>
  <c r="AD155"/>
  <c r="H157"/>
  <c r="S156"/>
  <c r="P156"/>
  <c r="U159"/>
  <c r="Z155"/>
  <c r="U156"/>
  <c r="AN354"/>
  <c r="D118"/>
  <c r="AN350"/>
  <c r="AN400"/>
  <c r="AN356"/>
  <c r="AN396"/>
  <c r="H155"/>
  <c r="V155"/>
  <c r="G157"/>
  <c r="U158"/>
  <c r="Z158"/>
  <c r="AG158"/>
  <c r="N158"/>
  <c r="T156"/>
  <c r="V156"/>
  <c r="X155"/>
  <c r="N155"/>
  <c r="Y158"/>
  <c r="P158"/>
  <c r="AE158"/>
  <c r="AB156"/>
  <c r="AH156"/>
  <c r="I156"/>
  <c r="L158"/>
  <c r="J158"/>
  <c r="H158"/>
  <c r="F158"/>
  <c r="M158"/>
  <c r="AH158"/>
  <c r="R158"/>
  <c r="X158"/>
  <c r="O158"/>
  <c r="G158"/>
  <c r="AN328"/>
  <c r="AN330"/>
  <c r="AN334"/>
  <c r="D111"/>
  <c r="C335"/>
  <c r="B108"/>
  <c r="B332"/>
  <c r="B103"/>
  <c r="B328"/>
  <c r="N159"/>
  <c r="U155"/>
  <c r="T155"/>
  <c r="L155"/>
  <c r="R155"/>
  <c r="P155"/>
  <c r="G155"/>
  <c r="T157"/>
  <c r="M156"/>
  <c r="L156"/>
  <c r="Y156"/>
  <c r="J156"/>
  <c r="O156"/>
  <c r="N156"/>
  <c r="I159"/>
  <c r="M155"/>
  <c r="AH155"/>
  <c r="J155"/>
  <c r="O155"/>
  <c r="AE155"/>
  <c r="Z156"/>
  <c r="R156"/>
  <c r="X156"/>
  <c r="H156"/>
  <c r="AD156"/>
  <c r="AA156"/>
  <c r="AG88"/>
  <c r="AG90" s="1"/>
  <c r="AG89"/>
  <c r="AG313" s="1"/>
  <c r="AF88"/>
  <c r="AF90" s="1"/>
  <c r="AF89"/>
  <c r="AF313" s="1"/>
  <c r="G88"/>
  <c r="G90" s="1"/>
  <c r="G89"/>
  <c r="G313" s="1"/>
  <c r="V91"/>
  <c r="O91"/>
  <c r="G91"/>
  <c r="G94" s="1"/>
  <c r="G331" s="1"/>
  <c r="AE91"/>
  <c r="AD91"/>
  <c r="N91"/>
  <c r="H91"/>
  <c r="I91"/>
  <c r="P91"/>
  <c r="J91"/>
  <c r="J94" s="1"/>
  <c r="J331" s="1"/>
  <c r="X91"/>
  <c r="AF91"/>
  <c r="AF94" s="1"/>
  <c r="AF331" s="1"/>
  <c r="Y91"/>
  <c r="R91"/>
  <c r="AG91"/>
  <c r="Z91"/>
  <c r="AH91"/>
  <c r="L91"/>
  <c r="S91"/>
  <c r="S94" s="1"/>
  <c r="S331" s="1"/>
  <c r="AA91"/>
  <c r="T91"/>
  <c r="M91"/>
  <c r="M94" s="1"/>
  <c r="M331" s="1"/>
  <c r="U91"/>
  <c r="AB91"/>
  <c r="U88"/>
  <c r="U90" s="1"/>
  <c r="U89"/>
  <c r="U313" s="1"/>
  <c r="M88"/>
  <c r="M90" s="1"/>
  <c r="M89"/>
  <c r="M313" s="1"/>
  <c r="AA158"/>
  <c r="S88"/>
  <c r="S90" s="1"/>
  <c r="S89"/>
  <c r="S313" s="1"/>
  <c r="R89"/>
  <c r="R313" s="1"/>
  <c r="O96"/>
  <c r="G96"/>
  <c r="AD96"/>
  <c r="V96"/>
  <c r="AE96"/>
  <c r="N96"/>
  <c r="H96"/>
  <c r="I96"/>
  <c r="P96"/>
  <c r="AF96"/>
  <c r="J96"/>
  <c r="X96"/>
  <c r="AG96"/>
  <c r="R96"/>
  <c r="Y96"/>
  <c r="Z96"/>
  <c r="S96"/>
  <c r="S99" s="1"/>
  <c r="L96"/>
  <c r="AH96"/>
  <c r="AA96"/>
  <c r="M96"/>
  <c r="T96"/>
  <c r="U96"/>
  <c r="AB96"/>
  <c r="AA88"/>
  <c r="AA90" s="1"/>
  <c r="AA89"/>
  <c r="AA313" s="1"/>
  <c r="AH89"/>
  <c r="AH313" s="1"/>
  <c r="J88"/>
  <c r="J90" s="1"/>
  <c r="J89"/>
  <c r="J313" s="1"/>
  <c r="O89"/>
  <c r="O313" s="1"/>
  <c r="N89"/>
  <c r="N313" s="1"/>
  <c r="AF156"/>
  <c r="AF158"/>
  <c r="AG157"/>
  <c r="AA155"/>
  <c r="AH159"/>
  <c r="AF155"/>
  <c r="AG159"/>
  <c r="AD159"/>
  <c r="S159"/>
  <c r="G156"/>
  <c r="F156"/>
  <c r="F91"/>
  <c r="F96"/>
  <c r="Z157"/>
  <c r="P157"/>
  <c r="AI157"/>
  <c r="AH157"/>
  <c r="K157"/>
  <c r="O157"/>
  <c r="AB157"/>
  <c r="F157"/>
  <c r="U157"/>
  <c r="S157"/>
  <c r="Q157"/>
  <c r="N157"/>
  <c r="AA157"/>
  <c r="AJ157"/>
  <c r="L157"/>
  <c r="R157"/>
  <c r="J157"/>
  <c r="I157"/>
  <c r="AD157"/>
  <c r="W157"/>
  <c r="M157"/>
  <c r="Y157"/>
  <c r="X157"/>
  <c r="AE157"/>
  <c r="V157"/>
  <c r="K163"/>
  <c r="AF160"/>
  <c r="AA160"/>
  <c r="AI160"/>
  <c r="F159"/>
  <c r="AF159"/>
  <c r="AA159"/>
  <c r="AI159"/>
  <c r="AB159"/>
  <c r="Y159"/>
  <c r="H159"/>
  <c r="V159"/>
  <c r="AC159"/>
  <c r="O7" i="10"/>
  <c r="N7"/>
  <c r="O9"/>
  <c r="N6"/>
  <c r="O5"/>
  <c r="N4"/>
  <c r="D26" i="3"/>
  <c r="AN312"/>
  <c r="AN310"/>
  <c r="AN306"/>
  <c r="AN308"/>
  <c r="AJ159"/>
  <c r="T159"/>
  <c r="L159"/>
  <c r="R159"/>
  <c r="P159"/>
  <c r="G159"/>
  <c r="AE159"/>
  <c r="J163"/>
  <c r="M159"/>
  <c r="Z159"/>
  <c r="K159"/>
  <c r="J159"/>
  <c r="O159"/>
  <c r="D30"/>
  <c r="G160"/>
  <c r="W160"/>
  <c r="F160"/>
  <c r="V160"/>
  <c r="N160"/>
  <c r="AD160"/>
  <c r="O160"/>
  <c r="AE160"/>
  <c r="H160"/>
  <c r="I160"/>
  <c r="P160"/>
  <c r="J160"/>
  <c r="Q160"/>
  <c r="X160"/>
  <c r="K160"/>
  <c r="Y160"/>
  <c r="R160"/>
  <c r="AG160"/>
  <c r="L160"/>
  <c r="Z160"/>
  <c r="S160"/>
  <c r="AH160"/>
  <c r="T160"/>
  <c r="M160"/>
  <c r="AB160"/>
  <c r="U160"/>
  <c r="AJ160"/>
  <c r="AC160"/>
  <c r="AK160"/>
  <c r="E253"/>
  <c r="AM84"/>
  <c r="AL84"/>
  <c r="AL85"/>
  <c r="AM85"/>
  <c r="AL82"/>
  <c r="AM82"/>
  <c r="C194" i="6"/>
  <c r="C201" s="1"/>
  <c r="D206" s="1"/>
  <c r="D208" s="1"/>
  <c r="D210" s="1"/>
  <c r="D212" s="1"/>
  <c r="C191"/>
  <c r="C197" s="1"/>
  <c r="D205" s="1"/>
  <c r="D207" s="1"/>
  <c r="D209" s="1"/>
  <c r="D211" s="1"/>
  <c r="B191"/>
  <c r="B164" i="10" s="1"/>
  <c r="J9" s="1"/>
  <c r="J16" s="1"/>
  <c r="C172" i="6"/>
  <c r="C179" s="1"/>
  <c r="D184" s="1"/>
  <c r="D186" s="1"/>
  <c r="D188" s="1"/>
  <c r="D190" s="1"/>
  <c r="C169"/>
  <c r="C175" s="1"/>
  <c r="D183" s="1"/>
  <c r="D185" s="1"/>
  <c r="D187" s="1"/>
  <c r="D189" s="1"/>
  <c r="B169"/>
  <c r="B132" i="10" s="1"/>
  <c r="J8" s="1"/>
  <c r="J15" s="1"/>
  <c r="C150" i="6"/>
  <c r="C157" s="1"/>
  <c r="D162" s="1"/>
  <c r="D164" s="1"/>
  <c r="D166" s="1"/>
  <c r="D168" s="1"/>
  <c r="C147"/>
  <c r="C153" s="1"/>
  <c r="D161" s="1"/>
  <c r="D163" s="1"/>
  <c r="D165" s="1"/>
  <c r="D167" s="1"/>
  <c r="B147"/>
  <c r="B100" i="10" s="1"/>
  <c r="J7" s="1"/>
  <c r="J14" s="1"/>
  <c r="J21" s="1"/>
  <c r="C128" i="6"/>
  <c r="C135" s="1"/>
  <c r="D140" s="1"/>
  <c r="D142" s="1"/>
  <c r="D144" s="1"/>
  <c r="D146" s="1"/>
  <c r="C125"/>
  <c r="C131" s="1"/>
  <c r="D139" s="1"/>
  <c r="D141" s="1"/>
  <c r="D143" s="1"/>
  <c r="D145" s="1"/>
  <c r="B125"/>
  <c r="B68" i="10" s="1"/>
  <c r="J6" s="1"/>
  <c r="J13" s="1"/>
  <c r="J20" s="1"/>
  <c r="P9"/>
  <c r="Q9"/>
  <c r="P8"/>
  <c r="Q8"/>
  <c r="Q6"/>
  <c r="P5"/>
  <c r="Q5"/>
  <c r="Q4"/>
  <c r="P4"/>
  <c r="AE88" i="3" l="1"/>
  <c r="AE90" s="1"/>
  <c r="AD88"/>
  <c r="AD90" s="1"/>
  <c r="AB89"/>
  <c r="AB313" s="1"/>
  <c r="V89"/>
  <c r="V313" s="1"/>
  <c r="P89"/>
  <c r="P313" s="1"/>
  <c r="I88"/>
  <c r="I90" s="1"/>
  <c r="AB94"/>
  <c r="AB331" s="1"/>
  <c r="G97"/>
  <c r="AF97"/>
  <c r="J97"/>
  <c r="M97"/>
  <c r="M99" s="1"/>
  <c r="AF99"/>
  <c r="G99"/>
  <c r="J99"/>
  <c r="T88"/>
  <c r="T90" s="1"/>
  <c r="L94"/>
  <c r="L331" s="1"/>
  <c r="R94"/>
  <c r="R331" s="1"/>
  <c r="Z89"/>
  <c r="Z313" s="1"/>
  <c r="Y88"/>
  <c r="Y90" s="1"/>
  <c r="X88"/>
  <c r="X90" s="1"/>
  <c r="AH94"/>
  <c r="AH331" s="1"/>
  <c r="AG94"/>
  <c r="AG331" s="1"/>
  <c r="AE94"/>
  <c r="AE331" s="1"/>
  <c r="AD94"/>
  <c r="AD331" s="1"/>
  <c r="AA94"/>
  <c r="AA331" s="1"/>
  <c r="Z94"/>
  <c r="Z331" s="1"/>
  <c r="Y94"/>
  <c r="Y331" s="1"/>
  <c r="X94"/>
  <c r="X331" s="1"/>
  <c r="V94"/>
  <c r="V331" s="1"/>
  <c r="U94"/>
  <c r="U331" s="1"/>
  <c r="T94"/>
  <c r="T331" s="1"/>
  <c r="P94"/>
  <c r="P331" s="1"/>
  <c r="O94"/>
  <c r="O331" s="1"/>
  <c r="N94"/>
  <c r="N331" s="1"/>
  <c r="I94"/>
  <c r="I331" s="1"/>
  <c r="H94"/>
  <c r="H331" s="1"/>
  <c r="F94"/>
  <c r="F331" s="1"/>
  <c r="L88"/>
  <c r="L90" s="1"/>
  <c r="H89"/>
  <c r="H313" s="1"/>
  <c r="F89"/>
  <c r="F88"/>
  <c r="F90" s="1"/>
  <c r="X313"/>
  <c r="W97"/>
  <c r="W99" s="1"/>
  <c r="W100" s="1"/>
  <c r="O97"/>
  <c r="O99" s="1"/>
  <c r="AE97"/>
  <c r="AE99" s="1"/>
  <c r="AE100" s="1"/>
  <c r="AD97"/>
  <c r="AD99" s="1"/>
  <c r="V97"/>
  <c r="V99" s="1"/>
  <c r="N97"/>
  <c r="N99" s="1"/>
  <c r="F97"/>
  <c r="H97"/>
  <c r="H99" s="1"/>
  <c r="H100" s="1"/>
  <c r="I97"/>
  <c r="I99" s="1"/>
  <c r="P97"/>
  <c r="P99" s="1"/>
  <c r="P101" s="1"/>
  <c r="P335" s="1"/>
  <c r="X97"/>
  <c r="X99" s="1"/>
  <c r="AG97"/>
  <c r="AG99" s="1"/>
  <c r="AG101" s="1"/>
  <c r="Y97"/>
  <c r="Y99" s="1"/>
  <c r="Y100" s="1"/>
  <c r="R97"/>
  <c r="R99" s="1"/>
  <c r="R100" s="1"/>
  <c r="AH97"/>
  <c r="AH99" s="1"/>
  <c r="AH101" s="1"/>
  <c r="AH335" s="1"/>
  <c r="L97"/>
  <c r="L99" s="1"/>
  <c r="Z97"/>
  <c r="Z99" s="1"/>
  <c r="AA97"/>
  <c r="AA99" s="1"/>
  <c r="T97"/>
  <c r="T99" s="1"/>
  <c r="AJ97"/>
  <c r="AJ99" s="1"/>
  <c r="AJ100" s="1"/>
  <c r="AB97"/>
  <c r="AB99" s="1"/>
  <c r="U97"/>
  <c r="U99" s="1"/>
  <c r="U100" s="1"/>
  <c r="AK97"/>
  <c r="AK99" s="1"/>
  <c r="AK100" s="1"/>
  <c r="AC97"/>
  <c r="AC99" s="1"/>
  <c r="AC100" s="1"/>
  <c r="AK331"/>
  <c r="AK95"/>
  <c r="W331"/>
  <c r="W95"/>
  <c r="AC331"/>
  <c r="AC95"/>
  <c r="AJ95"/>
  <c r="AJ331"/>
  <c r="AN309"/>
  <c r="D130"/>
  <c r="B115"/>
  <c r="B350"/>
  <c r="D123"/>
  <c r="B120"/>
  <c r="B354"/>
  <c r="S100"/>
  <c r="AF100"/>
  <c r="G100"/>
  <c r="J100"/>
  <c r="AM158"/>
  <c r="V95"/>
  <c r="M95"/>
  <c r="J101"/>
  <c r="J95"/>
  <c r="S95"/>
  <c r="S101"/>
  <c r="S335" s="1"/>
  <c r="G101"/>
  <c r="G95"/>
  <c r="G103"/>
  <c r="V103"/>
  <c r="AD103"/>
  <c r="N103"/>
  <c r="O103"/>
  <c r="AE103"/>
  <c r="H103"/>
  <c r="I103"/>
  <c r="P103"/>
  <c r="X103"/>
  <c r="AF103"/>
  <c r="J103"/>
  <c r="AG103"/>
  <c r="Y103"/>
  <c r="R103"/>
  <c r="Z103"/>
  <c r="S103"/>
  <c r="S106" s="1"/>
  <c r="S353" s="1"/>
  <c r="AH103"/>
  <c r="L103"/>
  <c r="AA103"/>
  <c r="M103"/>
  <c r="T103"/>
  <c r="AB103"/>
  <c r="U103"/>
  <c r="AB95"/>
  <c r="AF95"/>
  <c r="AF101"/>
  <c r="I95"/>
  <c r="AL158"/>
  <c r="I171" s="1"/>
  <c r="AL155"/>
  <c r="F171" s="1"/>
  <c r="AM156"/>
  <c r="AM155"/>
  <c r="AM91"/>
  <c r="AL156"/>
  <c r="G171" s="1"/>
  <c r="AL91"/>
  <c r="F103"/>
  <c r="F99"/>
  <c r="F95"/>
  <c r="AL157"/>
  <c r="H171" s="1"/>
  <c r="AM157"/>
  <c r="AL92"/>
  <c r="D32"/>
  <c r="AM92"/>
  <c r="C48" i="6"/>
  <c r="L48" s="1"/>
  <c r="U48" s="1"/>
  <c r="C50"/>
  <c r="L50" s="1"/>
  <c r="U50" s="1"/>
  <c r="C44"/>
  <c r="L44" s="1"/>
  <c r="U44" s="1"/>
  <c r="C46"/>
  <c r="L46" s="1"/>
  <c r="U46" s="1"/>
  <c r="AL159" i="3"/>
  <c r="J171" s="1"/>
  <c r="AM159"/>
  <c r="D36"/>
  <c r="AM96"/>
  <c r="AL96"/>
  <c r="AM160"/>
  <c r="AL160"/>
  <c r="K171" s="1"/>
  <c r="AN84"/>
  <c r="E254"/>
  <c r="AN85"/>
  <c r="AM87"/>
  <c r="AL87"/>
  <c r="AN82"/>
  <c r="AL83"/>
  <c r="AM83"/>
  <c r="C106" i="6"/>
  <c r="C113" s="1"/>
  <c r="D118" s="1"/>
  <c r="D120" s="1"/>
  <c r="D122" s="1"/>
  <c r="D124" s="1"/>
  <c r="C103"/>
  <c r="C109" s="1"/>
  <c r="D117" s="1"/>
  <c r="D119" s="1"/>
  <c r="D121" s="1"/>
  <c r="D123" s="1"/>
  <c r="B103"/>
  <c r="B36" i="10" s="1"/>
  <c r="J5" s="1"/>
  <c r="J12" s="1"/>
  <c r="J19" s="1"/>
  <c r="C84" i="6"/>
  <c r="C81"/>
  <c r="B81"/>
  <c r="B4" i="10" s="1"/>
  <c r="J4" s="1"/>
  <c r="J11" s="1"/>
  <c r="J18" s="1"/>
  <c r="C95" i="6"/>
  <c r="C117" s="1"/>
  <c r="C139" s="1"/>
  <c r="C161" s="1"/>
  <c r="C183" s="1"/>
  <c r="C205" s="1"/>
  <c r="E99"/>
  <c r="E97"/>
  <c r="E95"/>
  <c r="P7" i="10"/>
  <c r="Q7"/>
  <c r="P6"/>
  <c r="AF335" i="3" l="1"/>
  <c r="U95"/>
  <c r="L95"/>
  <c r="J335"/>
  <c r="AA95"/>
  <c r="N95"/>
  <c r="Z95"/>
  <c r="G335"/>
  <c r="O95"/>
  <c r="R95"/>
  <c r="R102" s="1"/>
  <c r="AH95"/>
  <c r="P95"/>
  <c r="M101"/>
  <c r="M335" s="1"/>
  <c r="M100"/>
  <c r="G104"/>
  <c r="AF104"/>
  <c r="AF106" s="1"/>
  <c r="J104"/>
  <c r="J106" s="1"/>
  <c r="M104"/>
  <c r="M106"/>
  <c r="M353" s="1"/>
  <c r="G106"/>
  <c r="G353" s="1"/>
  <c r="AE95"/>
  <c r="AE102" s="1"/>
  <c r="T95"/>
  <c r="AL313"/>
  <c r="H95"/>
  <c r="H102" s="1"/>
  <c r="AD95"/>
  <c r="X95"/>
  <c r="AJ101"/>
  <c r="AJ335" s="1"/>
  <c r="AH100"/>
  <c r="AH102" s="1"/>
  <c r="AG100"/>
  <c r="AM94"/>
  <c r="AG95"/>
  <c r="AE101"/>
  <c r="AE335" s="1"/>
  <c r="AD100"/>
  <c r="AD101"/>
  <c r="AD335" s="1"/>
  <c r="AC101"/>
  <c r="AC335" s="1"/>
  <c r="AC102"/>
  <c r="AL94"/>
  <c r="Y95"/>
  <c r="Y102" s="1"/>
  <c r="Y101"/>
  <c r="Y335" s="1"/>
  <c r="W101"/>
  <c r="W335" s="1"/>
  <c r="W102"/>
  <c r="U101"/>
  <c r="U335" s="1"/>
  <c r="AL331"/>
  <c r="R101"/>
  <c r="R335" s="1"/>
  <c r="P100"/>
  <c r="O101"/>
  <c r="O335" s="1"/>
  <c r="O100"/>
  <c r="N100"/>
  <c r="N101"/>
  <c r="N335" s="1"/>
  <c r="L100"/>
  <c r="L102" s="1"/>
  <c r="L101"/>
  <c r="H101"/>
  <c r="H335" s="1"/>
  <c r="AM331"/>
  <c r="AM313"/>
  <c r="L335"/>
  <c r="AG335"/>
  <c r="AN155"/>
  <c r="T100"/>
  <c r="T101"/>
  <c r="T335" s="1"/>
  <c r="AK102"/>
  <c r="AK101"/>
  <c r="AK335" s="1"/>
  <c r="AB100"/>
  <c r="AB102" s="1"/>
  <c r="AB101"/>
  <c r="AB335" s="1"/>
  <c r="Z100"/>
  <c r="Z101"/>
  <c r="Z335" s="1"/>
  <c r="I100"/>
  <c r="I102" s="1"/>
  <c r="I101"/>
  <c r="I335" s="1"/>
  <c r="V101"/>
  <c r="V335" s="1"/>
  <c r="V100"/>
  <c r="V102" s="1"/>
  <c r="AA101"/>
  <c r="AA335" s="1"/>
  <c r="AA100"/>
  <c r="X100"/>
  <c r="X101"/>
  <c r="X335" s="1"/>
  <c r="AJ102"/>
  <c r="AD104"/>
  <c r="AD106" s="1"/>
  <c r="AE104"/>
  <c r="AE106" s="1"/>
  <c r="N104"/>
  <c r="N106" s="1"/>
  <c r="N353" s="1"/>
  <c r="V104"/>
  <c r="V106" s="1"/>
  <c r="W104"/>
  <c r="W106" s="1"/>
  <c r="O104"/>
  <c r="O106" s="1"/>
  <c r="F104"/>
  <c r="F106" s="1"/>
  <c r="F353" s="1"/>
  <c r="H104"/>
  <c r="H106" s="1"/>
  <c r="I104"/>
  <c r="I106" s="1"/>
  <c r="P104"/>
  <c r="P106" s="1"/>
  <c r="X104"/>
  <c r="X106" s="1"/>
  <c r="Y104"/>
  <c r="Y106" s="1"/>
  <c r="R104"/>
  <c r="R106" s="1"/>
  <c r="AG104"/>
  <c r="AG106" s="1"/>
  <c r="AG353" s="1"/>
  <c r="AH104"/>
  <c r="AH106" s="1"/>
  <c r="L104"/>
  <c r="L106" s="1"/>
  <c r="Z104"/>
  <c r="Z106" s="1"/>
  <c r="AA104"/>
  <c r="AA106" s="1"/>
  <c r="AA353" s="1"/>
  <c r="T104"/>
  <c r="T106" s="1"/>
  <c r="AJ104"/>
  <c r="AJ106" s="1"/>
  <c r="AB104"/>
  <c r="AB106" s="1"/>
  <c r="U104"/>
  <c r="U106" s="1"/>
  <c r="AC104"/>
  <c r="AC106" s="1"/>
  <c r="AK104"/>
  <c r="AK106" s="1"/>
  <c r="G102"/>
  <c r="J102"/>
  <c r="D135"/>
  <c r="D142"/>
  <c r="U102"/>
  <c r="M102"/>
  <c r="B127"/>
  <c r="B372"/>
  <c r="B132"/>
  <c r="B376"/>
  <c r="F100"/>
  <c r="F102" s="1"/>
  <c r="F335"/>
  <c r="AF102"/>
  <c r="S102"/>
  <c r="AN158"/>
  <c r="M107"/>
  <c r="S107"/>
  <c r="G107"/>
  <c r="AD108"/>
  <c r="V108"/>
  <c r="O108"/>
  <c r="AE108"/>
  <c r="G108"/>
  <c r="N108"/>
  <c r="H108"/>
  <c r="P108"/>
  <c r="I108"/>
  <c r="AF108"/>
  <c r="X108"/>
  <c r="J108"/>
  <c r="Y108"/>
  <c r="AG108"/>
  <c r="R108"/>
  <c r="Z108"/>
  <c r="L108"/>
  <c r="AH108"/>
  <c r="S108"/>
  <c r="S111" s="1"/>
  <c r="AA108"/>
  <c r="M108"/>
  <c r="T108"/>
  <c r="AB108"/>
  <c r="U108"/>
  <c r="AN91"/>
  <c r="AN156"/>
  <c r="F108"/>
  <c r="F101"/>
  <c r="AN157"/>
  <c r="AN92"/>
  <c r="AL97"/>
  <c r="D38"/>
  <c r="AM97"/>
  <c r="C75" i="6"/>
  <c r="AD46" s="1"/>
  <c r="J17" i="10"/>
  <c r="C69" i="6"/>
  <c r="C57" s="1"/>
  <c r="B428" i="3" s="1"/>
  <c r="J10" i="10"/>
  <c r="C40" i="6"/>
  <c r="L40" s="1"/>
  <c r="U40" s="1"/>
  <c r="C42"/>
  <c r="L42" s="1"/>
  <c r="U42" s="1"/>
  <c r="AN159" i="3"/>
  <c r="AM103"/>
  <c r="AL103"/>
  <c r="AL99"/>
  <c r="AM99"/>
  <c r="D42"/>
  <c r="AN96"/>
  <c r="AN160"/>
  <c r="E255"/>
  <c r="AL89"/>
  <c r="F172" s="1"/>
  <c r="AM89"/>
  <c r="AN87"/>
  <c r="AM90"/>
  <c r="AM88"/>
  <c r="AL88"/>
  <c r="AN83"/>
  <c r="E119" i="6"/>
  <c r="E141" s="1"/>
  <c r="E163" s="1"/>
  <c r="E185" s="1"/>
  <c r="E207" s="1"/>
  <c r="K40"/>
  <c r="E117"/>
  <c r="E139" s="1"/>
  <c r="E161" s="1"/>
  <c r="E183" s="1"/>
  <c r="E205" s="1"/>
  <c r="B40"/>
  <c r="E121"/>
  <c r="E143" s="1"/>
  <c r="E165" s="1"/>
  <c r="E187" s="1"/>
  <c r="E209" s="1"/>
  <c r="T40"/>
  <c r="E88"/>
  <c r="E110" s="1"/>
  <c r="E132" s="1"/>
  <c r="E154" s="1"/>
  <c r="E176" s="1"/>
  <c r="E198" s="1"/>
  <c r="E87"/>
  <c r="E109" s="1"/>
  <c r="E131" s="1"/>
  <c r="E153" s="1"/>
  <c r="E175" s="1"/>
  <c r="E197" s="1"/>
  <c r="E83"/>
  <c r="E105" s="1"/>
  <c r="E127" s="1"/>
  <c r="E149" s="1"/>
  <c r="E171" s="1"/>
  <c r="E193" s="1"/>
  <c r="E82"/>
  <c r="E104" s="1"/>
  <c r="E126" s="1"/>
  <c r="E148" s="1"/>
  <c r="E170" s="1"/>
  <c r="E192" s="1"/>
  <c r="E81"/>
  <c r="E103" s="1"/>
  <c r="E125" s="1"/>
  <c r="E147" s="1"/>
  <c r="E169" s="1"/>
  <c r="E191" s="1"/>
  <c r="E90"/>
  <c r="E89"/>
  <c r="E111" s="1"/>
  <c r="E133" s="1"/>
  <c r="E155" s="1"/>
  <c r="E177" s="1"/>
  <c r="E199" s="1"/>
  <c r="C91"/>
  <c r="C87"/>
  <c r="I53"/>
  <c r="C26"/>
  <c r="C28" s="1"/>
  <c r="C30" s="1"/>
  <c r="C32" s="1"/>
  <c r="C34" s="1"/>
  <c r="C25"/>
  <c r="C27" s="1"/>
  <c r="C29" s="1"/>
  <c r="C31" s="1"/>
  <c r="C33" s="1"/>
  <c r="AA102" i="3" l="1"/>
  <c r="Z102"/>
  <c r="X102"/>
  <c r="P102"/>
  <c r="AN313"/>
  <c r="O102"/>
  <c r="N102"/>
  <c r="T102"/>
  <c r="J353"/>
  <c r="J107"/>
  <c r="AF353"/>
  <c r="AF107"/>
  <c r="G109"/>
  <c r="G111" s="1"/>
  <c r="J109"/>
  <c r="AF109"/>
  <c r="M109"/>
  <c r="M111" s="1"/>
  <c r="AF111"/>
  <c r="J111"/>
  <c r="AG102"/>
  <c r="AD102"/>
  <c r="AN94"/>
  <c r="AA107"/>
  <c r="P353"/>
  <c r="P107"/>
  <c r="N107"/>
  <c r="I353"/>
  <c r="I107"/>
  <c r="AL95"/>
  <c r="AM95"/>
  <c r="AN331"/>
  <c r="O353"/>
  <c r="O107"/>
  <c r="AG107"/>
  <c r="U353"/>
  <c r="U107"/>
  <c r="Z353"/>
  <c r="Z107"/>
  <c r="AE353"/>
  <c r="AE107"/>
  <c r="T353"/>
  <c r="T107"/>
  <c r="AH353"/>
  <c r="AH107"/>
  <c r="X353"/>
  <c r="X107"/>
  <c r="L353"/>
  <c r="L107"/>
  <c r="Y353"/>
  <c r="Y107"/>
  <c r="H353"/>
  <c r="H107"/>
  <c r="V353"/>
  <c r="V107"/>
  <c r="AB353"/>
  <c r="AB107"/>
  <c r="R353"/>
  <c r="R107"/>
  <c r="AD353"/>
  <c r="AD107"/>
  <c r="AC353"/>
  <c r="AC107"/>
  <c r="V109"/>
  <c r="V111" s="1"/>
  <c r="V112" s="1"/>
  <c r="F109"/>
  <c r="F111" s="1"/>
  <c r="O109"/>
  <c r="O111" s="1"/>
  <c r="AE109"/>
  <c r="AE111" s="1"/>
  <c r="AE112" s="1"/>
  <c r="W109"/>
  <c r="W111" s="1"/>
  <c r="W112" s="1"/>
  <c r="AD109"/>
  <c r="AD111" s="1"/>
  <c r="AD113" s="1"/>
  <c r="N109"/>
  <c r="N111" s="1"/>
  <c r="H109"/>
  <c r="H111" s="1"/>
  <c r="I109"/>
  <c r="I111" s="1"/>
  <c r="P109"/>
  <c r="P111" s="1"/>
  <c r="X109"/>
  <c r="X111" s="1"/>
  <c r="AG109"/>
  <c r="AG111" s="1"/>
  <c r="R109"/>
  <c r="R111" s="1"/>
  <c r="Y109"/>
  <c r="Y111" s="1"/>
  <c r="Y113" s="1"/>
  <c r="Y357" s="1"/>
  <c r="L109"/>
  <c r="L111" s="1"/>
  <c r="Z109"/>
  <c r="Z111" s="1"/>
  <c r="Z112" s="1"/>
  <c r="Z114" s="1"/>
  <c r="AH109"/>
  <c r="AH111" s="1"/>
  <c r="AH112" s="1"/>
  <c r="AA109"/>
  <c r="AA111" s="1"/>
  <c r="AA112" s="1"/>
  <c r="T109"/>
  <c r="T111" s="1"/>
  <c r="U109"/>
  <c r="U111" s="1"/>
  <c r="AJ109"/>
  <c r="AJ111" s="1"/>
  <c r="AJ112" s="1"/>
  <c r="AB109"/>
  <c r="AB111" s="1"/>
  <c r="AC109"/>
  <c r="AC111" s="1"/>
  <c r="AC112" s="1"/>
  <c r="AK109"/>
  <c r="AK111" s="1"/>
  <c r="AK113" s="1"/>
  <c r="AK353"/>
  <c r="AK107"/>
  <c r="AJ107"/>
  <c r="AJ353"/>
  <c r="W353"/>
  <c r="W107"/>
  <c r="E91" i="6"/>
  <c r="E113" s="1"/>
  <c r="E135" s="1"/>
  <c r="E157" s="1"/>
  <c r="E179" s="1"/>
  <c r="E201" s="1"/>
  <c r="AF112" i="3"/>
  <c r="AF114" s="1"/>
  <c r="D147"/>
  <c r="S112"/>
  <c r="S114" s="1"/>
  <c r="B144"/>
  <c r="E166" s="1"/>
  <c r="E168" s="1"/>
  <c r="E170" s="1"/>
  <c r="B398"/>
  <c r="J112"/>
  <c r="J114" s="1"/>
  <c r="B139"/>
  <c r="E165" s="1"/>
  <c r="E167" s="1"/>
  <c r="E169" s="1"/>
  <c r="B394"/>
  <c r="J113"/>
  <c r="AL335"/>
  <c r="AM335"/>
  <c r="AF113"/>
  <c r="AF357" s="1"/>
  <c r="G115"/>
  <c r="O115"/>
  <c r="AE115"/>
  <c r="V115"/>
  <c r="AD115"/>
  <c r="N115"/>
  <c r="H115"/>
  <c r="P115"/>
  <c r="I115"/>
  <c r="X115"/>
  <c r="AF115"/>
  <c r="J115"/>
  <c r="R115"/>
  <c r="Y115"/>
  <c r="AG115"/>
  <c r="L115"/>
  <c r="Z115"/>
  <c r="S115"/>
  <c r="S118" s="1"/>
  <c r="S375" s="1"/>
  <c r="AH115"/>
  <c r="AA115"/>
  <c r="T115"/>
  <c r="M115"/>
  <c r="AB115"/>
  <c r="U115"/>
  <c r="S113"/>
  <c r="S357" s="1"/>
  <c r="E92" i="6"/>
  <c r="E114" s="1"/>
  <c r="E136" s="1"/>
  <c r="E158" s="1"/>
  <c r="E180" s="1"/>
  <c r="E202" s="1"/>
  <c r="F115" i="3"/>
  <c r="F107"/>
  <c r="AD40" i="6"/>
  <c r="AN97" i="3"/>
  <c r="C63" i="6"/>
  <c r="B434" i="3" s="1"/>
  <c r="AL104"/>
  <c r="AM104"/>
  <c r="D44"/>
  <c r="AL90"/>
  <c r="F173" s="1"/>
  <c r="F248" s="1"/>
  <c r="AN89"/>
  <c r="AN99"/>
  <c r="AL101"/>
  <c r="G172" s="1"/>
  <c r="AM101"/>
  <c r="AL108"/>
  <c r="AM108"/>
  <c r="D48"/>
  <c r="AM100"/>
  <c r="AL100"/>
  <c r="AL106"/>
  <c r="AM106"/>
  <c r="AN103"/>
  <c r="AN88"/>
  <c r="F215"/>
  <c r="F193"/>
  <c r="F220"/>
  <c r="F184"/>
  <c r="F232"/>
  <c r="F222"/>
  <c r="F204"/>
  <c r="F180"/>
  <c r="F231"/>
  <c r="F219"/>
  <c r="F207"/>
  <c r="F195"/>
  <c r="F181"/>
  <c r="F216"/>
  <c r="F196"/>
  <c r="F176"/>
  <c r="F221"/>
  <c r="F199"/>
  <c r="F177"/>
  <c r="F194"/>
  <c r="F234"/>
  <c r="F224"/>
  <c r="F210"/>
  <c r="F188"/>
  <c r="F235"/>
  <c r="F223"/>
  <c r="F211"/>
  <c r="F197"/>
  <c r="F185"/>
  <c r="F226"/>
  <c r="F202"/>
  <c r="F182"/>
  <c r="F227"/>
  <c r="F203"/>
  <c r="F183"/>
  <c r="F200"/>
  <c r="F236"/>
  <c r="F228"/>
  <c r="F214"/>
  <c r="F192"/>
  <c r="F237"/>
  <c r="F225"/>
  <c r="F213"/>
  <c r="F201"/>
  <c r="F187"/>
  <c r="F175"/>
  <c r="F206"/>
  <c r="F186"/>
  <c r="F233"/>
  <c r="F209"/>
  <c r="F189"/>
  <c r="F208"/>
  <c r="F178"/>
  <c r="F238"/>
  <c r="F230"/>
  <c r="F218"/>
  <c r="F198"/>
  <c r="F229"/>
  <c r="F217"/>
  <c r="F205"/>
  <c r="F191"/>
  <c r="F179"/>
  <c r="F212"/>
  <c r="F190"/>
  <c r="E256"/>
  <c r="E85" i="6"/>
  <c r="E107" s="1"/>
  <c r="E129" s="1"/>
  <c r="E151" s="1"/>
  <c r="E173" s="1"/>
  <c r="E195" s="1"/>
  <c r="E84"/>
  <c r="E106" s="1"/>
  <c r="E128" s="1"/>
  <c r="E150" s="1"/>
  <c r="E172" s="1"/>
  <c r="E194" s="1"/>
  <c r="E86"/>
  <c r="E108" s="1"/>
  <c r="E130" s="1"/>
  <c r="E152" s="1"/>
  <c r="E174" s="1"/>
  <c r="E196" s="1"/>
  <c r="E93"/>
  <c r="E115" s="1"/>
  <c r="E137" s="1"/>
  <c r="E159" s="1"/>
  <c r="E181" s="1"/>
  <c r="E203" s="1"/>
  <c r="E94"/>
  <c r="E116" s="1"/>
  <c r="E138" s="1"/>
  <c r="E160" s="1"/>
  <c r="E182" s="1"/>
  <c r="E204" s="1"/>
  <c r="E112"/>
  <c r="E134" s="1"/>
  <c r="E156" s="1"/>
  <c r="E178" s="1"/>
  <c r="E200" s="1"/>
  <c r="D95"/>
  <c r="D96"/>
  <c r="N19"/>
  <c r="N18"/>
  <c r="P10"/>
  <c r="O10"/>
  <c r="N10"/>
  <c r="C11" i="3"/>
  <c r="C17" s="1"/>
  <c r="C23" s="1"/>
  <c r="C29" s="1"/>
  <c r="C35" s="1"/>
  <c r="C41" s="1"/>
  <c r="C47" s="1"/>
  <c r="C53" s="1"/>
  <c r="C59" s="1"/>
  <c r="C65" s="1"/>
  <c r="C71" s="1"/>
  <c r="C308" s="1"/>
  <c r="C10"/>
  <c r="C9"/>
  <c r="C15" s="1"/>
  <c r="C21" s="1"/>
  <c r="C27" s="1"/>
  <c r="C33" s="1"/>
  <c r="C39" s="1"/>
  <c r="C45" s="1"/>
  <c r="C51" s="1"/>
  <c r="C57" s="1"/>
  <c r="C63" s="1"/>
  <c r="C69" s="1"/>
  <c r="C306" s="1"/>
  <c r="AH114" l="1"/>
  <c r="J357"/>
  <c r="G112"/>
  <c r="G114" s="1"/>
  <c r="G113"/>
  <c r="G357" s="1"/>
  <c r="M112"/>
  <c r="M114" s="1"/>
  <c r="M113"/>
  <c r="M357" s="1"/>
  <c r="G116"/>
  <c r="G118" s="1"/>
  <c r="J116"/>
  <c r="AF116"/>
  <c r="AF118" s="1"/>
  <c r="M116"/>
  <c r="J118"/>
  <c r="J375" s="1"/>
  <c r="M118"/>
  <c r="M375" s="1"/>
  <c r="AE114"/>
  <c r="AJ113"/>
  <c r="AJ357" s="1"/>
  <c r="AJ114"/>
  <c r="AH113"/>
  <c r="AH357" s="1"/>
  <c r="AG112"/>
  <c r="AG114" s="1"/>
  <c r="AG113"/>
  <c r="AG357" s="1"/>
  <c r="AE113"/>
  <c r="AE357" s="1"/>
  <c r="AD112"/>
  <c r="AD114" s="1"/>
  <c r="AD357"/>
  <c r="AA114"/>
  <c r="AA113"/>
  <c r="AA357" s="1"/>
  <c r="Z113"/>
  <c r="Z357" s="1"/>
  <c r="Y112"/>
  <c r="Y114" s="1"/>
  <c r="W114"/>
  <c r="W113"/>
  <c r="W357" s="1"/>
  <c r="V114"/>
  <c r="V113"/>
  <c r="V357" s="1"/>
  <c r="T112"/>
  <c r="T114" s="1"/>
  <c r="T113"/>
  <c r="T357" s="1"/>
  <c r="P112"/>
  <c r="P114" s="1"/>
  <c r="P113"/>
  <c r="P357" s="1"/>
  <c r="N112"/>
  <c r="N114" s="1"/>
  <c r="N113"/>
  <c r="N357" s="1"/>
  <c r="L112"/>
  <c r="L114" s="1"/>
  <c r="L113"/>
  <c r="L357" s="1"/>
  <c r="I112"/>
  <c r="I114" s="1"/>
  <c r="I113"/>
  <c r="I357" s="1"/>
  <c r="AN95"/>
  <c r="AL353"/>
  <c r="AM353"/>
  <c r="U112"/>
  <c r="U114" s="1"/>
  <c r="U113"/>
  <c r="U357" s="1"/>
  <c r="X112"/>
  <c r="X114" s="1"/>
  <c r="X113"/>
  <c r="X357" s="1"/>
  <c r="O113"/>
  <c r="O357" s="1"/>
  <c r="O112"/>
  <c r="O114" s="1"/>
  <c r="H112"/>
  <c r="H114" s="1"/>
  <c r="H113"/>
  <c r="H357" s="1"/>
  <c r="R113"/>
  <c r="R357" s="1"/>
  <c r="R112"/>
  <c r="R114" s="1"/>
  <c r="AB112"/>
  <c r="AB114" s="1"/>
  <c r="AB113"/>
  <c r="AB357" s="1"/>
  <c r="AC114"/>
  <c r="AC113"/>
  <c r="AC357" s="1"/>
  <c r="V116"/>
  <c r="V118" s="1"/>
  <c r="O116"/>
  <c r="O118" s="1"/>
  <c r="W116"/>
  <c r="W118" s="1"/>
  <c r="F116"/>
  <c r="F118" s="1"/>
  <c r="F375" s="1"/>
  <c r="N116"/>
  <c r="N118" s="1"/>
  <c r="N375" s="1"/>
  <c r="AD116"/>
  <c r="AD118" s="1"/>
  <c r="AE116"/>
  <c r="AE118" s="1"/>
  <c r="H116"/>
  <c r="H118" s="1"/>
  <c r="I116"/>
  <c r="I118" s="1"/>
  <c r="P116"/>
  <c r="P118" s="1"/>
  <c r="X116"/>
  <c r="X118" s="1"/>
  <c r="X375" s="1"/>
  <c r="AG116"/>
  <c r="AG118" s="1"/>
  <c r="Y116"/>
  <c r="Y118" s="1"/>
  <c r="Y375" s="1"/>
  <c r="R116"/>
  <c r="R118" s="1"/>
  <c r="Z116"/>
  <c r="Z118" s="1"/>
  <c r="L116"/>
  <c r="L118" s="1"/>
  <c r="AH116"/>
  <c r="AH118" s="1"/>
  <c r="AA116"/>
  <c r="AA118" s="1"/>
  <c r="T116"/>
  <c r="T118" s="1"/>
  <c r="AJ116"/>
  <c r="AJ118" s="1"/>
  <c r="AB116"/>
  <c r="AB118" s="1"/>
  <c r="U116"/>
  <c r="U118" s="1"/>
  <c r="AK116"/>
  <c r="AK118" s="1"/>
  <c r="AC116"/>
  <c r="AC118" s="1"/>
  <c r="AK112"/>
  <c r="AK114" s="1"/>
  <c r="AK357"/>
  <c r="F112"/>
  <c r="F114" s="1"/>
  <c r="F357"/>
  <c r="AN335"/>
  <c r="O120"/>
  <c r="G120"/>
  <c r="AE120"/>
  <c r="V120"/>
  <c r="AD120"/>
  <c r="N120"/>
  <c r="H120"/>
  <c r="I120"/>
  <c r="P120"/>
  <c r="AF120"/>
  <c r="X120"/>
  <c r="J120"/>
  <c r="AG120"/>
  <c r="R120"/>
  <c r="Y120"/>
  <c r="L120"/>
  <c r="AH120"/>
  <c r="Z120"/>
  <c r="S120"/>
  <c r="S123" s="1"/>
  <c r="S125" s="1"/>
  <c r="AA120"/>
  <c r="M120"/>
  <c r="T120"/>
  <c r="U120"/>
  <c r="AB120"/>
  <c r="M119"/>
  <c r="S119"/>
  <c r="F120"/>
  <c r="C310"/>
  <c r="C312"/>
  <c r="F113"/>
  <c r="AN104"/>
  <c r="AL109"/>
  <c r="AM109"/>
  <c r="D50"/>
  <c r="AN100"/>
  <c r="F246"/>
  <c r="F240"/>
  <c r="F242"/>
  <c r="F244"/>
  <c r="F243"/>
  <c r="F255"/>
  <c r="F253"/>
  <c r="F251"/>
  <c r="F249"/>
  <c r="F247"/>
  <c r="F245"/>
  <c r="F241"/>
  <c r="F239"/>
  <c r="AN90"/>
  <c r="F254"/>
  <c r="F252"/>
  <c r="F250"/>
  <c r="AN101"/>
  <c r="AN108"/>
  <c r="AM115"/>
  <c r="AL115"/>
  <c r="D54"/>
  <c r="G209"/>
  <c r="G208"/>
  <c r="G207"/>
  <c r="G210"/>
  <c r="G205"/>
  <c r="G204"/>
  <c r="G203"/>
  <c r="G206"/>
  <c r="G201"/>
  <c r="G200"/>
  <c r="G199"/>
  <c r="G202"/>
  <c r="G181"/>
  <c r="G180"/>
  <c r="G179"/>
  <c r="G182"/>
  <c r="G228"/>
  <c r="G193"/>
  <c r="G192"/>
  <c r="G191"/>
  <c r="G194"/>
  <c r="G189"/>
  <c r="G188"/>
  <c r="G187"/>
  <c r="G190"/>
  <c r="G185"/>
  <c r="G184"/>
  <c r="G183"/>
  <c r="G186"/>
  <c r="G229"/>
  <c r="G227"/>
  <c r="G230"/>
  <c r="G177"/>
  <c r="G176"/>
  <c r="G175"/>
  <c r="G178"/>
  <c r="G237"/>
  <c r="G236"/>
  <c r="G235"/>
  <c r="G238"/>
  <c r="G233"/>
  <c r="G232"/>
  <c r="G231"/>
  <c r="G234"/>
  <c r="G213"/>
  <c r="G212"/>
  <c r="G211"/>
  <c r="G214"/>
  <c r="G225"/>
  <c r="G224"/>
  <c r="G223"/>
  <c r="G226"/>
  <c r="G221"/>
  <c r="G220"/>
  <c r="G219"/>
  <c r="G222"/>
  <c r="G217"/>
  <c r="G216"/>
  <c r="G215"/>
  <c r="G218"/>
  <c r="G197"/>
  <c r="G196"/>
  <c r="G195"/>
  <c r="G198"/>
  <c r="F256"/>
  <c r="AL111"/>
  <c r="AM111"/>
  <c r="AL102"/>
  <c r="G173" s="1"/>
  <c r="AM102"/>
  <c r="AN106"/>
  <c r="AL107"/>
  <c r="AM107"/>
  <c r="E257"/>
  <c r="C16"/>
  <c r="C22" s="1"/>
  <c r="C12"/>
  <c r="D97" i="6"/>
  <c r="D99" s="1"/>
  <c r="D101" s="1"/>
  <c r="D40"/>
  <c r="D42" s="1"/>
  <c r="D44" s="1"/>
  <c r="D46" s="1"/>
  <c r="D48" s="1"/>
  <c r="D50" s="1"/>
  <c r="M40" s="1"/>
  <c r="M42" s="1"/>
  <c r="M44" s="1"/>
  <c r="M46" s="1"/>
  <c r="M48" s="1"/>
  <c r="M50" s="1"/>
  <c r="V40" s="1"/>
  <c r="V42" s="1"/>
  <c r="V44" s="1"/>
  <c r="V46" s="1"/>
  <c r="V48" s="1"/>
  <c r="V50" s="1"/>
  <c r="D98"/>
  <c r="D100" s="1"/>
  <c r="D102" s="1"/>
  <c r="D41"/>
  <c r="D43" s="1"/>
  <c r="D45" s="1"/>
  <c r="D47" s="1"/>
  <c r="D49" s="1"/>
  <c r="D51" s="1"/>
  <c r="M41" s="1"/>
  <c r="M43" s="1"/>
  <c r="M45" s="1"/>
  <c r="M47" s="1"/>
  <c r="M49" s="1"/>
  <c r="M51" s="1"/>
  <c r="V41" s="1"/>
  <c r="V43" s="1"/>
  <c r="V45" s="1"/>
  <c r="V47" s="1"/>
  <c r="V49" s="1"/>
  <c r="V51" s="1"/>
  <c r="G375" i="3" l="1"/>
  <c r="G119"/>
  <c r="AF375"/>
  <c r="AF119"/>
  <c r="J123"/>
  <c r="J124" s="1"/>
  <c r="J126" s="1"/>
  <c r="G121"/>
  <c r="AF121"/>
  <c r="J121"/>
  <c r="M121"/>
  <c r="M123" s="1"/>
  <c r="J119"/>
  <c r="AF123"/>
  <c r="G123"/>
  <c r="G125" s="1"/>
  <c r="G379" s="1"/>
  <c r="Y119"/>
  <c r="O375"/>
  <c r="O119"/>
  <c r="N119"/>
  <c r="AN353"/>
  <c r="X119"/>
  <c r="AB375"/>
  <c r="AB119"/>
  <c r="AH375"/>
  <c r="AH119"/>
  <c r="I375"/>
  <c r="I119"/>
  <c r="V375"/>
  <c r="V119"/>
  <c r="U375"/>
  <c r="U119"/>
  <c r="AA375"/>
  <c r="AA119"/>
  <c r="R375"/>
  <c r="R119"/>
  <c r="P375"/>
  <c r="P119"/>
  <c r="AD375"/>
  <c r="AD119"/>
  <c r="T375"/>
  <c r="T119"/>
  <c r="Z375"/>
  <c r="Z119"/>
  <c r="AE375"/>
  <c r="AE119"/>
  <c r="L375"/>
  <c r="L119"/>
  <c r="AG375"/>
  <c r="AG119"/>
  <c r="H375"/>
  <c r="H119"/>
  <c r="W121"/>
  <c r="W123" s="1"/>
  <c r="W124" s="1"/>
  <c r="AD121"/>
  <c r="AD123" s="1"/>
  <c r="V121"/>
  <c r="V123" s="1"/>
  <c r="V125" s="1"/>
  <c r="V379" s="1"/>
  <c r="AE121"/>
  <c r="AE123" s="1"/>
  <c r="N121"/>
  <c r="N123" s="1"/>
  <c r="O121"/>
  <c r="O123" s="1"/>
  <c r="F121"/>
  <c r="F123" s="1"/>
  <c r="H121"/>
  <c r="H123" s="1"/>
  <c r="I121"/>
  <c r="I123" s="1"/>
  <c r="I124" s="1"/>
  <c r="P121"/>
  <c r="P123" s="1"/>
  <c r="X121"/>
  <c r="X123" s="1"/>
  <c r="X125" s="1"/>
  <c r="Y121"/>
  <c r="Y123" s="1"/>
  <c r="AG121"/>
  <c r="AG123" s="1"/>
  <c r="R121"/>
  <c r="R123" s="1"/>
  <c r="AH121"/>
  <c r="AH123" s="1"/>
  <c r="L121"/>
  <c r="L123" s="1"/>
  <c r="Z121"/>
  <c r="Z123" s="1"/>
  <c r="Z124" s="1"/>
  <c r="AA121"/>
  <c r="AA123" s="1"/>
  <c r="T121"/>
  <c r="T123" s="1"/>
  <c r="AJ121"/>
  <c r="AJ123" s="1"/>
  <c r="AJ124" s="1"/>
  <c r="AB121"/>
  <c r="AB123" s="1"/>
  <c r="U121"/>
  <c r="U123" s="1"/>
  <c r="U125" s="1"/>
  <c r="AK121"/>
  <c r="AK123" s="1"/>
  <c r="AK124" s="1"/>
  <c r="AC121"/>
  <c r="AC123" s="1"/>
  <c r="AC124" s="1"/>
  <c r="AK375"/>
  <c r="AK119"/>
  <c r="W119"/>
  <c r="W375"/>
  <c r="AC119"/>
  <c r="AC375"/>
  <c r="AJ119"/>
  <c r="AJ375"/>
  <c r="S124"/>
  <c r="S126" s="1"/>
  <c r="S379"/>
  <c r="AL357"/>
  <c r="AM357"/>
  <c r="AF124"/>
  <c r="AF126" s="1"/>
  <c r="AF125"/>
  <c r="V127"/>
  <c r="AD127"/>
  <c r="N127"/>
  <c r="G127"/>
  <c r="O127"/>
  <c r="AE127"/>
  <c r="H127"/>
  <c r="I127"/>
  <c r="P127"/>
  <c r="AF127"/>
  <c r="J127"/>
  <c r="X127"/>
  <c r="AG127"/>
  <c r="R127"/>
  <c r="Y127"/>
  <c r="S127"/>
  <c r="S130" s="1"/>
  <c r="S397" s="1"/>
  <c r="L127"/>
  <c r="AH127"/>
  <c r="Z127"/>
  <c r="AA127"/>
  <c r="T127"/>
  <c r="M127"/>
  <c r="AB127"/>
  <c r="U127"/>
  <c r="F127"/>
  <c r="F119"/>
  <c r="AM116"/>
  <c r="AL116"/>
  <c r="AN109"/>
  <c r="D56"/>
  <c r="AL114"/>
  <c r="H173" s="1"/>
  <c r="AM113"/>
  <c r="AL113"/>
  <c r="H172" s="1"/>
  <c r="H196" s="1"/>
  <c r="G257"/>
  <c r="F257"/>
  <c r="D60"/>
  <c r="AN107"/>
  <c r="AN102"/>
  <c r="AN111"/>
  <c r="AM118"/>
  <c r="AL118"/>
  <c r="AM112"/>
  <c r="AL112"/>
  <c r="AM120"/>
  <c r="AL120"/>
  <c r="C18"/>
  <c r="AM114"/>
  <c r="AN115"/>
  <c r="G246"/>
  <c r="G243"/>
  <c r="G244"/>
  <c r="G245"/>
  <c r="G250"/>
  <c r="G247"/>
  <c r="G248"/>
  <c r="G249"/>
  <c r="G254"/>
  <c r="G251"/>
  <c r="G252"/>
  <c r="G253"/>
  <c r="G242"/>
  <c r="G239"/>
  <c r="G240"/>
  <c r="G241"/>
  <c r="G255"/>
  <c r="G256"/>
  <c r="E258"/>
  <c r="C28"/>
  <c r="C24"/>
  <c r="AF379" l="1"/>
  <c r="M125"/>
  <c r="M379" s="1"/>
  <c r="M124"/>
  <c r="M126" s="1"/>
  <c r="J125"/>
  <c r="J379" s="1"/>
  <c r="G124"/>
  <c r="G126" s="1"/>
  <c r="AF130"/>
  <c r="AF397" s="1"/>
  <c r="G128"/>
  <c r="G130" s="1"/>
  <c r="AF128"/>
  <c r="J128"/>
  <c r="J130" s="1"/>
  <c r="M128"/>
  <c r="M130" s="1"/>
  <c r="AJ125"/>
  <c r="AJ379" s="1"/>
  <c r="AJ126"/>
  <c r="AE124"/>
  <c r="AE126" s="1"/>
  <c r="AE125"/>
  <c r="AE379" s="1"/>
  <c r="AC125"/>
  <c r="AB125"/>
  <c r="AB379" s="1"/>
  <c r="AB124"/>
  <c r="AB126" s="1"/>
  <c r="AA125"/>
  <c r="AA379" s="1"/>
  <c r="AA124"/>
  <c r="AA126" s="1"/>
  <c r="Z125"/>
  <c r="Z379" s="1"/>
  <c r="Z126"/>
  <c r="Y125"/>
  <c r="Y379" s="1"/>
  <c r="Y124"/>
  <c r="Y126" s="1"/>
  <c r="X124"/>
  <c r="X126" s="1"/>
  <c r="X379"/>
  <c r="W126"/>
  <c r="W125"/>
  <c r="W379" s="1"/>
  <c r="V124"/>
  <c r="V126" s="1"/>
  <c r="U124"/>
  <c r="U126" s="1"/>
  <c r="R124"/>
  <c r="R126" s="1"/>
  <c r="R125"/>
  <c r="R379" s="1"/>
  <c r="N125"/>
  <c r="N379" s="1"/>
  <c r="N124"/>
  <c r="N126" s="1"/>
  <c r="L125"/>
  <c r="L379" s="1"/>
  <c r="I126"/>
  <c r="I125"/>
  <c r="I379" s="1"/>
  <c r="H125"/>
  <c r="H379" s="1"/>
  <c r="H124"/>
  <c r="H126" s="1"/>
  <c r="AC379"/>
  <c r="AM375"/>
  <c r="AL375"/>
  <c r="AK126"/>
  <c r="AC126"/>
  <c r="P125"/>
  <c r="P379" s="1"/>
  <c r="P124"/>
  <c r="P126" s="1"/>
  <c r="O124"/>
  <c r="O126" s="1"/>
  <c r="O125"/>
  <c r="O379" s="1"/>
  <c r="T125"/>
  <c r="T379" s="1"/>
  <c r="T124"/>
  <c r="T126" s="1"/>
  <c r="AH124"/>
  <c r="AH126" s="1"/>
  <c r="AH125"/>
  <c r="AH379" s="1"/>
  <c r="AG124"/>
  <c r="AG126" s="1"/>
  <c r="AG125"/>
  <c r="AG379" s="1"/>
  <c r="AD125"/>
  <c r="AD379" s="1"/>
  <c r="AD124"/>
  <c r="AD126" s="1"/>
  <c r="W128"/>
  <c r="W130" s="1"/>
  <c r="AD128"/>
  <c r="AD130" s="1"/>
  <c r="AD397" s="1"/>
  <c r="V128"/>
  <c r="V130" s="1"/>
  <c r="V397" s="1"/>
  <c r="N128"/>
  <c r="N130" s="1"/>
  <c r="N397" s="1"/>
  <c r="AE128"/>
  <c r="AE130" s="1"/>
  <c r="AE397" s="1"/>
  <c r="O128"/>
  <c r="O130" s="1"/>
  <c r="F128"/>
  <c r="F130" s="1"/>
  <c r="F397" s="1"/>
  <c r="H128"/>
  <c r="H130" s="1"/>
  <c r="H397" s="1"/>
  <c r="P128"/>
  <c r="P130" s="1"/>
  <c r="I128"/>
  <c r="I130" s="1"/>
  <c r="X128"/>
  <c r="X130" s="1"/>
  <c r="X397" s="1"/>
  <c r="AG128"/>
  <c r="AG130" s="1"/>
  <c r="AG397" s="1"/>
  <c r="R128"/>
  <c r="R130" s="1"/>
  <c r="R397" s="1"/>
  <c r="Y128"/>
  <c r="Y130" s="1"/>
  <c r="Y397" s="1"/>
  <c r="AH128"/>
  <c r="AH130" s="1"/>
  <c r="Z128"/>
  <c r="Z130" s="1"/>
  <c r="L128"/>
  <c r="L130" s="1"/>
  <c r="T128"/>
  <c r="T130" s="1"/>
  <c r="AA128"/>
  <c r="AA130" s="1"/>
  <c r="AA397" s="1"/>
  <c r="U128"/>
  <c r="U130" s="1"/>
  <c r="AJ128"/>
  <c r="AJ130" s="1"/>
  <c r="AB128"/>
  <c r="AB130" s="1"/>
  <c r="AK128"/>
  <c r="AK130" s="1"/>
  <c r="AC128"/>
  <c r="AC130" s="1"/>
  <c r="L124"/>
  <c r="L126" s="1"/>
  <c r="U379"/>
  <c r="AK125"/>
  <c r="AK379" s="1"/>
  <c r="AN357"/>
  <c r="F124"/>
  <c r="F126" s="1"/>
  <c r="F379"/>
  <c r="AF131"/>
  <c r="S131"/>
  <c r="V132"/>
  <c r="AD132"/>
  <c r="N132"/>
  <c r="G132"/>
  <c r="O132"/>
  <c r="AE132"/>
  <c r="H132"/>
  <c r="I132"/>
  <c r="P132"/>
  <c r="J132"/>
  <c r="X132"/>
  <c r="AF132"/>
  <c r="AG132"/>
  <c r="R132"/>
  <c r="Y132"/>
  <c r="L132"/>
  <c r="S132"/>
  <c r="S135" s="1"/>
  <c r="AH132"/>
  <c r="Z132"/>
  <c r="T132"/>
  <c r="AA132"/>
  <c r="M132"/>
  <c r="U132"/>
  <c r="AB132"/>
  <c r="F132"/>
  <c r="F125"/>
  <c r="AN116"/>
  <c r="AM121"/>
  <c r="D62"/>
  <c r="AL121"/>
  <c r="AN114"/>
  <c r="H247"/>
  <c r="H189"/>
  <c r="H254"/>
  <c r="H239"/>
  <c r="H243"/>
  <c r="H197"/>
  <c r="H181"/>
  <c r="H209"/>
  <c r="H216"/>
  <c r="H219"/>
  <c r="H227"/>
  <c r="H229"/>
  <c r="H221"/>
  <c r="H235"/>
  <c r="H211"/>
  <c r="H225"/>
  <c r="H176"/>
  <c r="H205"/>
  <c r="H217"/>
  <c r="H233"/>
  <c r="H250"/>
  <c r="H245"/>
  <c r="H241"/>
  <c r="H244"/>
  <c r="H255"/>
  <c r="H240"/>
  <c r="H246"/>
  <c r="H249"/>
  <c r="H252"/>
  <c r="H238"/>
  <c r="H191"/>
  <c r="H207"/>
  <c r="H223"/>
  <c r="H220"/>
  <c r="H212"/>
  <c r="H236"/>
  <c r="H228"/>
  <c r="H256"/>
  <c r="H248"/>
  <c r="H253"/>
  <c r="H251"/>
  <c r="H242"/>
  <c r="H214"/>
  <c r="H231"/>
  <c r="H183"/>
  <c r="H199"/>
  <c r="H218"/>
  <c r="H210"/>
  <c r="H234"/>
  <c r="H226"/>
  <c r="AN112"/>
  <c r="AN118"/>
  <c r="H257"/>
  <c r="H215"/>
  <c r="H175"/>
  <c r="H192"/>
  <c r="H184"/>
  <c r="H208"/>
  <c r="H200"/>
  <c r="H224"/>
  <c r="H187"/>
  <c r="H185"/>
  <c r="H179"/>
  <c r="H177"/>
  <c r="H203"/>
  <c r="H201"/>
  <c r="H195"/>
  <c r="H193"/>
  <c r="H232"/>
  <c r="H213"/>
  <c r="H237"/>
  <c r="H230"/>
  <c r="H190"/>
  <c r="H182"/>
  <c r="H206"/>
  <c r="H198"/>
  <c r="H222"/>
  <c r="H186"/>
  <c r="H188"/>
  <c r="H178"/>
  <c r="H180"/>
  <c r="H202"/>
  <c r="H204"/>
  <c r="H194"/>
  <c r="AN113"/>
  <c r="AL123"/>
  <c r="AM123"/>
  <c r="AM127"/>
  <c r="AL127"/>
  <c r="AN120"/>
  <c r="D66"/>
  <c r="H258"/>
  <c r="G258"/>
  <c r="F258"/>
  <c r="AL119"/>
  <c r="AM119"/>
  <c r="E259"/>
  <c r="C34"/>
  <c r="C30"/>
  <c r="G16" i="6"/>
  <c r="H193" s="1"/>
  <c r="F16"/>
  <c r="H192" s="1"/>
  <c r="E16"/>
  <c r="H191" s="1"/>
  <c r="G15"/>
  <c r="H171" s="1"/>
  <c r="F15"/>
  <c r="H170" s="1"/>
  <c r="H189" s="1"/>
  <c r="E15"/>
  <c r="H169" s="1"/>
  <c r="G14"/>
  <c r="H149" s="1"/>
  <c r="F14"/>
  <c r="H148" s="1"/>
  <c r="H167" s="1"/>
  <c r="E14"/>
  <c r="H147" s="1"/>
  <c r="G13"/>
  <c r="H127" s="1"/>
  <c r="F13"/>
  <c r="H126" s="1"/>
  <c r="H145" s="1"/>
  <c r="E13"/>
  <c r="H125" s="1"/>
  <c r="G12"/>
  <c r="H105" s="1"/>
  <c r="F12"/>
  <c r="H104" s="1"/>
  <c r="H123" s="1"/>
  <c r="E12"/>
  <c r="H103" s="1"/>
  <c r="G11"/>
  <c r="F11"/>
  <c r="E11"/>
  <c r="H81" s="1"/>
  <c r="G10"/>
  <c r="F10"/>
  <c r="E10"/>
  <c r="B16"/>
  <c r="B14"/>
  <c r="B13"/>
  <c r="B15"/>
  <c r="B12"/>
  <c r="B11"/>
  <c r="E453" i="3" s="1"/>
  <c r="M397" l="1"/>
  <c r="M131"/>
  <c r="G397"/>
  <c r="G131"/>
  <c r="J397"/>
  <c r="J131"/>
  <c r="G133"/>
  <c r="G135" s="1"/>
  <c r="J133"/>
  <c r="AF133"/>
  <c r="M133"/>
  <c r="M135"/>
  <c r="M136" s="1"/>
  <c r="M138" s="1"/>
  <c r="J135"/>
  <c r="AF135"/>
  <c r="AH397"/>
  <c r="AH131"/>
  <c r="AE131"/>
  <c r="AA131"/>
  <c r="Z397"/>
  <c r="Z131"/>
  <c r="X131"/>
  <c r="O397"/>
  <c r="O131"/>
  <c r="I397"/>
  <c r="I131"/>
  <c r="H131"/>
  <c r="AN375"/>
  <c r="T397"/>
  <c r="T131"/>
  <c r="V131"/>
  <c r="N131"/>
  <c r="L397"/>
  <c r="L131"/>
  <c r="AG131"/>
  <c r="U397"/>
  <c r="U131"/>
  <c r="P397"/>
  <c r="P131"/>
  <c r="AB397"/>
  <c r="AB131"/>
  <c r="R131"/>
  <c r="Y131"/>
  <c r="V133"/>
  <c r="V135" s="1"/>
  <c r="V136" s="1"/>
  <c r="W133"/>
  <c r="W135" s="1"/>
  <c r="W136" s="1"/>
  <c r="F133"/>
  <c r="F135" s="1"/>
  <c r="O133"/>
  <c r="O135" s="1"/>
  <c r="O136" s="1"/>
  <c r="N133"/>
  <c r="N135" s="1"/>
  <c r="AD133"/>
  <c r="AD135" s="1"/>
  <c r="AE133"/>
  <c r="AE135" s="1"/>
  <c r="AE136" s="1"/>
  <c r="AE138" s="1"/>
  <c r="H133"/>
  <c r="H135" s="1"/>
  <c r="H137" s="1"/>
  <c r="P133"/>
  <c r="P135" s="1"/>
  <c r="I133"/>
  <c r="I135" s="1"/>
  <c r="I136" s="1"/>
  <c r="X133"/>
  <c r="X135" s="1"/>
  <c r="AG133"/>
  <c r="AG135" s="1"/>
  <c r="R133"/>
  <c r="R135" s="1"/>
  <c r="R136" s="1"/>
  <c r="Y133"/>
  <c r="Y135" s="1"/>
  <c r="Z133"/>
  <c r="Z135" s="1"/>
  <c r="Z136" s="1"/>
  <c r="L133"/>
  <c r="L135" s="1"/>
  <c r="AH133"/>
  <c r="AH135" s="1"/>
  <c r="AH137" s="1"/>
  <c r="T133"/>
  <c r="T135" s="1"/>
  <c r="T137" s="1"/>
  <c r="AA133"/>
  <c r="AA135" s="1"/>
  <c r="U133"/>
  <c r="U135" s="1"/>
  <c r="U136" s="1"/>
  <c r="AB133"/>
  <c r="AB135" s="1"/>
  <c r="AJ133"/>
  <c r="AJ135" s="1"/>
  <c r="AJ136" s="1"/>
  <c r="AK133"/>
  <c r="AK135" s="1"/>
  <c r="AK136" s="1"/>
  <c r="AC133"/>
  <c r="AC135" s="1"/>
  <c r="AC136" s="1"/>
  <c r="AC397"/>
  <c r="AC131"/>
  <c r="AD131"/>
  <c r="AJ397"/>
  <c r="AJ131"/>
  <c r="W131"/>
  <c r="W397"/>
  <c r="AK397"/>
  <c r="AK131"/>
  <c r="S136"/>
  <c r="S138" s="1"/>
  <c r="J136"/>
  <c r="J138" s="1"/>
  <c r="AL379"/>
  <c r="AM379"/>
  <c r="AF136"/>
  <c r="AF138" s="1"/>
  <c r="O139"/>
  <c r="AE139"/>
  <c r="G139"/>
  <c r="V139"/>
  <c r="AD139"/>
  <c r="N139"/>
  <c r="H139"/>
  <c r="P139"/>
  <c r="I139"/>
  <c r="AF139"/>
  <c r="X139"/>
  <c r="J139"/>
  <c r="R139"/>
  <c r="Y139"/>
  <c r="AG139"/>
  <c r="L139"/>
  <c r="AH139"/>
  <c r="Z139"/>
  <c r="S139"/>
  <c r="S142" s="1"/>
  <c r="S419" s="1"/>
  <c r="M139"/>
  <c r="T139"/>
  <c r="AA139"/>
  <c r="AB139"/>
  <c r="U139"/>
  <c r="S137"/>
  <c r="S401" s="1"/>
  <c r="J137"/>
  <c r="AF137"/>
  <c r="F139"/>
  <c r="AM128"/>
  <c r="AL128"/>
  <c r="H211" i="6"/>
  <c r="H206"/>
  <c r="F131" i="3"/>
  <c r="AN121"/>
  <c r="D68"/>
  <c r="D73" i="6"/>
  <c r="AE44" s="1"/>
  <c r="E458" i="3"/>
  <c r="D71" i="6"/>
  <c r="AE42" s="1"/>
  <c r="E456" i="3"/>
  <c r="D69" i="6"/>
  <c r="AE40" s="1"/>
  <c r="E454" i="3"/>
  <c r="D70" i="6"/>
  <c r="AE41" s="1"/>
  <c r="E455" i="3"/>
  <c r="D72" i="6"/>
  <c r="AE43" s="1"/>
  <c r="E457" i="3"/>
  <c r="AN127"/>
  <c r="AN119"/>
  <c r="AN123"/>
  <c r="H259"/>
  <c r="G259"/>
  <c r="F259"/>
  <c r="AM132"/>
  <c r="AL132"/>
  <c r="AL130"/>
  <c r="AM130"/>
  <c r="AL124"/>
  <c r="AM124"/>
  <c r="AM125"/>
  <c r="AL125"/>
  <c r="I172" s="1"/>
  <c r="D72"/>
  <c r="AM126"/>
  <c r="AL126"/>
  <c r="I173" s="1"/>
  <c r="E260"/>
  <c r="C40"/>
  <c r="C36"/>
  <c r="H117" i="6"/>
  <c r="H184"/>
  <c r="H161"/>
  <c r="G23"/>
  <c r="H83"/>
  <c r="H162"/>
  <c r="F23"/>
  <c r="H82"/>
  <c r="H101" s="1"/>
  <c r="H118"/>
  <c r="H183"/>
  <c r="H139"/>
  <c r="H140"/>
  <c r="H205"/>
  <c r="E19"/>
  <c r="E28" s="1"/>
  <c r="E27"/>
  <c r="F20"/>
  <c r="F30" s="1"/>
  <c r="F29"/>
  <c r="G21"/>
  <c r="G32" s="1"/>
  <c r="G31"/>
  <c r="I11"/>
  <c r="B21"/>
  <c r="B31"/>
  <c r="G18"/>
  <c r="G26" s="1"/>
  <c r="G25"/>
  <c r="G22"/>
  <c r="G34" s="1"/>
  <c r="G33"/>
  <c r="B19"/>
  <c r="B27"/>
  <c r="F21"/>
  <c r="F32" s="1"/>
  <c r="F31"/>
  <c r="B18"/>
  <c r="B25"/>
  <c r="B22"/>
  <c r="B33"/>
  <c r="H11"/>
  <c r="E23"/>
  <c r="F18"/>
  <c r="F26" s="1"/>
  <c r="F25"/>
  <c r="G19"/>
  <c r="G28" s="1"/>
  <c r="G27"/>
  <c r="E21"/>
  <c r="E31"/>
  <c r="F22"/>
  <c r="F34" s="1"/>
  <c r="F33"/>
  <c r="E20"/>
  <c r="E30" s="1"/>
  <c r="E29"/>
  <c r="B17"/>
  <c r="B23"/>
  <c r="B20"/>
  <c r="B29"/>
  <c r="E18"/>
  <c r="E25"/>
  <c r="F19"/>
  <c r="F27"/>
  <c r="G20"/>
  <c r="G30" s="1"/>
  <c r="G29"/>
  <c r="E22"/>
  <c r="E34" s="1"/>
  <c r="E33"/>
  <c r="I15"/>
  <c r="G17"/>
  <c r="G24" s="1"/>
  <c r="I13"/>
  <c r="H13"/>
  <c r="H15"/>
  <c r="F17"/>
  <c r="F24" s="1"/>
  <c r="I12"/>
  <c r="I14"/>
  <c r="I16"/>
  <c r="E17"/>
  <c r="H12"/>
  <c r="H14"/>
  <c r="H16"/>
  <c r="H209"/>
  <c r="H187"/>
  <c r="C13"/>
  <c r="C15"/>
  <c r="H121"/>
  <c r="C12"/>
  <c r="C16"/>
  <c r="C14"/>
  <c r="C11"/>
  <c r="H165"/>
  <c r="H143"/>
  <c r="J401" i="3" l="1"/>
  <c r="AF401"/>
  <c r="G136"/>
  <c r="G138" s="1"/>
  <c r="G137"/>
  <c r="G401" s="1"/>
  <c r="G140"/>
  <c r="G142" s="1"/>
  <c r="AF140"/>
  <c r="J140"/>
  <c r="J142" s="1"/>
  <c r="M140"/>
  <c r="M142" s="1"/>
  <c r="AF142"/>
  <c r="AF419" s="1"/>
  <c r="M137"/>
  <c r="M401" s="1"/>
  <c r="R138"/>
  <c r="AK137"/>
  <c r="AK401" s="1"/>
  <c r="AK138"/>
  <c r="AJ138"/>
  <c r="AH136"/>
  <c r="AH138" s="1"/>
  <c r="AG137"/>
  <c r="AG401" s="1"/>
  <c r="AG136"/>
  <c r="AG138" s="1"/>
  <c r="AE137"/>
  <c r="AE401" s="1"/>
  <c r="AD136"/>
  <c r="AD138" s="1"/>
  <c r="AD137"/>
  <c r="AD401" s="1"/>
  <c r="AC137"/>
  <c r="AC401" s="1"/>
  <c r="AB136"/>
  <c r="AB138" s="1"/>
  <c r="AB137"/>
  <c r="AB401" s="1"/>
  <c r="AA137"/>
  <c r="AA136"/>
  <c r="AA138" s="1"/>
  <c r="Z137"/>
  <c r="Z401" s="1"/>
  <c r="Z138"/>
  <c r="Y136"/>
  <c r="Y138" s="1"/>
  <c r="Y137"/>
  <c r="Y401" s="1"/>
  <c r="X137"/>
  <c r="X401" s="1"/>
  <c r="X136"/>
  <c r="X138" s="1"/>
  <c r="W138"/>
  <c r="W137"/>
  <c r="W401" s="1"/>
  <c r="V138"/>
  <c r="V137"/>
  <c r="V401" s="1"/>
  <c r="U137"/>
  <c r="U401" s="1"/>
  <c r="U138"/>
  <c r="T136"/>
  <c r="T138" s="1"/>
  <c r="R137"/>
  <c r="R401" s="1"/>
  <c r="P136"/>
  <c r="P138" s="1"/>
  <c r="P137"/>
  <c r="P401" s="1"/>
  <c r="O138"/>
  <c r="O137"/>
  <c r="O401" s="1"/>
  <c r="N136"/>
  <c r="N138" s="1"/>
  <c r="N137"/>
  <c r="N401" s="1"/>
  <c r="L136"/>
  <c r="L138" s="1"/>
  <c r="L137"/>
  <c r="L401" s="1"/>
  <c r="I137"/>
  <c r="I401" s="1"/>
  <c r="I138"/>
  <c r="H136"/>
  <c r="H138" s="1"/>
  <c r="AH401"/>
  <c r="AA401"/>
  <c r="H401"/>
  <c r="T401"/>
  <c r="AM397"/>
  <c r="AL397"/>
  <c r="AC138"/>
  <c r="AJ137"/>
  <c r="AJ401" s="1"/>
  <c r="AE140"/>
  <c r="AE142" s="1"/>
  <c r="AE419" s="1"/>
  <c r="AD140"/>
  <c r="AD142" s="1"/>
  <c r="AD419" s="1"/>
  <c r="V140"/>
  <c r="V142" s="1"/>
  <c r="W140"/>
  <c r="W142" s="1"/>
  <c r="O140"/>
  <c r="O142" s="1"/>
  <c r="O419" s="1"/>
  <c r="N140"/>
  <c r="N142" s="1"/>
  <c r="N419" s="1"/>
  <c r="F140"/>
  <c r="F142" s="1"/>
  <c r="F419" s="1"/>
  <c r="H140"/>
  <c r="H142" s="1"/>
  <c r="H143" s="1"/>
  <c r="I140"/>
  <c r="I142" s="1"/>
  <c r="I419" s="1"/>
  <c r="P140"/>
  <c r="P142" s="1"/>
  <c r="P419" s="1"/>
  <c r="X140"/>
  <c r="X142" s="1"/>
  <c r="X419" s="1"/>
  <c r="Y140"/>
  <c r="Y142" s="1"/>
  <c r="AG140"/>
  <c r="AG142" s="1"/>
  <c r="AG419" s="1"/>
  <c r="R140"/>
  <c r="R142" s="1"/>
  <c r="R419" s="1"/>
  <c r="L140"/>
  <c r="L142" s="1"/>
  <c r="AH140"/>
  <c r="AH142" s="1"/>
  <c r="Z140"/>
  <c r="Z142" s="1"/>
  <c r="Z419" s="1"/>
  <c r="T140"/>
  <c r="T142" s="1"/>
  <c r="T419" s="1"/>
  <c r="AA140"/>
  <c r="AA142" s="1"/>
  <c r="AJ140"/>
  <c r="AJ142" s="1"/>
  <c r="U140"/>
  <c r="U142" s="1"/>
  <c r="U419" s="1"/>
  <c r="AB140"/>
  <c r="AB142" s="1"/>
  <c r="AB419" s="1"/>
  <c r="AK140"/>
  <c r="AK142" s="1"/>
  <c r="AC140"/>
  <c r="AC142" s="1"/>
  <c r="AN379"/>
  <c r="F136"/>
  <c r="F138" s="1"/>
  <c r="F401"/>
  <c r="G144"/>
  <c r="O144"/>
  <c r="AE144"/>
  <c r="V144"/>
  <c r="AD144"/>
  <c r="N144"/>
  <c r="H144"/>
  <c r="P144"/>
  <c r="I144"/>
  <c r="X144"/>
  <c r="AF144"/>
  <c r="J144"/>
  <c r="R144"/>
  <c r="Y144"/>
  <c r="AG144"/>
  <c r="AH144"/>
  <c r="Z144"/>
  <c r="L144"/>
  <c r="S144"/>
  <c r="S147" s="1"/>
  <c r="S149" s="1"/>
  <c r="M144"/>
  <c r="T144"/>
  <c r="AA144"/>
  <c r="AB144"/>
  <c r="U144"/>
  <c r="AF143"/>
  <c r="S143"/>
  <c r="D79" i="6"/>
  <c r="D67" s="1"/>
  <c r="C438" i="3" s="1"/>
  <c r="F144"/>
  <c r="D75" i="6"/>
  <c r="D63" s="1"/>
  <c r="C434" i="3" s="1"/>
  <c r="F137"/>
  <c r="AN128"/>
  <c r="AM133"/>
  <c r="D58" i="6"/>
  <c r="C429" i="3" s="1"/>
  <c r="AL133"/>
  <c r="D57" i="6"/>
  <c r="C428" i="3" s="1"/>
  <c r="D76" i="6"/>
  <c r="AE47" s="1"/>
  <c r="D78"/>
  <c r="AE49" s="1"/>
  <c r="D74" i="3"/>
  <c r="D77" i="6"/>
  <c r="D65" s="1"/>
  <c r="C436" i="3" s="1"/>
  <c r="D59" i="6"/>
  <c r="C430" i="3" s="1"/>
  <c r="D61" i="6"/>
  <c r="C432" i="3" s="1"/>
  <c r="D60" i="6"/>
  <c r="C431" i="3" s="1"/>
  <c r="X23" i="6"/>
  <c r="X25"/>
  <c r="X27"/>
  <c r="X29"/>
  <c r="X33"/>
  <c r="X31"/>
  <c r="AN132" i="3"/>
  <c r="AN130"/>
  <c r="AN124"/>
  <c r="AN126"/>
  <c r="H260"/>
  <c r="I260"/>
  <c r="G260"/>
  <c r="F260"/>
  <c r="I221"/>
  <c r="I222"/>
  <c r="I223"/>
  <c r="I220"/>
  <c r="I237"/>
  <c r="I238"/>
  <c r="I175"/>
  <c r="I236"/>
  <c r="I189"/>
  <c r="I190"/>
  <c r="I191"/>
  <c r="I188"/>
  <c r="I205"/>
  <c r="I206"/>
  <c r="I207"/>
  <c r="I204"/>
  <c r="I179"/>
  <c r="I177"/>
  <c r="I192"/>
  <c r="I194"/>
  <c r="I228"/>
  <c r="I231"/>
  <c r="I230"/>
  <c r="I229"/>
  <c r="I184"/>
  <c r="I187"/>
  <c r="I186"/>
  <c r="I185"/>
  <c r="I233"/>
  <c r="I208"/>
  <c r="I210"/>
  <c r="I227"/>
  <c r="I225"/>
  <c r="I212"/>
  <c r="I215"/>
  <c r="I214"/>
  <c r="I213"/>
  <c r="I232"/>
  <c r="I235"/>
  <c r="I234"/>
  <c r="I176"/>
  <c r="I178"/>
  <c r="I195"/>
  <c r="I193"/>
  <c r="I196"/>
  <c r="I199"/>
  <c r="I198"/>
  <c r="I197"/>
  <c r="I216"/>
  <c r="I219"/>
  <c r="I218"/>
  <c r="I217"/>
  <c r="I211"/>
  <c r="I209"/>
  <c r="I224"/>
  <c r="I226"/>
  <c r="I180"/>
  <c r="I183"/>
  <c r="I182"/>
  <c r="I181"/>
  <c r="I200"/>
  <c r="I203"/>
  <c r="I202"/>
  <c r="I201"/>
  <c r="AM135"/>
  <c r="AL135"/>
  <c r="I241"/>
  <c r="I242"/>
  <c r="I243"/>
  <c r="I240"/>
  <c r="I245"/>
  <c r="I246"/>
  <c r="I247"/>
  <c r="I244"/>
  <c r="I249"/>
  <c r="I250"/>
  <c r="I251"/>
  <c r="I248"/>
  <c r="I253"/>
  <c r="I254"/>
  <c r="I239"/>
  <c r="I252"/>
  <c r="I255"/>
  <c r="I256"/>
  <c r="I257"/>
  <c r="I258"/>
  <c r="AL139"/>
  <c r="AM139"/>
  <c r="AL131"/>
  <c r="AM131"/>
  <c r="AN125"/>
  <c r="I259"/>
  <c r="E261"/>
  <c r="C46"/>
  <c r="C52" s="1"/>
  <c r="C42"/>
  <c r="I18" i="6"/>
  <c r="H96"/>
  <c r="H207"/>
  <c r="H141"/>
  <c r="H119"/>
  <c r="H163"/>
  <c r="H185"/>
  <c r="H95"/>
  <c r="H19"/>
  <c r="I21"/>
  <c r="D11"/>
  <c r="I19"/>
  <c r="F28"/>
  <c r="H21"/>
  <c r="E32"/>
  <c r="H17"/>
  <c r="E24"/>
  <c r="H22"/>
  <c r="I22"/>
  <c r="H20"/>
  <c r="I20"/>
  <c r="H18"/>
  <c r="E26"/>
  <c r="D14"/>
  <c r="D12"/>
  <c r="D16"/>
  <c r="D15"/>
  <c r="D13"/>
  <c r="I17"/>
  <c r="C19"/>
  <c r="C18"/>
  <c r="C21"/>
  <c r="C22"/>
  <c r="C20"/>
  <c r="H99"/>
  <c r="C17"/>
  <c r="J419" i="3" l="1"/>
  <c r="J143"/>
  <c r="M419"/>
  <c r="M143"/>
  <c r="G419"/>
  <c r="G143"/>
  <c r="G145"/>
  <c r="AF145"/>
  <c r="J145"/>
  <c r="M145"/>
  <c r="M147" s="1"/>
  <c r="AF147"/>
  <c r="AF149" s="1"/>
  <c r="G147"/>
  <c r="J147"/>
  <c r="AH419"/>
  <c r="AH143"/>
  <c r="AG143"/>
  <c r="AE143"/>
  <c r="AD143"/>
  <c r="AB143"/>
  <c r="Z143"/>
  <c r="X143"/>
  <c r="V419"/>
  <c r="V143"/>
  <c r="U143"/>
  <c r="T143"/>
  <c r="R143"/>
  <c r="P143"/>
  <c r="O143"/>
  <c r="N143"/>
  <c r="L419"/>
  <c r="L143"/>
  <c r="I143"/>
  <c r="AN397"/>
  <c r="H419"/>
  <c r="Y419"/>
  <c r="Y143"/>
  <c r="AA419"/>
  <c r="AA143"/>
  <c r="AD145"/>
  <c r="AD147" s="1"/>
  <c r="AD148" s="1"/>
  <c r="V145"/>
  <c r="V147" s="1"/>
  <c r="O145"/>
  <c r="O147" s="1"/>
  <c r="N145"/>
  <c r="N147" s="1"/>
  <c r="F145"/>
  <c r="F147" s="1"/>
  <c r="W145"/>
  <c r="W147" s="1"/>
  <c r="W148" s="1"/>
  <c r="AE145"/>
  <c r="AE147" s="1"/>
  <c r="H145"/>
  <c r="H147" s="1"/>
  <c r="H149" s="1"/>
  <c r="P145"/>
  <c r="P147" s="1"/>
  <c r="I145"/>
  <c r="I147" s="1"/>
  <c r="I148" s="1"/>
  <c r="I150" s="1"/>
  <c r="X145"/>
  <c r="X147" s="1"/>
  <c r="X149" s="1"/>
  <c r="Y145"/>
  <c r="Y147" s="1"/>
  <c r="AG145"/>
  <c r="AG147" s="1"/>
  <c r="AG148" s="1"/>
  <c r="R145"/>
  <c r="R147" s="1"/>
  <c r="R148" s="1"/>
  <c r="L145"/>
  <c r="L147" s="1"/>
  <c r="L148" s="1"/>
  <c r="AH145"/>
  <c r="AH147" s="1"/>
  <c r="Z145"/>
  <c r="Z147" s="1"/>
  <c r="T145"/>
  <c r="T147" s="1"/>
  <c r="AA145"/>
  <c r="AA147" s="1"/>
  <c r="AJ145"/>
  <c r="AJ147" s="1"/>
  <c r="AJ148" s="1"/>
  <c r="U145"/>
  <c r="U147" s="1"/>
  <c r="AB145"/>
  <c r="AB147" s="1"/>
  <c r="AB148" s="1"/>
  <c r="AK145"/>
  <c r="AK147" s="1"/>
  <c r="AK148" s="1"/>
  <c r="AC145"/>
  <c r="AC147" s="1"/>
  <c r="AC148" s="1"/>
  <c r="AK143"/>
  <c r="AK419"/>
  <c r="AC143"/>
  <c r="AC419"/>
  <c r="AJ419"/>
  <c r="AJ143"/>
  <c r="W143"/>
  <c r="W419"/>
  <c r="S148"/>
  <c r="S150" s="1"/>
  <c r="S423"/>
  <c r="AF148"/>
  <c r="AF150" s="1"/>
  <c r="J148"/>
  <c r="J150" s="1"/>
  <c r="G148"/>
  <c r="G150" s="1"/>
  <c r="AE50" i="6"/>
  <c r="G149" i="3"/>
  <c r="AE46" i="6"/>
  <c r="AL401" i="3"/>
  <c r="AM401"/>
  <c r="J149"/>
  <c r="D64" i="6"/>
  <c r="C435" i="3" s="1"/>
  <c r="D66" i="6"/>
  <c r="C437" i="3" s="1"/>
  <c r="AN133"/>
  <c r="AE48" i="6"/>
  <c r="F143" i="3"/>
  <c r="AM140"/>
  <c r="AL140"/>
  <c r="AN131"/>
  <c r="H261"/>
  <c r="I261"/>
  <c r="G261"/>
  <c r="F261"/>
  <c r="AL137"/>
  <c r="J172" s="1"/>
  <c r="AM137"/>
  <c r="AN139"/>
  <c r="AL136"/>
  <c r="AM136"/>
  <c r="AL142"/>
  <c r="AM142"/>
  <c r="AL144"/>
  <c r="AM144"/>
  <c r="AN135"/>
  <c r="E262"/>
  <c r="C58"/>
  <c r="C54"/>
  <c r="C48"/>
  <c r="H97" i="6"/>
  <c r="D22"/>
  <c r="D19"/>
  <c r="D18"/>
  <c r="D20"/>
  <c r="D21"/>
  <c r="D17"/>
  <c r="AF423" i="3" l="1"/>
  <c r="J423"/>
  <c r="G423"/>
  <c r="M149"/>
  <c r="M423" s="1"/>
  <c r="M148"/>
  <c r="M150" s="1"/>
  <c r="AD150"/>
  <c r="R150"/>
  <c r="AK149"/>
  <c r="AK423" s="1"/>
  <c r="AJ150"/>
  <c r="AJ149"/>
  <c r="AJ423" s="1"/>
  <c r="AG150"/>
  <c r="AG149"/>
  <c r="AG423" s="1"/>
  <c r="AE149"/>
  <c r="AE148"/>
  <c r="AE150" s="1"/>
  <c r="AD149"/>
  <c r="AD423" s="1"/>
  <c r="AC150"/>
  <c r="AC149"/>
  <c r="AC423" s="1"/>
  <c r="AB150"/>
  <c r="AB149"/>
  <c r="AB423" s="1"/>
  <c r="AA148"/>
  <c r="AA150" s="1"/>
  <c r="AA149"/>
  <c r="AA423" s="1"/>
  <c r="Y149"/>
  <c r="Y423" s="1"/>
  <c r="Y148"/>
  <c r="Y150" s="1"/>
  <c r="X148"/>
  <c r="X150" s="1"/>
  <c r="X423"/>
  <c r="W149"/>
  <c r="W423" s="1"/>
  <c r="W150"/>
  <c r="T149"/>
  <c r="T423" s="1"/>
  <c r="T148"/>
  <c r="T150" s="1"/>
  <c r="R149"/>
  <c r="R423" s="1"/>
  <c r="O149"/>
  <c r="O423" s="1"/>
  <c r="O148"/>
  <c r="O150" s="1"/>
  <c r="N149"/>
  <c r="N423" s="1"/>
  <c r="N148"/>
  <c r="N150" s="1"/>
  <c r="L150"/>
  <c r="L149"/>
  <c r="L423" s="1"/>
  <c r="I149"/>
  <c r="I423" s="1"/>
  <c r="H148"/>
  <c r="H150" s="1"/>
  <c r="H423"/>
  <c r="AL419"/>
  <c r="AE423"/>
  <c r="AM419"/>
  <c r="V148"/>
  <c r="V150" s="1"/>
  <c r="V149"/>
  <c r="V423" s="1"/>
  <c r="Z148"/>
  <c r="Z150" s="1"/>
  <c r="Z149"/>
  <c r="Z423" s="1"/>
  <c r="P149"/>
  <c r="P423" s="1"/>
  <c r="P148"/>
  <c r="P150" s="1"/>
  <c r="AH149"/>
  <c r="AH423" s="1"/>
  <c r="AH148"/>
  <c r="AH150" s="1"/>
  <c r="U148"/>
  <c r="U150" s="1"/>
  <c r="U149"/>
  <c r="U423" s="1"/>
  <c r="AK150"/>
  <c r="F148"/>
  <c r="F150" s="1"/>
  <c r="F423"/>
  <c r="AN401"/>
  <c r="F149"/>
  <c r="AL145"/>
  <c r="AN140"/>
  <c r="AM145"/>
  <c r="AN144"/>
  <c r="J223"/>
  <c r="L223" s="1"/>
  <c r="J191"/>
  <c r="L191" s="1"/>
  <c r="J230"/>
  <c r="L230" s="1"/>
  <c r="J198"/>
  <c r="L198" s="1"/>
  <c r="J193"/>
  <c r="L193" s="1"/>
  <c r="J192"/>
  <c r="L192" s="1"/>
  <c r="J195"/>
  <c r="L195" s="1"/>
  <c r="J194"/>
  <c r="L194" s="1"/>
  <c r="J197"/>
  <c r="L197" s="1"/>
  <c r="J196"/>
  <c r="L196" s="1"/>
  <c r="J231"/>
  <c r="L231" s="1"/>
  <c r="J199"/>
  <c r="L199" s="1"/>
  <c r="J238"/>
  <c r="L238" s="1"/>
  <c r="J206"/>
  <c r="L206" s="1"/>
  <c r="J233"/>
  <c r="L233" s="1"/>
  <c r="J201"/>
  <c r="L201" s="1"/>
  <c r="J232"/>
  <c r="L232" s="1"/>
  <c r="J200"/>
  <c r="L200" s="1"/>
  <c r="J235"/>
  <c r="L235" s="1"/>
  <c r="J203"/>
  <c r="L203" s="1"/>
  <c r="J234"/>
  <c r="L234" s="1"/>
  <c r="J202"/>
  <c r="L202" s="1"/>
  <c r="J237"/>
  <c r="L237" s="1"/>
  <c r="J205"/>
  <c r="L205" s="1"/>
  <c r="J236"/>
  <c r="L236" s="1"/>
  <c r="J204"/>
  <c r="L204" s="1"/>
  <c r="J208"/>
  <c r="L208" s="1"/>
  <c r="J181"/>
  <c r="L181" s="1"/>
  <c r="J180"/>
  <c r="L180" s="1"/>
  <c r="J207"/>
  <c r="L207" s="1"/>
  <c r="J175"/>
  <c r="L175" s="1"/>
  <c r="J214"/>
  <c r="L214" s="1"/>
  <c r="J182"/>
  <c r="L182" s="1"/>
  <c r="J209"/>
  <c r="L209" s="1"/>
  <c r="J177"/>
  <c r="L177" s="1"/>
  <c r="J176"/>
  <c r="L176" s="1"/>
  <c r="J211"/>
  <c r="L211" s="1"/>
  <c r="J179"/>
  <c r="L179" s="1"/>
  <c r="J210"/>
  <c r="L210" s="1"/>
  <c r="J178"/>
  <c r="L178" s="1"/>
  <c r="J213"/>
  <c r="L213" s="1"/>
  <c r="J212"/>
  <c r="L212" s="1"/>
  <c r="J215"/>
  <c r="L215" s="1"/>
  <c r="J183"/>
  <c r="L183" s="1"/>
  <c r="J222"/>
  <c r="L222" s="1"/>
  <c r="J190"/>
  <c r="L190" s="1"/>
  <c r="J217"/>
  <c r="L217" s="1"/>
  <c r="J185"/>
  <c r="L185" s="1"/>
  <c r="J216"/>
  <c r="L216" s="1"/>
  <c r="J184"/>
  <c r="L184" s="1"/>
  <c r="J219"/>
  <c r="L219" s="1"/>
  <c r="J187"/>
  <c r="L187" s="1"/>
  <c r="J218"/>
  <c r="L218" s="1"/>
  <c r="J186"/>
  <c r="L186" s="1"/>
  <c r="J221"/>
  <c r="L221" s="1"/>
  <c r="J189"/>
  <c r="L189" s="1"/>
  <c r="J220"/>
  <c r="L220" s="1"/>
  <c r="J188"/>
  <c r="L188" s="1"/>
  <c r="J225"/>
  <c r="L225" s="1"/>
  <c r="J224"/>
  <c r="L224" s="1"/>
  <c r="J227"/>
  <c r="L227" s="1"/>
  <c r="J226"/>
  <c r="L226" s="1"/>
  <c r="J229"/>
  <c r="L229" s="1"/>
  <c r="J228"/>
  <c r="L228" s="1"/>
  <c r="AN136"/>
  <c r="AN137"/>
  <c r="AL143"/>
  <c r="AM143"/>
  <c r="AL147"/>
  <c r="AM147"/>
  <c r="H262"/>
  <c r="I262"/>
  <c r="G262"/>
  <c r="F262"/>
  <c r="AM138"/>
  <c r="AL138"/>
  <c r="J173" s="1"/>
  <c r="AN142"/>
  <c r="E263"/>
  <c r="C60"/>
  <c r="C64"/>
  <c r="E71"/>
  <c r="E70"/>
  <c r="E69"/>
  <c r="E65"/>
  <c r="E64"/>
  <c r="E63"/>
  <c r="E47"/>
  <c r="E46"/>
  <c r="E45"/>
  <c r="E41"/>
  <c r="E40"/>
  <c r="E39"/>
  <c r="E35"/>
  <c r="E34"/>
  <c r="E33"/>
  <c r="E29"/>
  <c r="E28"/>
  <c r="E27"/>
  <c r="E59"/>
  <c r="E58"/>
  <c r="E57"/>
  <c r="E53"/>
  <c r="E52"/>
  <c r="E51"/>
  <c r="E23"/>
  <c r="E22"/>
  <c r="E21"/>
  <c r="E17"/>
  <c r="E16"/>
  <c r="E15"/>
  <c r="AQ70"/>
  <c r="AS64"/>
  <c r="AS63"/>
  <c r="AQ46"/>
  <c r="AS40"/>
  <c r="AS39"/>
  <c r="AQ34"/>
  <c r="AS28"/>
  <c r="AS27"/>
  <c r="AS52"/>
  <c r="AS51"/>
  <c r="AS16"/>
  <c r="AS15"/>
  <c r="AS4"/>
  <c r="AS3"/>
  <c r="AS70"/>
  <c r="AM65"/>
  <c r="AL65"/>
  <c r="AM64"/>
  <c r="AL64"/>
  <c r="K165" s="1"/>
  <c r="AM63"/>
  <c r="AL63"/>
  <c r="AS46"/>
  <c r="AM41"/>
  <c r="AL41"/>
  <c r="AM40"/>
  <c r="AL40"/>
  <c r="I165" s="1"/>
  <c r="AM39"/>
  <c r="AL39"/>
  <c r="AS34"/>
  <c r="AM29"/>
  <c r="AL29"/>
  <c r="AM28"/>
  <c r="AL28"/>
  <c r="H165" s="1"/>
  <c r="AM27"/>
  <c r="AL27"/>
  <c r="AS17"/>
  <c r="AS65"/>
  <c r="AS53"/>
  <c r="AS41"/>
  <c r="AS29"/>
  <c r="AS5"/>
  <c r="AN419" l="1"/>
  <c r="AL423"/>
  <c r="AM423"/>
  <c r="AN145"/>
  <c r="AN147"/>
  <c r="AN143"/>
  <c r="AL149"/>
  <c r="K172" s="1"/>
  <c r="K225" s="1"/>
  <c r="N225" s="1"/>
  <c r="J255"/>
  <c r="L255" s="1"/>
  <c r="J254"/>
  <c r="L254" s="1"/>
  <c r="J249"/>
  <c r="L249" s="1"/>
  <c r="J248"/>
  <c r="L248" s="1"/>
  <c r="J251"/>
  <c r="L251" s="1"/>
  <c r="J250"/>
  <c r="L250" s="1"/>
  <c r="J253"/>
  <c r="L253" s="1"/>
  <c r="J252"/>
  <c r="L252" s="1"/>
  <c r="J256"/>
  <c r="L256" s="1"/>
  <c r="J239"/>
  <c r="L239" s="1"/>
  <c r="J247"/>
  <c r="L247" s="1"/>
  <c r="J246"/>
  <c r="L246" s="1"/>
  <c r="J241"/>
  <c r="L241" s="1"/>
  <c r="J240"/>
  <c r="L240" s="1"/>
  <c r="J243"/>
  <c r="L243" s="1"/>
  <c r="J242"/>
  <c r="L242" s="1"/>
  <c r="J245"/>
  <c r="L245" s="1"/>
  <c r="J244"/>
  <c r="L244" s="1"/>
  <c r="J257"/>
  <c r="L257" s="1"/>
  <c r="J258"/>
  <c r="L258" s="1"/>
  <c r="J259"/>
  <c r="L259" s="1"/>
  <c r="J260"/>
  <c r="L260" s="1"/>
  <c r="J261"/>
  <c r="L261" s="1"/>
  <c r="AM149"/>
  <c r="H263"/>
  <c r="I263"/>
  <c r="G263"/>
  <c r="F263"/>
  <c r="J263"/>
  <c r="AL150"/>
  <c r="K173" s="1"/>
  <c r="AM150"/>
  <c r="J262"/>
  <c r="L262" s="1"/>
  <c r="AL148"/>
  <c r="AM148"/>
  <c r="AN138"/>
  <c r="E264"/>
  <c r="C70"/>
  <c r="C66"/>
  <c r="AS33"/>
  <c r="AS35" s="1"/>
  <c r="AS45"/>
  <c r="AS47" s="1"/>
  <c r="AS69"/>
  <c r="AS71" s="1"/>
  <c r="AN63"/>
  <c r="AN65"/>
  <c r="AN64"/>
  <c r="AN27"/>
  <c r="AN41"/>
  <c r="AN39"/>
  <c r="AN40"/>
  <c r="AN29"/>
  <c r="AN28"/>
  <c r="AQ58"/>
  <c r="AS58"/>
  <c r="AM53"/>
  <c r="AL53"/>
  <c r="AM52"/>
  <c r="AL52"/>
  <c r="J165" s="1"/>
  <c r="AM51"/>
  <c r="AL51"/>
  <c r="E11"/>
  <c r="E10"/>
  <c r="E9"/>
  <c r="E5"/>
  <c r="E4"/>
  <c r="E3"/>
  <c r="AK2"/>
  <c r="AJ2"/>
  <c r="AI2"/>
  <c r="AH2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B1"/>
  <c r="AQ10"/>
  <c r="AM11"/>
  <c r="AL11"/>
  <c r="AM10"/>
  <c r="AL10"/>
  <c r="F166" s="1"/>
  <c r="AM9"/>
  <c r="AL9"/>
  <c r="AM5"/>
  <c r="AL5"/>
  <c r="AM4"/>
  <c r="AL4"/>
  <c r="F165" s="1"/>
  <c r="AM3"/>
  <c r="AL3"/>
  <c r="AQ22"/>
  <c r="AM17"/>
  <c r="AL17"/>
  <c r="AM16"/>
  <c r="AL16"/>
  <c r="G165" s="1"/>
  <c r="AM15"/>
  <c r="AL15"/>
  <c r="AN423" l="1"/>
  <c r="C72"/>
  <c r="C307"/>
  <c r="L263"/>
  <c r="AN149"/>
  <c r="K263"/>
  <c r="N263" s="1"/>
  <c r="K214"/>
  <c r="N214" s="1"/>
  <c r="K211"/>
  <c r="N211" s="1"/>
  <c r="K182"/>
  <c r="N182" s="1"/>
  <c r="K213"/>
  <c r="N213" s="1"/>
  <c r="K212"/>
  <c r="N212" s="1"/>
  <c r="K181"/>
  <c r="N181" s="1"/>
  <c r="K179"/>
  <c r="N179" s="1"/>
  <c r="AN148"/>
  <c r="K208"/>
  <c r="N208" s="1"/>
  <c r="K230"/>
  <c r="N230" s="1"/>
  <c r="K222"/>
  <c r="N222" s="1"/>
  <c r="K228"/>
  <c r="N228" s="1"/>
  <c r="K197"/>
  <c r="N197" s="1"/>
  <c r="K198"/>
  <c r="N198" s="1"/>
  <c r="K195"/>
  <c r="N195" s="1"/>
  <c r="K229"/>
  <c r="N229" s="1"/>
  <c r="AN150"/>
  <c r="K180"/>
  <c r="N180" s="1"/>
  <c r="K233"/>
  <c r="N233" s="1"/>
  <c r="K201"/>
  <c r="N201" s="1"/>
  <c r="K234"/>
  <c r="N234" s="1"/>
  <c r="K202"/>
  <c r="N202" s="1"/>
  <c r="K231"/>
  <c r="N231" s="1"/>
  <c r="K199"/>
  <c r="N199" s="1"/>
  <c r="K220"/>
  <c r="N220" s="1"/>
  <c r="K184"/>
  <c r="N184" s="1"/>
  <c r="K216"/>
  <c r="N216" s="1"/>
  <c r="K217"/>
  <c r="N217" s="1"/>
  <c r="K185"/>
  <c r="N185" s="1"/>
  <c r="K218"/>
  <c r="N218" s="1"/>
  <c r="K186"/>
  <c r="N186" s="1"/>
  <c r="K215"/>
  <c r="N215" s="1"/>
  <c r="K183"/>
  <c r="N183" s="1"/>
  <c r="K200"/>
  <c r="N200" s="1"/>
  <c r="K192"/>
  <c r="N192" s="1"/>
  <c r="K237"/>
  <c r="N237" s="1"/>
  <c r="K221"/>
  <c r="N221" s="1"/>
  <c r="K205"/>
  <c r="N205" s="1"/>
  <c r="K189"/>
  <c r="N189" s="1"/>
  <c r="K238"/>
  <c r="N238" s="1"/>
  <c r="K206"/>
  <c r="N206" s="1"/>
  <c r="K190"/>
  <c r="N190" s="1"/>
  <c r="K223"/>
  <c r="N223" s="1"/>
  <c r="K235"/>
  <c r="N235" s="1"/>
  <c r="K219"/>
  <c r="N219" s="1"/>
  <c r="K203"/>
  <c r="N203" s="1"/>
  <c r="K187"/>
  <c r="N187" s="1"/>
  <c r="K196"/>
  <c r="N196" s="1"/>
  <c r="K204"/>
  <c r="N204" s="1"/>
  <c r="K188"/>
  <c r="N188" s="1"/>
  <c r="K232"/>
  <c r="N232" s="1"/>
  <c r="K209"/>
  <c r="N209" s="1"/>
  <c r="K193"/>
  <c r="N193" s="1"/>
  <c r="K177"/>
  <c r="N177" s="1"/>
  <c r="K226"/>
  <c r="N226" s="1"/>
  <c r="K210"/>
  <c r="N210" s="1"/>
  <c r="K194"/>
  <c r="N194" s="1"/>
  <c r="K178"/>
  <c r="N178" s="1"/>
  <c r="K227"/>
  <c r="N227" s="1"/>
  <c r="K207"/>
  <c r="N207" s="1"/>
  <c r="K191"/>
  <c r="N191" s="1"/>
  <c r="K175"/>
  <c r="N175" s="1"/>
  <c r="K224"/>
  <c r="N224" s="1"/>
  <c r="K236"/>
  <c r="N236" s="1"/>
  <c r="K176"/>
  <c r="N176" s="1"/>
  <c r="H264"/>
  <c r="I264"/>
  <c r="G264"/>
  <c r="K264"/>
  <c r="F264"/>
  <c r="J264"/>
  <c r="K244"/>
  <c r="N244" s="1"/>
  <c r="K248"/>
  <c r="N248" s="1"/>
  <c r="K252"/>
  <c r="N252" s="1"/>
  <c r="K243"/>
  <c r="N243" s="1"/>
  <c r="K247"/>
  <c r="N247" s="1"/>
  <c r="K251"/>
  <c r="N251" s="1"/>
  <c r="K239"/>
  <c r="N239" s="1"/>
  <c r="K246"/>
  <c r="N246" s="1"/>
  <c r="K250"/>
  <c r="N250" s="1"/>
  <c r="K254"/>
  <c r="N254" s="1"/>
  <c r="K242"/>
  <c r="N242" s="1"/>
  <c r="K245"/>
  <c r="N245" s="1"/>
  <c r="K249"/>
  <c r="N249" s="1"/>
  <c r="K253"/>
  <c r="N253" s="1"/>
  <c r="K241"/>
  <c r="N241" s="1"/>
  <c r="K240"/>
  <c r="N240" s="1"/>
  <c r="K255"/>
  <c r="N255" s="1"/>
  <c r="K256"/>
  <c r="N256" s="1"/>
  <c r="K257"/>
  <c r="N257" s="1"/>
  <c r="K258"/>
  <c r="N258" s="1"/>
  <c r="K259"/>
  <c r="N259" s="1"/>
  <c r="K260"/>
  <c r="N260" s="1"/>
  <c r="K261"/>
  <c r="N261" s="1"/>
  <c r="K262"/>
  <c r="N262" s="1"/>
  <c r="E265"/>
  <c r="AS57"/>
  <c r="AS59" s="1"/>
  <c r="AS21"/>
  <c r="AS10"/>
  <c r="AS9"/>
  <c r="AN16"/>
  <c r="AN52"/>
  <c r="AN51"/>
  <c r="AN53"/>
  <c r="AN11"/>
  <c r="AN10"/>
  <c r="AN9"/>
  <c r="AN3"/>
  <c r="AN4"/>
  <c r="AN5"/>
  <c r="AN15"/>
  <c r="AN17"/>
  <c r="AS22"/>
  <c r="L17" i="2"/>
  <c r="A6"/>
  <c r="G6"/>
  <c r="A18"/>
  <c r="A19" s="1"/>
  <c r="F6"/>
  <c r="C311" i="3" l="1"/>
  <c r="L264"/>
  <c r="N264"/>
  <c r="H265"/>
  <c r="I265"/>
  <c r="G265"/>
  <c r="K265"/>
  <c r="F265"/>
  <c r="J265"/>
  <c r="AS23"/>
  <c r="E266"/>
  <c r="AS11"/>
  <c r="L265" l="1"/>
  <c r="H266"/>
  <c r="I266"/>
  <c r="G266"/>
  <c r="K266"/>
  <c r="F266"/>
  <c r="J266"/>
  <c r="N265"/>
  <c r="E267"/>
  <c r="B19" i="2"/>
  <c r="L266" i="3" l="1"/>
  <c r="N266"/>
  <c r="H267"/>
  <c r="I267"/>
  <c r="G267"/>
  <c r="K267"/>
  <c r="F267"/>
  <c r="J267"/>
  <c r="E268"/>
  <c r="G1"/>
  <c r="A9" i="2"/>
  <c r="A10" s="1"/>
  <c r="A11" s="1"/>
  <c r="A12" s="1"/>
  <c r="A13" s="1"/>
  <c r="A14" s="1"/>
  <c r="A15" s="1"/>
  <c r="A16" s="1"/>
  <c r="A17" s="1"/>
  <c r="L267" i="3" l="1"/>
  <c r="N267"/>
  <c r="H268"/>
  <c r="K268"/>
  <c r="I268"/>
  <c r="G268"/>
  <c r="F268"/>
  <c r="J268"/>
  <c r="E269"/>
  <c r="G77"/>
  <c r="G153" s="1"/>
  <c r="G304" s="1"/>
  <c r="J53" i="6"/>
  <c r="E8" i="2"/>
  <c r="D8"/>
  <c r="F8"/>
  <c r="E10"/>
  <c r="D10"/>
  <c r="F10"/>
  <c r="E12"/>
  <c r="D12"/>
  <c r="F12"/>
  <c r="D14"/>
  <c r="F14"/>
  <c r="D16"/>
  <c r="F16"/>
  <c r="E9"/>
  <c r="D9"/>
  <c r="F9"/>
  <c r="E11"/>
  <c r="D11"/>
  <c r="F11"/>
  <c r="E13"/>
  <c r="D13"/>
  <c r="F13"/>
  <c r="E15"/>
  <c r="D17"/>
  <c r="F17"/>
  <c r="E14"/>
  <c r="H1" i="3"/>
  <c r="E17" i="2"/>
  <c r="E16"/>
  <c r="E19"/>
  <c r="L268" i="3" l="1"/>
  <c r="N268"/>
  <c r="H269"/>
  <c r="I269"/>
  <c r="G269"/>
  <c r="K269"/>
  <c r="F269"/>
  <c r="J269"/>
  <c r="E270"/>
  <c r="H77"/>
  <c r="H153" s="1"/>
  <c r="H304" s="1"/>
  <c r="K53" i="6"/>
  <c r="D19" i="2"/>
  <c r="D15"/>
  <c r="F19"/>
  <c r="F15"/>
  <c r="C18"/>
  <c r="I1" i="3"/>
  <c r="L269" l="1"/>
  <c r="H270"/>
  <c r="I270"/>
  <c r="G270"/>
  <c r="K270"/>
  <c r="F270"/>
  <c r="J270"/>
  <c r="N269"/>
  <c r="E271"/>
  <c r="I77"/>
  <c r="I153" s="1"/>
  <c r="I304" s="1"/>
  <c r="L53" i="6"/>
  <c r="J1" i="3"/>
  <c r="L270" l="1"/>
  <c r="N270"/>
  <c r="H271"/>
  <c r="K271"/>
  <c r="I271"/>
  <c r="G271"/>
  <c r="F271"/>
  <c r="J271"/>
  <c r="E272"/>
  <c r="J77"/>
  <c r="J153" s="1"/>
  <c r="J304" s="1"/>
  <c r="M53" i="6"/>
  <c r="K1" i="3"/>
  <c r="L271" l="1"/>
  <c r="N271"/>
  <c r="K272"/>
  <c r="I272"/>
  <c r="G272"/>
  <c r="F272"/>
  <c r="J272"/>
  <c r="H272"/>
  <c r="E273"/>
  <c r="K77"/>
  <c r="K153" s="1"/>
  <c r="K304" s="1"/>
  <c r="N53" i="6"/>
  <c r="E18" i="2"/>
  <c r="F18" s="1"/>
  <c r="L1" i="3"/>
  <c r="L272" l="1"/>
  <c r="H273"/>
  <c r="I273"/>
  <c r="G273"/>
  <c r="K273"/>
  <c r="F273"/>
  <c r="J273"/>
  <c r="N272"/>
  <c r="E274"/>
  <c r="L77"/>
  <c r="L153" s="1"/>
  <c r="L304" s="1"/>
  <c r="O53" i="6"/>
  <c r="D18" i="2"/>
  <c r="M1" i="3"/>
  <c r="L273" l="1"/>
  <c r="H274"/>
  <c r="I274"/>
  <c r="G274"/>
  <c r="K274"/>
  <c r="F274"/>
  <c r="J274"/>
  <c r="N273"/>
  <c r="E275"/>
  <c r="M77"/>
  <c r="M153" s="1"/>
  <c r="M304" s="1"/>
  <c r="P53" i="6"/>
  <c r="N1" i="3"/>
  <c r="L274" l="1"/>
  <c r="H275"/>
  <c r="K275"/>
  <c r="I275"/>
  <c r="G275"/>
  <c r="F275"/>
  <c r="J275"/>
  <c r="N274"/>
  <c r="E276"/>
  <c r="N77"/>
  <c r="N153" s="1"/>
  <c r="N304" s="1"/>
  <c r="Q53" i="6"/>
  <c r="O1" i="3"/>
  <c r="L275" l="1"/>
  <c r="N275"/>
  <c r="H276"/>
  <c r="I276"/>
  <c r="G276"/>
  <c r="K276"/>
  <c r="F276"/>
  <c r="J276"/>
  <c r="E277"/>
  <c r="O77"/>
  <c r="O153" s="1"/>
  <c r="O304" s="1"/>
  <c r="R53" i="6"/>
  <c r="P1" i="3"/>
  <c r="L276" l="1"/>
  <c r="H277"/>
  <c r="I277"/>
  <c r="G277"/>
  <c r="K277"/>
  <c r="F277"/>
  <c r="J277"/>
  <c r="N276"/>
  <c r="E278"/>
  <c r="P77"/>
  <c r="P153" s="1"/>
  <c r="P304" s="1"/>
  <c r="S53" i="6"/>
  <c r="Q1" i="3"/>
  <c r="L277" l="1"/>
  <c r="N277"/>
  <c r="H278"/>
  <c r="I278"/>
  <c r="G278"/>
  <c r="K278"/>
  <c r="F278"/>
  <c r="J278"/>
  <c r="E279"/>
  <c r="Q77"/>
  <c r="Q153" s="1"/>
  <c r="Q304" s="1"/>
  <c r="T53" i="6"/>
  <c r="R1" i="3"/>
  <c r="L278" l="1"/>
  <c r="N278"/>
  <c r="H279"/>
  <c r="K279"/>
  <c r="I279"/>
  <c r="G279"/>
  <c r="F279"/>
  <c r="J279"/>
  <c r="E280"/>
  <c r="R77"/>
  <c r="R153" s="1"/>
  <c r="R304" s="1"/>
  <c r="U53" i="6"/>
  <c r="S1" i="3"/>
  <c r="L279" l="1"/>
  <c r="N279"/>
  <c r="H280"/>
  <c r="K280"/>
  <c r="I280"/>
  <c r="G280"/>
  <c r="F280"/>
  <c r="J280"/>
  <c r="E281"/>
  <c r="S77"/>
  <c r="S153" s="1"/>
  <c r="S304" s="1"/>
  <c r="V53" i="6"/>
  <c r="T1" i="3"/>
  <c r="L280" l="1"/>
  <c r="N280"/>
  <c r="H281"/>
  <c r="I281"/>
  <c r="G281"/>
  <c r="K281"/>
  <c r="F281"/>
  <c r="J281"/>
  <c r="E282"/>
  <c r="T77"/>
  <c r="T153" s="1"/>
  <c r="T304" s="1"/>
  <c r="W53" i="6"/>
  <c r="U1" i="3"/>
  <c r="L281" l="1"/>
  <c r="N281"/>
  <c r="H282"/>
  <c r="I282"/>
  <c r="G282"/>
  <c r="K282"/>
  <c r="F282"/>
  <c r="J282"/>
  <c r="E283"/>
  <c r="U77"/>
  <c r="U153" s="1"/>
  <c r="U304" s="1"/>
  <c r="X53" i="6"/>
  <c r="V1" i="3"/>
  <c r="L282" l="1"/>
  <c r="N282"/>
  <c r="H283"/>
  <c r="K283"/>
  <c r="I283"/>
  <c r="G283"/>
  <c r="F283"/>
  <c r="J283"/>
  <c r="E284"/>
  <c r="V77"/>
  <c r="V153" s="1"/>
  <c r="V304" s="1"/>
  <c r="Y53" i="6"/>
  <c r="W1" i="3"/>
  <c r="L283" l="1"/>
  <c r="N283"/>
  <c r="H284"/>
  <c r="I284"/>
  <c r="G284"/>
  <c r="K284"/>
  <c r="F284"/>
  <c r="J284"/>
  <c r="E285"/>
  <c r="W77"/>
  <c r="W153" s="1"/>
  <c r="W304" s="1"/>
  <c r="Z53" i="6"/>
  <c r="X1" i="3"/>
  <c r="L284" l="1"/>
  <c r="H285"/>
  <c r="I285"/>
  <c r="G285"/>
  <c r="K285"/>
  <c r="F285"/>
  <c r="J285"/>
  <c r="N284"/>
  <c r="E286"/>
  <c r="X77"/>
  <c r="X153" s="1"/>
  <c r="X304" s="1"/>
  <c r="AA53" i="6"/>
  <c r="Y1" i="3"/>
  <c r="L285" l="1"/>
  <c r="H286"/>
  <c r="I286"/>
  <c r="G286"/>
  <c r="K286"/>
  <c r="F286"/>
  <c r="J286"/>
  <c r="N285"/>
  <c r="E287"/>
  <c r="Y77"/>
  <c r="Y153" s="1"/>
  <c r="Y304" s="1"/>
  <c r="AB53" i="6"/>
  <c r="Z1" i="3"/>
  <c r="L286" l="1"/>
  <c r="N286"/>
  <c r="H287"/>
  <c r="K287"/>
  <c r="I287"/>
  <c r="G287"/>
  <c r="F287"/>
  <c r="J287"/>
  <c r="E288"/>
  <c r="Z77"/>
  <c r="Z153" s="1"/>
  <c r="Z304" s="1"/>
  <c r="AC53" i="6"/>
  <c r="AA1" i="3"/>
  <c r="L287" l="1"/>
  <c r="H288"/>
  <c r="I288"/>
  <c r="G288"/>
  <c r="K288"/>
  <c r="F288"/>
  <c r="J288"/>
  <c r="N287"/>
  <c r="E289"/>
  <c r="AA77"/>
  <c r="AA153" s="1"/>
  <c r="AA304" s="1"/>
  <c r="AD53" i="6"/>
  <c r="AB1" i="3"/>
  <c r="L288" l="1"/>
  <c r="H289"/>
  <c r="I289"/>
  <c r="G289"/>
  <c r="K289"/>
  <c r="F289"/>
  <c r="J289"/>
  <c r="N288"/>
  <c r="E290"/>
  <c r="AB77"/>
  <c r="AB153" s="1"/>
  <c r="AB304" s="1"/>
  <c r="AE53" i="6"/>
  <c r="AC1" i="3"/>
  <c r="L289" l="1"/>
  <c r="H290"/>
  <c r="K290"/>
  <c r="I290"/>
  <c r="G290"/>
  <c r="F290"/>
  <c r="J290"/>
  <c r="N289"/>
  <c r="E291"/>
  <c r="AC77"/>
  <c r="AC153" s="1"/>
  <c r="AC304" s="1"/>
  <c r="AF53" i="6"/>
  <c r="AD1" i="3"/>
  <c r="L290" l="1"/>
  <c r="N290"/>
  <c r="H291"/>
  <c r="K291"/>
  <c r="I291"/>
  <c r="G291"/>
  <c r="F291"/>
  <c r="J291"/>
  <c r="E292"/>
  <c r="AD77"/>
  <c r="AD153" s="1"/>
  <c r="AD304" s="1"/>
  <c r="AG53" i="6"/>
  <c r="AE1" i="3"/>
  <c r="L291" l="1"/>
  <c r="H292"/>
  <c r="I292"/>
  <c r="G292"/>
  <c r="K292"/>
  <c r="F292"/>
  <c r="J292"/>
  <c r="N291"/>
  <c r="E293"/>
  <c r="AE77"/>
  <c r="AE153" s="1"/>
  <c r="AE304" s="1"/>
  <c r="AH53" i="6"/>
  <c r="AF1" i="3"/>
  <c r="L292" l="1"/>
  <c r="H293"/>
  <c r="I293"/>
  <c r="G293"/>
  <c r="K293"/>
  <c r="F293"/>
  <c r="J293"/>
  <c r="N292"/>
  <c r="E294"/>
  <c r="AF77"/>
  <c r="AF153" s="1"/>
  <c r="AF304" s="1"/>
  <c r="AI53" i="6"/>
  <c r="AG1" i="3"/>
  <c r="L293" l="1"/>
  <c r="H294"/>
  <c r="K294"/>
  <c r="I294"/>
  <c r="G294"/>
  <c r="F294"/>
  <c r="J294"/>
  <c r="N293"/>
  <c r="E295"/>
  <c r="AG77"/>
  <c r="AG153" s="1"/>
  <c r="AG304" s="1"/>
  <c r="AJ53" i="6"/>
  <c r="AH1" i="3"/>
  <c r="L294" l="1"/>
  <c r="H295"/>
  <c r="K295"/>
  <c r="I295"/>
  <c r="G295"/>
  <c r="F295"/>
  <c r="J295"/>
  <c r="N294"/>
  <c r="E296"/>
  <c r="AH77"/>
  <c r="AH153" s="1"/>
  <c r="AH304" s="1"/>
  <c r="AK53" i="6"/>
  <c r="AI1" i="3"/>
  <c r="L295" l="1"/>
  <c r="N295"/>
  <c r="H296"/>
  <c r="I296"/>
  <c r="G296"/>
  <c r="K296"/>
  <c r="F296"/>
  <c r="J296"/>
  <c r="E297"/>
  <c r="AI77"/>
  <c r="AI153" s="1"/>
  <c r="AI304" s="1"/>
  <c r="AL53" i="6"/>
  <c r="AJ1" i="3"/>
  <c r="L296" l="1"/>
  <c r="H297"/>
  <c r="I297"/>
  <c r="G297"/>
  <c r="K297"/>
  <c r="F297"/>
  <c r="J297"/>
  <c r="N296"/>
  <c r="E298"/>
  <c r="AJ77"/>
  <c r="AJ153" s="1"/>
  <c r="AJ304" s="1"/>
  <c r="AM53" i="6"/>
  <c r="AK1" i="3"/>
  <c r="L297" l="1"/>
  <c r="N297"/>
  <c r="H298"/>
  <c r="K298"/>
  <c r="I298"/>
  <c r="G298"/>
  <c r="F298"/>
  <c r="J298"/>
  <c r="E299"/>
  <c r="AK77"/>
  <c r="AK153" s="1"/>
  <c r="AK304" s="1"/>
  <c r="AN53" i="6"/>
  <c r="L298" i="3" l="1"/>
  <c r="H299"/>
  <c r="K299"/>
  <c r="I299"/>
  <c r="G299"/>
  <c r="F299"/>
  <c r="J299"/>
  <c r="N298"/>
  <c r="E300"/>
  <c r="L299" l="1"/>
  <c r="H300"/>
  <c r="K300"/>
  <c r="I300"/>
  <c r="G300"/>
  <c r="F300"/>
  <c r="J300"/>
  <c r="N299"/>
  <c r="E301"/>
  <c r="L300" l="1"/>
  <c r="H301"/>
  <c r="I301"/>
  <c r="G301"/>
  <c r="K301"/>
  <c r="F301"/>
  <c r="J301"/>
  <c r="N300"/>
  <c r="E302"/>
  <c r="L301" l="1"/>
  <c r="N301"/>
  <c r="H302"/>
  <c r="K302"/>
  <c r="I302"/>
  <c r="G302"/>
  <c r="F302"/>
  <c r="J302"/>
  <c r="L302" l="1"/>
  <c r="N302"/>
  <c r="D167"/>
  <c r="O15" i="2" l="1"/>
  <c r="C304" i="3"/>
  <c r="G167"/>
  <c r="K168"/>
  <c r="G168"/>
  <c r="H167"/>
  <c r="I168"/>
  <c r="J167"/>
  <c r="F168"/>
  <c r="J168"/>
  <c r="K167"/>
  <c r="H168"/>
  <c r="I167"/>
  <c r="F167"/>
  <c r="D164"/>
  <c r="AI421" l="1"/>
  <c r="AI438" s="1"/>
  <c r="AI355"/>
  <c r="AI435" s="1"/>
  <c r="AI351"/>
  <c r="AI429" s="1"/>
  <c r="AI329"/>
  <c r="AI428" s="1"/>
  <c r="AI373"/>
  <c r="AI430" s="1"/>
  <c r="AI307"/>
  <c r="AI417"/>
  <c r="AI432" s="1"/>
  <c r="AI395"/>
  <c r="AI431" s="1"/>
  <c r="AI333"/>
  <c r="AI434" s="1"/>
  <c r="AI399"/>
  <c r="AI437" s="1"/>
  <c r="AI377"/>
  <c r="AI436" s="1"/>
  <c r="AI311"/>
  <c r="Q395"/>
  <c r="Q431" s="1"/>
  <c r="Q333"/>
  <c r="Q434" s="1"/>
  <c r="Q311"/>
  <c r="Q421"/>
  <c r="Q438" s="1"/>
  <c r="Q351"/>
  <c r="Q429" s="1"/>
  <c r="Q329"/>
  <c r="Q428" s="1"/>
  <c r="Q417"/>
  <c r="Q432" s="1"/>
  <c r="Q399"/>
  <c r="Q437" s="1"/>
  <c r="Q377"/>
  <c r="Q436" s="1"/>
  <c r="Q355"/>
  <c r="Q435" s="1"/>
  <c r="Q373"/>
  <c r="Q430" s="1"/>
  <c r="Q307"/>
  <c r="F307"/>
  <c r="K311"/>
  <c r="K329"/>
  <c r="K428" s="1"/>
  <c r="K417"/>
  <c r="K432" s="1"/>
  <c r="K351"/>
  <c r="K429" s="1"/>
  <c r="K421"/>
  <c r="K438" s="1"/>
  <c r="K373"/>
  <c r="K430" s="1"/>
  <c r="K399"/>
  <c r="K437" s="1"/>
  <c r="K377"/>
  <c r="K436" s="1"/>
  <c r="K395"/>
  <c r="K431" s="1"/>
  <c r="K355"/>
  <c r="K435" s="1"/>
  <c r="K333"/>
  <c r="K434" s="1"/>
  <c r="K307"/>
  <c r="R302"/>
  <c r="T301"/>
  <c r="P301"/>
  <c r="R300"/>
  <c r="T299"/>
  <c r="P299"/>
  <c r="R298"/>
  <c r="T297"/>
  <c r="P297"/>
  <c r="R296"/>
  <c r="T295"/>
  <c r="P295"/>
  <c r="R294"/>
  <c r="T293"/>
  <c r="P293"/>
  <c r="R292"/>
  <c r="T291"/>
  <c r="P291"/>
  <c r="R290"/>
  <c r="T289"/>
  <c r="P289"/>
  <c r="R288"/>
  <c r="T287"/>
  <c r="P287"/>
  <c r="R286"/>
  <c r="T285"/>
  <c r="P285"/>
  <c r="R284"/>
  <c r="T283"/>
  <c r="P283"/>
  <c r="R282"/>
  <c r="T281"/>
  <c r="P281"/>
  <c r="R280"/>
  <c r="T279"/>
  <c r="P279"/>
  <c r="R278"/>
  <c r="T277"/>
  <c r="P277"/>
  <c r="R276"/>
  <c r="T275"/>
  <c r="P275"/>
  <c r="R274"/>
  <c r="T273"/>
  <c r="P273"/>
  <c r="R272"/>
  <c r="T271"/>
  <c r="P271"/>
  <c r="R270"/>
  <c r="T269"/>
  <c r="P269"/>
  <c r="R268"/>
  <c r="T267"/>
  <c r="P267"/>
  <c r="R266"/>
  <c r="T265"/>
  <c r="P265"/>
  <c r="R264"/>
  <c r="T263"/>
  <c r="P263"/>
  <c r="R262"/>
  <c r="T261"/>
  <c r="P261"/>
  <c r="R260"/>
  <c r="T259"/>
  <c r="P259"/>
  <c r="R258"/>
  <c r="T257"/>
  <c r="P257"/>
  <c r="R256"/>
  <c r="T255"/>
  <c r="P255"/>
  <c r="R254"/>
  <c r="T253"/>
  <c r="P253"/>
  <c r="R252"/>
  <c r="T251"/>
  <c r="P251"/>
  <c r="R250"/>
  <c r="T249"/>
  <c r="P249"/>
  <c r="R248"/>
  <c r="T247"/>
  <c r="P247"/>
  <c r="R246"/>
  <c r="T245"/>
  <c r="P245"/>
  <c r="R244"/>
  <c r="T243"/>
  <c r="P243"/>
  <c r="R242"/>
  <c r="T241"/>
  <c r="P241"/>
  <c r="R240"/>
  <c r="T239"/>
  <c r="P239"/>
  <c r="R238"/>
  <c r="T237"/>
  <c r="P237"/>
  <c r="R236"/>
  <c r="T235"/>
  <c r="P235"/>
  <c r="R234"/>
  <c r="T233"/>
  <c r="P233"/>
  <c r="R232"/>
  <c r="T231"/>
  <c r="P231"/>
  <c r="R230"/>
  <c r="T229"/>
  <c r="P229"/>
  <c r="R228"/>
  <c r="T227"/>
  <c r="P227"/>
  <c r="R226"/>
  <c r="T225"/>
  <c r="P225"/>
  <c r="R224"/>
  <c r="T223"/>
  <c r="P223"/>
  <c r="R222"/>
  <c r="T221"/>
  <c r="P221"/>
  <c r="R220"/>
  <c r="T219"/>
  <c r="P219"/>
  <c r="R218"/>
  <c r="T217"/>
  <c r="P217"/>
  <c r="R216"/>
  <c r="T215"/>
  <c r="P215"/>
  <c r="R214"/>
  <c r="T213"/>
  <c r="P213"/>
  <c r="R212"/>
  <c r="T211"/>
  <c r="P211"/>
  <c r="R210"/>
  <c r="T209"/>
  <c r="P209"/>
  <c r="R208"/>
  <c r="T207"/>
  <c r="P207"/>
  <c r="R206"/>
  <c r="T205"/>
  <c r="P205"/>
  <c r="R204"/>
  <c r="T203"/>
  <c r="P203"/>
  <c r="R202"/>
  <c r="T201"/>
  <c r="P201"/>
  <c r="R200"/>
  <c r="T199"/>
  <c r="P199"/>
  <c r="R198"/>
  <c r="T197"/>
  <c r="P197"/>
  <c r="R196"/>
  <c r="T195"/>
  <c r="P195"/>
  <c r="R194"/>
  <c r="T193"/>
  <c r="P193"/>
  <c r="R192"/>
  <c r="T191"/>
  <c r="P191"/>
  <c r="R190"/>
  <c r="T189"/>
  <c r="P189"/>
  <c r="R188"/>
  <c r="T187"/>
  <c r="P187"/>
  <c r="R186"/>
  <c r="T185"/>
  <c r="P185"/>
  <c r="R184"/>
  <c r="T183"/>
  <c r="P183"/>
  <c r="R182"/>
  <c r="T181"/>
  <c r="P181"/>
  <c r="R180"/>
  <c r="T179"/>
  <c r="P179"/>
  <c r="R178"/>
  <c r="T177"/>
  <c r="P177"/>
  <c r="R176"/>
  <c r="T175"/>
  <c r="S302"/>
  <c r="U301"/>
  <c r="Q301"/>
  <c r="S300"/>
  <c r="U299"/>
  <c r="Q299"/>
  <c r="S298"/>
  <c r="U297"/>
  <c r="Q297"/>
  <c r="S296"/>
  <c r="U295"/>
  <c r="Q295"/>
  <c r="S294"/>
  <c r="U293"/>
  <c r="Q293"/>
  <c r="S292"/>
  <c r="U291"/>
  <c r="Q291"/>
  <c r="S290"/>
  <c r="U289"/>
  <c r="Q289"/>
  <c r="S288"/>
  <c r="U287"/>
  <c r="Q287"/>
  <c r="S286"/>
  <c r="U285"/>
  <c r="Q285"/>
  <c r="S284"/>
  <c r="U283"/>
  <c r="Q283"/>
  <c r="S282"/>
  <c r="U281"/>
  <c r="Q281"/>
  <c r="S280"/>
  <c r="U279"/>
  <c r="Q279"/>
  <c r="S278"/>
  <c r="U277"/>
  <c r="Q277"/>
  <c r="S276"/>
  <c r="U275"/>
  <c r="Q275"/>
  <c r="S274"/>
  <c r="U273"/>
  <c r="Q273"/>
  <c r="S272"/>
  <c r="U271"/>
  <c r="Q271"/>
  <c r="S270"/>
  <c r="U269"/>
  <c r="Q269"/>
  <c r="S268"/>
  <c r="U267"/>
  <c r="Q267"/>
  <c r="S266"/>
  <c r="U265"/>
  <c r="Q265"/>
  <c r="S264"/>
  <c r="U263"/>
  <c r="Q263"/>
  <c r="S262"/>
  <c r="U261"/>
  <c r="Q261"/>
  <c r="S260"/>
  <c r="U259"/>
  <c r="Q259"/>
  <c r="S258"/>
  <c r="U257"/>
  <c r="Q257"/>
  <c r="S256"/>
  <c r="U255"/>
  <c r="Q255"/>
  <c r="S254"/>
  <c r="U253"/>
  <c r="Q253"/>
  <c r="S252"/>
  <c r="U251"/>
  <c r="Q251"/>
  <c r="S250"/>
  <c r="U249"/>
  <c r="Q249"/>
  <c r="S248"/>
  <c r="U247"/>
  <c r="Q247"/>
  <c r="S246"/>
  <c r="U245"/>
  <c r="Q245"/>
  <c r="S244"/>
  <c r="U243"/>
  <c r="Q243"/>
  <c r="S242"/>
  <c r="U241"/>
  <c r="Q241"/>
  <c r="S240"/>
  <c r="U239"/>
  <c r="Q239"/>
  <c r="S238"/>
  <c r="U237"/>
  <c r="Q237"/>
  <c r="S236"/>
  <c r="U235"/>
  <c r="Q235"/>
  <c r="S234"/>
  <c r="U233"/>
  <c r="Q233"/>
  <c r="S232"/>
  <c r="U231"/>
  <c r="Q231"/>
  <c r="S230"/>
  <c r="U229"/>
  <c r="Q229"/>
  <c r="S228"/>
  <c r="U227"/>
  <c r="Q227"/>
  <c r="S226"/>
  <c r="U225"/>
  <c r="Q225"/>
  <c r="S224"/>
  <c r="U223"/>
  <c r="Q223"/>
  <c r="S222"/>
  <c r="U221"/>
  <c r="Q221"/>
  <c r="S220"/>
  <c r="U219"/>
  <c r="Q219"/>
  <c r="S218"/>
  <c r="U217"/>
  <c r="Q217"/>
  <c r="S216"/>
  <c r="U215"/>
  <c r="Q215"/>
  <c r="S214"/>
  <c r="U213"/>
  <c r="Q213"/>
  <c r="S212"/>
  <c r="U211"/>
  <c r="Q211"/>
  <c r="S210"/>
  <c r="U209"/>
  <c r="Q209"/>
  <c r="S208"/>
  <c r="U207"/>
  <c r="Q207"/>
  <c r="S206"/>
  <c r="U205"/>
  <c r="Q205"/>
  <c r="S204"/>
  <c r="U203"/>
  <c r="Q203"/>
  <c r="S202"/>
  <c r="U201"/>
  <c r="Q201"/>
  <c r="S200"/>
  <c r="U199"/>
  <c r="Q199"/>
  <c r="S198"/>
  <c r="U197"/>
  <c r="Q197"/>
  <c r="S196"/>
  <c r="U195"/>
  <c r="Q195"/>
  <c r="S194"/>
  <c r="U193"/>
  <c r="Q193"/>
  <c r="S192"/>
  <c r="U191"/>
  <c r="Q191"/>
  <c r="S190"/>
  <c r="U189"/>
  <c r="Q189"/>
  <c r="S188"/>
  <c r="U187"/>
  <c r="Q187"/>
  <c r="S186"/>
  <c r="U185"/>
  <c r="Q185"/>
  <c r="S184"/>
  <c r="U183"/>
  <c r="Q183"/>
  <c r="S182"/>
  <c r="U181"/>
  <c r="Q181"/>
  <c r="S180"/>
  <c r="U179"/>
  <c r="Q179"/>
  <c r="S178"/>
  <c r="U177"/>
  <c r="Q177"/>
  <c r="S176"/>
  <c r="U175"/>
  <c r="Q175"/>
  <c r="T302"/>
  <c r="P302"/>
  <c r="R301"/>
  <c r="T300"/>
  <c r="P300"/>
  <c r="R299"/>
  <c r="T298"/>
  <c r="P298"/>
  <c r="R297"/>
  <c r="T296"/>
  <c r="P296"/>
  <c r="R295"/>
  <c r="T294"/>
  <c r="P294"/>
  <c r="R293"/>
  <c r="T292"/>
  <c r="P292"/>
  <c r="R291"/>
  <c r="T290"/>
  <c r="P290"/>
  <c r="R289"/>
  <c r="T288"/>
  <c r="P288"/>
  <c r="R287"/>
  <c r="T286"/>
  <c r="P286"/>
  <c r="R285"/>
  <c r="T284"/>
  <c r="P284"/>
  <c r="R283"/>
  <c r="T282"/>
  <c r="P282"/>
  <c r="R281"/>
  <c r="T280"/>
  <c r="P280"/>
  <c r="R279"/>
  <c r="T278"/>
  <c r="P278"/>
  <c r="R277"/>
  <c r="T276"/>
  <c r="P276"/>
  <c r="R275"/>
  <c r="T274"/>
  <c r="P274"/>
  <c r="R273"/>
  <c r="T272"/>
  <c r="P272"/>
  <c r="R271"/>
  <c r="T270"/>
  <c r="P270"/>
  <c r="R269"/>
  <c r="T268"/>
  <c r="P268"/>
  <c r="R267"/>
  <c r="T266"/>
  <c r="P266"/>
  <c r="R265"/>
  <c r="T264"/>
  <c r="P264"/>
  <c r="R263"/>
  <c r="T262"/>
  <c r="P262"/>
  <c r="R261"/>
  <c r="T260"/>
  <c r="P260"/>
  <c r="R259"/>
  <c r="T258"/>
  <c r="P258"/>
  <c r="R257"/>
  <c r="T256"/>
  <c r="P256"/>
  <c r="R255"/>
  <c r="T254"/>
  <c r="P254"/>
  <c r="R253"/>
  <c r="T252"/>
  <c r="P252"/>
  <c r="R251"/>
  <c r="T250"/>
  <c r="P250"/>
  <c r="R249"/>
  <c r="T248"/>
  <c r="P248"/>
  <c r="R247"/>
  <c r="T246"/>
  <c r="P246"/>
  <c r="R245"/>
  <c r="T244"/>
  <c r="P244"/>
  <c r="R243"/>
  <c r="T242"/>
  <c r="P242"/>
  <c r="R241"/>
  <c r="T240"/>
  <c r="P240"/>
  <c r="R239"/>
  <c r="T238"/>
  <c r="P238"/>
  <c r="R237"/>
  <c r="T236"/>
  <c r="P236"/>
  <c r="R235"/>
  <c r="T234"/>
  <c r="P234"/>
  <c r="R233"/>
  <c r="T232"/>
  <c r="P232"/>
  <c r="R231"/>
  <c r="T230"/>
  <c r="P230"/>
  <c r="R229"/>
  <c r="T228"/>
  <c r="P228"/>
  <c r="R227"/>
  <c r="T226"/>
  <c r="P226"/>
  <c r="R225"/>
  <c r="T224"/>
  <c r="P224"/>
  <c r="R223"/>
  <c r="T222"/>
  <c r="P222"/>
  <c r="R221"/>
  <c r="T220"/>
  <c r="P220"/>
  <c r="R219"/>
  <c r="T218"/>
  <c r="P218"/>
  <c r="R217"/>
  <c r="T216"/>
  <c r="P216"/>
  <c r="R215"/>
  <c r="T214"/>
  <c r="P214"/>
  <c r="R213"/>
  <c r="T212"/>
  <c r="P212"/>
  <c r="R211"/>
  <c r="T210"/>
  <c r="P210"/>
  <c r="R209"/>
  <c r="T208"/>
  <c r="P208"/>
  <c r="R207"/>
  <c r="T206"/>
  <c r="P206"/>
  <c r="R205"/>
  <c r="T204"/>
  <c r="P204"/>
  <c r="R203"/>
  <c r="T202"/>
  <c r="P202"/>
  <c r="R201"/>
  <c r="T200"/>
  <c r="P200"/>
  <c r="R199"/>
  <c r="T198"/>
  <c r="P198"/>
  <c r="R197"/>
  <c r="T196"/>
  <c r="P196"/>
  <c r="R195"/>
  <c r="T194"/>
  <c r="P194"/>
  <c r="R193"/>
  <c r="T192"/>
  <c r="P192"/>
  <c r="R191"/>
  <c r="T190"/>
  <c r="P190"/>
  <c r="R189"/>
  <c r="T188"/>
  <c r="P188"/>
  <c r="R187"/>
  <c r="T186"/>
  <c r="P186"/>
  <c r="R185"/>
  <c r="T184"/>
  <c r="P184"/>
  <c r="R183"/>
  <c r="T182"/>
  <c r="P182"/>
  <c r="R181"/>
  <c r="T180"/>
  <c r="P180"/>
  <c r="R179"/>
  <c r="T178"/>
  <c r="P178"/>
  <c r="R177"/>
  <c r="T176"/>
  <c r="P176"/>
  <c r="R175"/>
  <c r="U302"/>
  <c r="Q302"/>
  <c r="S301"/>
  <c r="U300"/>
  <c r="Q300"/>
  <c r="S299"/>
  <c r="U298"/>
  <c r="Q298"/>
  <c r="S297"/>
  <c r="U296"/>
  <c r="Q296"/>
  <c r="S295"/>
  <c r="U294"/>
  <c r="Q294"/>
  <c r="S293"/>
  <c r="U292"/>
  <c r="Q292"/>
  <c r="S291"/>
  <c r="U290"/>
  <c r="Q290"/>
  <c r="S289"/>
  <c r="U288"/>
  <c r="Q288"/>
  <c r="S287"/>
  <c r="U286"/>
  <c r="Q286"/>
  <c r="S285"/>
  <c r="U284"/>
  <c r="Q284"/>
  <c r="S283"/>
  <c r="U282"/>
  <c r="Q282"/>
  <c r="S281"/>
  <c r="U280"/>
  <c r="Q280"/>
  <c r="S279"/>
  <c r="U278"/>
  <c r="Q278"/>
  <c r="S277"/>
  <c r="U276"/>
  <c r="Q276"/>
  <c r="S275"/>
  <c r="U274"/>
  <c r="Q274"/>
  <c r="S273"/>
  <c r="U272"/>
  <c r="Q272"/>
  <c r="S271"/>
  <c r="U270"/>
  <c r="Q270"/>
  <c r="S269"/>
  <c r="U268"/>
  <c r="Q268"/>
  <c r="S267"/>
  <c r="U266"/>
  <c r="Q266"/>
  <c r="S265"/>
  <c r="U264"/>
  <c r="Q264"/>
  <c r="S263"/>
  <c r="U262"/>
  <c r="Q262"/>
  <c r="S261"/>
  <c r="U260"/>
  <c r="Q260"/>
  <c r="S259"/>
  <c r="U258"/>
  <c r="Q258"/>
  <c r="S257"/>
  <c r="U256"/>
  <c r="Q256"/>
  <c r="S255"/>
  <c r="U254"/>
  <c r="Q254"/>
  <c r="S253"/>
  <c r="U252"/>
  <c r="Q252"/>
  <c r="S251"/>
  <c r="U250"/>
  <c r="Q250"/>
  <c r="S249"/>
  <c r="U248"/>
  <c r="Q248"/>
  <c r="S247"/>
  <c r="U246"/>
  <c r="Q246"/>
  <c r="S245"/>
  <c r="U244"/>
  <c r="Q244"/>
  <c r="S243"/>
  <c r="U242"/>
  <c r="Q242"/>
  <c r="S241"/>
  <c r="U240"/>
  <c r="Q240"/>
  <c r="S239"/>
  <c r="U238"/>
  <c r="Q238"/>
  <c r="S237"/>
  <c r="U236"/>
  <c r="Q236"/>
  <c r="S235"/>
  <c r="U234"/>
  <c r="Q234"/>
  <c r="S233"/>
  <c r="U232"/>
  <c r="Q232"/>
  <c r="S231"/>
  <c r="U230"/>
  <c r="Q230"/>
  <c r="S229"/>
  <c r="U228"/>
  <c r="Q228"/>
  <c r="S227"/>
  <c r="U226"/>
  <c r="Q226"/>
  <c r="S225"/>
  <c r="U224"/>
  <c r="Q224"/>
  <c r="S223"/>
  <c r="U222"/>
  <c r="Q222"/>
  <c r="S221"/>
  <c r="U220"/>
  <c r="Q220"/>
  <c r="S219"/>
  <c r="U218"/>
  <c r="Q218"/>
  <c r="S217"/>
  <c r="U216"/>
  <c r="Q216"/>
  <c r="S215"/>
  <c r="U214"/>
  <c r="Q214"/>
  <c r="S213"/>
  <c r="U212"/>
  <c r="Q212"/>
  <c r="S211"/>
  <c r="U210"/>
  <c r="Q210"/>
  <c r="S209"/>
  <c r="U208"/>
  <c r="Q208"/>
  <c r="S207"/>
  <c r="U206"/>
  <c r="Q206"/>
  <c r="S205"/>
  <c r="U204"/>
  <c r="Q204"/>
  <c r="S203"/>
  <c r="U202"/>
  <c r="Q202"/>
  <c r="S201"/>
  <c r="U200"/>
  <c r="Q200"/>
  <c r="S199"/>
  <c r="U198"/>
  <c r="Q198"/>
  <c r="S197"/>
  <c r="U196"/>
  <c r="Q196"/>
  <c r="S195"/>
  <c r="U194"/>
  <c r="Q194"/>
  <c r="S193"/>
  <c r="U192"/>
  <c r="Q192"/>
  <c r="S191"/>
  <c r="U190"/>
  <c r="Q190"/>
  <c r="S189"/>
  <c r="U188"/>
  <c r="Q188"/>
  <c r="S187"/>
  <c r="U186"/>
  <c r="Q186"/>
  <c r="S185"/>
  <c r="U184"/>
  <c r="Q184"/>
  <c r="S183"/>
  <c r="U182"/>
  <c r="Q182"/>
  <c r="S181"/>
  <c r="U180"/>
  <c r="Q180"/>
  <c r="S179"/>
  <c r="U178"/>
  <c r="Q178"/>
  <c r="S177"/>
  <c r="U176"/>
  <c r="Q176"/>
  <c r="S175"/>
  <c r="P175"/>
  <c r="W421"/>
  <c r="W438" s="1"/>
  <c r="W351"/>
  <c r="W429" s="1"/>
  <c r="W355"/>
  <c r="W435" s="1"/>
  <c r="W417"/>
  <c r="W432" s="1"/>
  <c r="W373"/>
  <c r="W430" s="1"/>
  <c r="W329"/>
  <c r="W428" s="1"/>
  <c r="W333"/>
  <c r="W434" s="1"/>
  <c r="W311"/>
  <c r="W399"/>
  <c r="W437" s="1"/>
  <c r="W377"/>
  <c r="W436" s="1"/>
  <c r="W395"/>
  <c r="W431" s="1"/>
  <c r="W307"/>
  <c r="AJ399"/>
  <c r="AJ437" s="1"/>
  <c r="AJ377"/>
  <c r="AJ436" s="1"/>
  <c r="AJ355"/>
  <c r="AJ435" s="1"/>
  <c r="AJ351"/>
  <c r="AJ429" s="1"/>
  <c r="AJ329"/>
  <c r="AJ428" s="1"/>
  <c r="AJ421"/>
  <c r="AJ438" s="1"/>
  <c r="AJ373"/>
  <c r="AJ430" s="1"/>
  <c r="AJ311"/>
  <c r="AJ417"/>
  <c r="AJ432" s="1"/>
  <c r="AJ395"/>
  <c r="AJ431" s="1"/>
  <c r="AJ333"/>
  <c r="AJ434" s="1"/>
  <c r="AJ307"/>
  <c r="AC373"/>
  <c r="AC430" s="1"/>
  <c r="AK395"/>
  <c r="AK431" s="1"/>
  <c r="AK329"/>
  <c r="AK428" s="1"/>
  <c r="AK421"/>
  <c r="AK438" s="1"/>
  <c r="AC421"/>
  <c r="AC438" s="1"/>
  <c r="AC399"/>
  <c r="AC437" s="1"/>
  <c r="AC377"/>
  <c r="AC436" s="1"/>
  <c r="AC355"/>
  <c r="AC435" s="1"/>
  <c r="AC395"/>
  <c r="AC431" s="1"/>
  <c r="AC333"/>
  <c r="AC434" s="1"/>
  <c r="AC307"/>
  <c r="AC417"/>
  <c r="AC432" s="1"/>
  <c r="AK351"/>
  <c r="AK429" s="1"/>
  <c r="AC329"/>
  <c r="AC428" s="1"/>
  <c r="AK311"/>
  <c r="AK417"/>
  <c r="AK432" s="1"/>
  <c r="AC351"/>
  <c r="AC429" s="1"/>
  <c r="AK399"/>
  <c r="AK437" s="1"/>
  <c r="AK377"/>
  <c r="AK436" s="1"/>
  <c r="AK355"/>
  <c r="AK435" s="1"/>
  <c r="AK373"/>
  <c r="AK430" s="1"/>
  <c r="AK333"/>
  <c r="AK434" s="1"/>
  <c r="AC311"/>
  <c r="AK307"/>
  <c r="N417"/>
  <c r="N432" s="1"/>
  <c r="AE421"/>
  <c r="AE438" s="1"/>
  <c r="V417"/>
  <c r="V432" s="1"/>
  <c r="F421"/>
  <c r="F438" s="1"/>
  <c r="AD421"/>
  <c r="AD438" s="1"/>
  <c r="AE417"/>
  <c r="AE432" s="1"/>
  <c r="N421"/>
  <c r="N438" s="1"/>
  <c r="AD417"/>
  <c r="AD432" s="1"/>
  <c r="O421"/>
  <c r="O438" s="1"/>
  <c r="V421"/>
  <c r="V438" s="1"/>
  <c r="F417"/>
  <c r="F432" s="1"/>
  <c r="G417"/>
  <c r="G432" s="1"/>
  <c r="G421"/>
  <c r="G438" s="1"/>
  <c r="O417"/>
  <c r="O432" s="1"/>
  <c r="H421"/>
  <c r="H438" s="1"/>
  <c r="H417"/>
  <c r="H432" s="1"/>
  <c r="I421"/>
  <c r="I438" s="1"/>
  <c r="I417"/>
  <c r="I432" s="1"/>
  <c r="P421"/>
  <c r="P438" s="1"/>
  <c r="P417"/>
  <c r="P432" s="1"/>
  <c r="X417"/>
  <c r="X432" s="1"/>
  <c r="J421"/>
  <c r="J438" s="1"/>
  <c r="AF421"/>
  <c r="AF438" s="1"/>
  <c r="J417"/>
  <c r="J432" s="1"/>
  <c r="AF417"/>
  <c r="AF432" s="1"/>
  <c r="X421"/>
  <c r="X438" s="1"/>
  <c r="Y421"/>
  <c r="Y438" s="1"/>
  <c r="R417"/>
  <c r="R432" s="1"/>
  <c r="AG417"/>
  <c r="AG432" s="1"/>
  <c r="Y417"/>
  <c r="Y432" s="1"/>
  <c r="AG421"/>
  <c r="AG438" s="1"/>
  <c r="R421"/>
  <c r="R438" s="1"/>
  <c r="S417"/>
  <c r="S432" s="1"/>
  <c r="AH421"/>
  <c r="AH438" s="1"/>
  <c r="Z421"/>
  <c r="Z438" s="1"/>
  <c r="L421"/>
  <c r="L438" s="1"/>
  <c r="Z417"/>
  <c r="Z432" s="1"/>
  <c r="L417"/>
  <c r="L432" s="1"/>
  <c r="S421"/>
  <c r="S438" s="1"/>
  <c r="AH417"/>
  <c r="AH432" s="1"/>
  <c r="AA417"/>
  <c r="AA432" s="1"/>
  <c r="M417"/>
  <c r="M432" s="1"/>
  <c r="AA421"/>
  <c r="AA438" s="1"/>
  <c r="T421"/>
  <c r="T438" s="1"/>
  <c r="M421"/>
  <c r="M438" s="1"/>
  <c r="T417"/>
  <c r="T432" s="1"/>
  <c r="AB417"/>
  <c r="AB432" s="1"/>
  <c r="U421"/>
  <c r="U438" s="1"/>
  <c r="U417"/>
  <c r="U432" s="1"/>
  <c r="AB421"/>
  <c r="AB438" s="1"/>
  <c r="G399"/>
  <c r="G437" s="1"/>
  <c r="G377"/>
  <c r="G436" s="1"/>
  <c r="G373"/>
  <c r="G430" s="1"/>
  <c r="G351"/>
  <c r="G429" s="1"/>
  <c r="AD373"/>
  <c r="AD430" s="1"/>
  <c r="AE395"/>
  <c r="AE431" s="1"/>
  <c r="AE355"/>
  <c r="AE435" s="1"/>
  <c r="O399"/>
  <c r="O437" s="1"/>
  <c r="O377"/>
  <c r="O436" s="1"/>
  <c r="F351"/>
  <c r="F429" s="1"/>
  <c r="F399"/>
  <c r="F437" s="1"/>
  <c r="F377"/>
  <c r="F436" s="1"/>
  <c r="F355"/>
  <c r="F435" s="1"/>
  <c r="G395"/>
  <c r="G431" s="1"/>
  <c r="N399"/>
  <c r="N437" s="1"/>
  <c r="N377"/>
  <c r="N436" s="1"/>
  <c r="N355"/>
  <c r="N435" s="1"/>
  <c r="AD395"/>
  <c r="AD431" s="1"/>
  <c r="O373"/>
  <c r="O430" s="1"/>
  <c r="F395"/>
  <c r="F431" s="1"/>
  <c r="F373"/>
  <c r="F430" s="1"/>
  <c r="G355"/>
  <c r="G435" s="1"/>
  <c r="N373"/>
  <c r="N430" s="1"/>
  <c r="AD399"/>
  <c r="AD437" s="1"/>
  <c r="AD377"/>
  <c r="AD436" s="1"/>
  <c r="AD355"/>
  <c r="AD435" s="1"/>
  <c r="AE399"/>
  <c r="AE437" s="1"/>
  <c r="AE377"/>
  <c r="AE436" s="1"/>
  <c r="AE351"/>
  <c r="AE429" s="1"/>
  <c r="O395"/>
  <c r="O431" s="1"/>
  <c r="O351"/>
  <c r="O429" s="1"/>
  <c r="V373"/>
  <c r="V430" s="1"/>
  <c r="V399"/>
  <c r="V437" s="1"/>
  <c r="V377"/>
  <c r="V436" s="1"/>
  <c r="V355"/>
  <c r="V435" s="1"/>
  <c r="N395"/>
  <c r="N431" s="1"/>
  <c r="N351"/>
  <c r="N429" s="1"/>
  <c r="AD351"/>
  <c r="AD429" s="1"/>
  <c r="AE373"/>
  <c r="AE430" s="1"/>
  <c r="O355"/>
  <c r="O435" s="1"/>
  <c r="V395"/>
  <c r="V431" s="1"/>
  <c r="V351"/>
  <c r="V429" s="1"/>
  <c r="H351"/>
  <c r="H429" s="1"/>
  <c r="H399"/>
  <c r="H437" s="1"/>
  <c r="H377"/>
  <c r="H436" s="1"/>
  <c r="H355"/>
  <c r="H435" s="1"/>
  <c r="H373"/>
  <c r="H430" s="1"/>
  <c r="H395"/>
  <c r="H431" s="1"/>
  <c r="I399"/>
  <c r="I437" s="1"/>
  <c r="I377"/>
  <c r="I436" s="1"/>
  <c r="I355"/>
  <c r="I435" s="1"/>
  <c r="I373"/>
  <c r="I430" s="1"/>
  <c r="P399"/>
  <c r="P437" s="1"/>
  <c r="P377"/>
  <c r="P436" s="1"/>
  <c r="P355"/>
  <c r="P435" s="1"/>
  <c r="P351"/>
  <c r="P429" s="1"/>
  <c r="I395"/>
  <c r="I431" s="1"/>
  <c r="P373"/>
  <c r="P430" s="1"/>
  <c r="P395"/>
  <c r="P431" s="1"/>
  <c r="I351"/>
  <c r="I429" s="1"/>
  <c r="AF399"/>
  <c r="AF437" s="1"/>
  <c r="AF377"/>
  <c r="AF436" s="1"/>
  <c r="AF355"/>
  <c r="AF435" s="1"/>
  <c r="AF351"/>
  <c r="AF429" s="1"/>
  <c r="X395"/>
  <c r="X431" s="1"/>
  <c r="J399"/>
  <c r="J437" s="1"/>
  <c r="J377"/>
  <c r="J436" s="1"/>
  <c r="J355"/>
  <c r="J435" s="1"/>
  <c r="AF373"/>
  <c r="AF430" s="1"/>
  <c r="J373"/>
  <c r="J430" s="1"/>
  <c r="J351"/>
  <c r="J429" s="1"/>
  <c r="AF395"/>
  <c r="AF431" s="1"/>
  <c r="X399"/>
  <c r="X437" s="1"/>
  <c r="X377"/>
  <c r="X436" s="1"/>
  <c r="X355"/>
  <c r="X435" s="1"/>
  <c r="X351"/>
  <c r="X429" s="1"/>
  <c r="J395"/>
  <c r="J431" s="1"/>
  <c r="X373"/>
  <c r="X430" s="1"/>
  <c r="Y399"/>
  <c r="Y437" s="1"/>
  <c r="Y377"/>
  <c r="Y436" s="1"/>
  <c r="Y355"/>
  <c r="Y435" s="1"/>
  <c r="Y373"/>
  <c r="Y430" s="1"/>
  <c r="AG351"/>
  <c r="AG429" s="1"/>
  <c r="Y395"/>
  <c r="Y431" s="1"/>
  <c r="AG399"/>
  <c r="AG437" s="1"/>
  <c r="AG377"/>
  <c r="AG436" s="1"/>
  <c r="AG355"/>
  <c r="AG435" s="1"/>
  <c r="AG373"/>
  <c r="AG430" s="1"/>
  <c r="R399"/>
  <c r="R437" s="1"/>
  <c r="R377"/>
  <c r="R436" s="1"/>
  <c r="R355"/>
  <c r="R435" s="1"/>
  <c r="AG395"/>
  <c r="AG431" s="1"/>
  <c r="R373"/>
  <c r="R430" s="1"/>
  <c r="R351"/>
  <c r="R429" s="1"/>
  <c r="Y351"/>
  <c r="Y429" s="1"/>
  <c r="R395"/>
  <c r="R431" s="1"/>
  <c r="AH373"/>
  <c r="AH430" s="1"/>
  <c r="AH399"/>
  <c r="AH437" s="1"/>
  <c r="AH377"/>
  <c r="AH436" s="1"/>
  <c r="AH355"/>
  <c r="AH435" s="1"/>
  <c r="L395"/>
  <c r="L431" s="1"/>
  <c r="S355"/>
  <c r="S435" s="1"/>
  <c r="AH395"/>
  <c r="AH431" s="1"/>
  <c r="AH351"/>
  <c r="AH429" s="1"/>
  <c r="L399"/>
  <c r="L437" s="1"/>
  <c r="L377"/>
  <c r="L436" s="1"/>
  <c r="L355"/>
  <c r="L435" s="1"/>
  <c r="L351"/>
  <c r="L429" s="1"/>
  <c r="S399"/>
  <c r="S437" s="1"/>
  <c r="S377"/>
  <c r="S436" s="1"/>
  <c r="S373"/>
  <c r="S430" s="1"/>
  <c r="S351"/>
  <c r="S429" s="1"/>
  <c r="Z373"/>
  <c r="Z430" s="1"/>
  <c r="Z399"/>
  <c r="Z437" s="1"/>
  <c r="Z377"/>
  <c r="Z436" s="1"/>
  <c r="Z355"/>
  <c r="Z435" s="1"/>
  <c r="L373"/>
  <c r="L430" s="1"/>
  <c r="S395"/>
  <c r="S431" s="1"/>
  <c r="Z395"/>
  <c r="Z431" s="1"/>
  <c r="Z351"/>
  <c r="Z429" s="1"/>
  <c r="M399"/>
  <c r="M437" s="1"/>
  <c r="M377"/>
  <c r="M436" s="1"/>
  <c r="M355"/>
  <c r="M435" s="1"/>
  <c r="M395"/>
  <c r="M431" s="1"/>
  <c r="T399"/>
  <c r="T437" s="1"/>
  <c r="T377"/>
  <c r="T436" s="1"/>
  <c r="T355"/>
  <c r="T435" s="1"/>
  <c r="T351"/>
  <c r="T429" s="1"/>
  <c r="AA395"/>
  <c r="AA431" s="1"/>
  <c r="T373"/>
  <c r="T430" s="1"/>
  <c r="M351"/>
  <c r="M429" s="1"/>
  <c r="T395"/>
  <c r="T431" s="1"/>
  <c r="AA399"/>
  <c r="AA437" s="1"/>
  <c r="AA377"/>
  <c r="AA436" s="1"/>
  <c r="AA355"/>
  <c r="AA435" s="1"/>
  <c r="AA351"/>
  <c r="AA429" s="1"/>
  <c r="M373"/>
  <c r="M430" s="1"/>
  <c r="AA373"/>
  <c r="AA430" s="1"/>
  <c r="AB395"/>
  <c r="AB431" s="1"/>
  <c r="U399"/>
  <c r="U437" s="1"/>
  <c r="U377"/>
  <c r="U436" s="1"/>
  <c r="U355"/>
  <c r="U435" s="1"/>
  <c r="U395"/>
  <c r="U431" s="1"/>
  <c r="AB351"/>
  <c r="AB429" s="1"/>
  <c r="U351"/>
  <c r="U429" s="1"/>
  <c r="AB399"/>
  <c r="AB437" s="1"/>
  <c r="AB377"/>
  <c r="AB436" s="1"/>
  <c r="AB355"/>
  <c r="AB435" s="1"/>
  <c r="AB373"/>
  <c r="AB430" s="1"/>
  <c r="U373"/>
  <c r="U430" s="1"/>
  <c r="AD333"/>
  <c r="AD434" s="1"/>
  <c r="AE333"/>
  <c r="AE434" s="1"/>
  <c r="F333"/>
  <c r="F434" s="1"/>
  <c r="O329"/>
  <c r="O428" s="1"/>
  <c r="N333"/>
  <c r="N434" s="1"/>
  <c r="AD329"/>
  <c r="AD428" s="1"/>
  <c r="G329"/>
  <c r="G428" s="1"/>
  <c r="V333"/>
  <c r="V434" s="1"/>
  <c r="F329"/>
  <c r="F428" s="1"/>
  <c r="O333"/>
  <c r="O434" s="1"/>
  <c r="N329"/>
  <c r="N428" s="1"/>
  <c r="V329"/>
  <c r="V428" s="1"/>
  <c r="AE329"/>
  <c r="AE428" s="1"/>
  <c r="G333"/>
  <c r="G434" s="1"/>
  <c r="H329"/>
  <c r="H428" s="1"/>
  <c r="H333"/>
  <c r="H434" s="1"/>
  <c r="I333"/>
  <c r="I434" s="1"/>
  <c r="P333"/>
  <c r="P434" s="1"/>
  <c r="I329"/>
  <c r="I428" s="1"/>
  <c r="P329"/>
  <c r="P428" s="1"/>
  <c r="AF333"/>
  <c r="AF434" s="1"/>
  <c r="J329"/>
  <c r="J428" s="1"/>
  <c r="X329"/>
  <c r="X428" s="1"/>
  <c r="AF329"/>
  <c r="AF428" s="1"/>
  <c r="X333"/>
  <c r="X434" s="1"/>
  <c r="J333"/>
  <c r="J434" s="1"/>
  <c r="AG333"/>
  <c r="AG434" s="1"/>
  <c r="AG329"/>
  <c r="AG428" s="1"/>
  <c r="Y333"/>
  <c r="Y434" s="1"/>
  <c r="Y329"/>
  <c r="Y428" s="1"/>
  <c r="R329"/>
  <c r="R428" s="1"/>
  <c r="R333"/>
  <c r="R434" s="1"/>
  <c r="L333"/>
  <c r="L434" s="1"/>
  <c r="S333"/>
  <c r="S434" s="1"/>
  <c r="Z333"/>
  <c r="Z434" s="1"/>
  <c r="L329"/>
  <c r="L428" s="1"/>
  <c r="Z329"/>
  <c r="Z428" s="1"/>
  <c r="S329"/>
  <c r="S428" s="1"/>
  <c r="AH333"/>
  <c r="AH434" s="1"/>
  <c r="AH329"/>
  <c r="AH428" s="1"/>
  <c r="T329"/>
  <c r="T428" s="1"/>
  <c r="AA329"/>
  <c r="AA428" s="1"/>
  <c r="M333"/>
  <c r="M434" s="1"/>
  <c r="M329"/>
  <c r="M428" s="1"/>
  <c r="T333"/>
  <c r="T434" s="1"/>
  <c r="AA333"/>
  <c r="AA434" s="1"/>
  <c r="U333"/>
  <c r="U434" s="1"/>
  <c r="AB333"/>
  <c r="AB434" s="1"/>
  <c r="U329"/>
  <c r="U428" s="1"/>
  <c r="AB329"/>
  <c r="AB428" s="1"/>
  <c r="AH311"/>
  <c r="AH307"/>
  <c r="AG307"/>
  <c r="AG311"/>
  <c r="AF311"/>
  <c r="AF307"/>
  <c r="AE311"/>
  <c r="AE307"/>
  <c r="AD311"/>
  <c r="AD307"/>
  <c r="AB311"/>
  <c r="AB307"/>
  <c r="AA307"/>
  <c r="AA311"/>
  <c r="Z307"/>
  <c r="Z311"/>
  <c r="Y307"/>
  <c r="Y311"/>
  <c r="X311"/>
  <c r="X307"/>
  <c r="V307"/>
  <c r="V311"/>
  <c r="U307"/>
  <c r="U311"/>
  <c r="T311"/>
  <c r="T307"/>
  <c r="S311"/>
  <c r="S307"/>
  <c r="R311"/>
  <c r="R307"/>
  <c r="P307"/>
  <c r="P311"/>
  <c r="O311"/>
  <c r="O307"/>
  <c r="N311"/>
  <c r="N307"/>
  <c r="M307"/>
  <c r="M311"/>
  <c r="L311"/>
  <c r="L307"/>
  <c r="G311"/>
  <c r="G307"/>
  <c r="H311"/>
  <c r="H307"/>
  <c r="I307"/>
  <c r="I311"/>
  <c r="J307"/>
  <c r="J311"/>
  <c r="F311"/>
  <c r="J164"/>
  <c r="J169" s="1"/>
  <c r="H164"/>
  <c r="H170" s="1"/>
  <c r="A153"/>
  <c r="F164"/>
  <c r="F170" s="1"/>
  <c r="K164"/>
  <c r="K170" s="1"/>
  <c r="G164"/>
  <c r="G170" s="1"/>
  <c r="I164"/>
  <c r="I170" s="1"/>
  <c r="L168"/>
  <c r="L167"/>
  <c r="AM429" l="1"/>
  <c r="AL429"/>
  <c r="AM438"/>
  <c r="AL438"/>
  <c r="AL428"/>
  <c r="AM428"/>
  <c r="AL437"/>
  <c r="AM437"/>
  <c r="AM431"/>
  <c r="AL431"/>
  <c r="AM436"/>
  <c r="AL436"/>
  <c r="AM434"/>
  <c r="AL434"/>
  <c r="AL430"/>
  <c r="AM430"/>
  <c r="AM435"/>
  <c r="AL435"/>
  <c r="AL432"/>
  <c r="AM432"/>
  <c r="V175"/>
  <c r="V182"/>
  <c r="V190"/>
  <c r="V198"/>
  <c r="V206"/>
  <c r="V214"/>
  <c r="V222"/>
  <c r="V230"/>
  <c r="V238"/>
  <c r="V246"/>
  <c r="V262"/>
  <c r="V270"/>
  <c r="V278"/>
  <c r="V286"/>
  <c r="V294"/>
  <c r="V302"/>
  <c r="V177"/>
  <c r="V185"/>
  <c r="V193"/>
  <c r="V201"/>
  <c r="V209"/>
  <c r="V217"/>
  <c r="V225"/>
  <c r="V233"/>
  <c r="V241"/>
  <c r="V249"/>
  <c r="V257"/>
  <c r="V265"/>
  <c r="V273"/>
  <c r="V281"/>
  <c r="V289"/>
  <c r="V297"/>
  <c r="V176"/>
  <c r="V184"/>
  <c r="V192"/>
  <c r="V200"/>
  <c r="V208"/>
  <c r="V216"/>
  <c r="V224"/>
  <c r="V232"/>
  <c r="V240"/>
  <c r="V248"/>
  <c r="V256"/>
  <c r="V264"/>
  <c r="V272"/>
  <c r="V280"/>
  <c r="V288"/>
  <c r="V296"/>
  <c r="V179"/>
  <c r="V187"/>
  <c r="V195"/>
  <c r="V203"/>
  <c r="V211"/>
  <c r="V219"/>
  <c r="V227"/>
  <c r="V235"/>
  <c r="V243"/>
  <c r="V251"/>
  <c r="V259"/>
  <c r="V267"/>
  <c r="V275"/>
  <c r="V283"/>
  <c r="V291"/>
  <c r="V299"/>
  <c r="V178"/>
  <c r="V186"/>
  <c r="V194"/>
  <c r="V202"/>
  <c r="V210"/>
  <c r="V218"/>
  <c r="V226"/>
  <c r="V234"/>
  <c r="V242"/>
  <c r="V250"/>
  <c r="V258"/>
  <c r="V266"/>
  <c r="V274"/>
  <c r="V282"/>
  <c r="V290"/>
  <c r="V298"/>
  <c r="V181"/>
  <c r="V189"/>
  <c r="V197"/>
  <c r="V205"/>
  <c r="V213"/>
  <c r="V221"/>
  <c r="V229"/>
  <c r="V237"/>
  <c r="V245"/>
  <c r="V253"/>
  <c r="V261"/>
  <c r="V269"/>
  <c r="V277"/>
  <c r="V285"/>
  <c r="V293"/>
  <c r="V301"/>
  <c r="V180"/>
  <c r="V188"/>
  <c r="V196"/>
  <c r="V204"/>
  <c r="V212"/>
  <c r="V220"/>
  <c r="V228"/>
  <c r="V236"/>
  <c r="V244"/>
  <c r="V252"/>
  <c r="V260"/>
  <c r="V268"/>
  <c r="V276"/>
  <c r="V284"/>
  <c r="V292"/>
  <c r="V300"/>
  <c r="V183"/>
  <c r="V191"/>
  <c r="V199"/>
  <c r="V207"/>
  <c r="V215"/>
  <c r="V223"/>
  <c r="V231"/>
  <c r="V239"/>
  <c r="V247"/>
  <c r="V255"/>
  <c r="V263"/>
  <c r="V271"/>
  <c r="V279"/>
  <c r="V287"/>
  <c r="V295"/>
  <c r="V254"/>
  <c r="AM417"/>
  <c r="AL417"/>
  <c r="F458" s="1" a="1"/>
  <c r="AL421"/>
  <c r="J458" s="1" a="1"/>
  <c r="AM421"/>
  <c r="AL355"/>
  <c r="J455" s="1" a="1"/>
  <c r="AM355"/>
  <c r="AL373"/>
  <c r="F456" s="1" a="1"/>
  <c r="AL351"/>
  <c r="F455" s="1" a="1"/>
  <c r="AM351"/>
  <c r="AL399"/>
  <c r="J457" s="1" a="1"/>
  <c r="AM399"/>
  <c r="AM373"/>
  <c r="AL395"/>
  <c r="F457" s="1" a="1"/>
  <c r="AM395"/>
  <c r="AL377"/>
  <c r="J456" s="1" a="1"/>
  <c r="AM377"/>
  <c r="AL329"/>
  <c r="F454" s="1" a="1"/>
  <c r="AM329"/>
  <c r="AL333"/>
  <c r="J454" s="1" a="1"/>
  <c r="AM333"/>
  <c r="F169"/>
  <c r="H169"/>
  <c r="G169"/>
  <c r="K169"/>
  <c r="L164"/>
  <c r="M167" s="1"/>
  <c r="J170"/>
  <c r="I169"/>
  <c r="AN436" l="1"/>
  <c r="AN437"/>
  <c r="AN438"/>
  <c r="AN435"/>
  <c r="AN431"/>
  <c r="AN428"/>
  <c r="AN429"/>
  <c r="AN434"/>
  <c r="AN432"/>
  <c r="AN430"/>
  <c r="AN329"/>
  <c r="AN395"/>
  <c r="AN355"/>
  <c r="V174"/>
  <c r="F454"/>
  <c r="I454"/>
  <c r="M12" i="6" s="1"/>
  <c r="M25" s="1"/>
  <c r="H454" i="3"/>
  <c r="G454"/>
  <c r="F457"/>
  <c r="J15" i="6" s="1"/>
  <c r="J31" s="1"/>
  <c r="I457" i="3"/>
  <c r="M15" i="6" s="1"/>
  <c r="M31" s="1"/>
  <c r="H457" i="3"/>
  <c r="L15" i="6" s="1"/>
  <c r="L31" s="1"/>
  <c r="G457" i="3"/>
  <c r="K15" i="6" s="1"/>
  <c r="K31" s="1"/>
  <c r="AN417" i="3"/>
  <c r="F458"/>
  <c r="J16" i="6" s="1"/>
  <c r="J33" s="1"/>
  <c r="I458" i="3"/>
  <c r="M16" i="6" s="1"/>
  <c r="M33" s="1"/>
  <c r="H458" i="3"/>
  <c r="L16" i="6" s="1"/>
  <c r="L33" s="1"/>
  <c r="G458" i="3"/>
  <c r="K16" i="6" s="1"/>
  <c r="K33" s="1"/>
  <c r="F456" i="3"/>
  <c r="J14" i="6" s="1"/>
  <c r="J29" s="1"/>
  <c r="I456" i="3"/>
  <c r="M14" i="6" s="1"/>
  <c r="M29" s="1"/>
  <c r="H456" i="3"/>
  <c r="L14" i="6" s="1"/>
  <c r="L29" s="1"/>
  <c r="G456" i="3"/>
  <c r="K14" i="6" s="1"/>
  <c r="K29" s="1"/>
  <c r="M458" i="3"/>
  <c r="Q16" i="6" s="1"/>
  <c r="M34" s="1"/>
  <c r="J458" i="3"/>
  <c r="N16" i="6" s="1"/>
  <c r="K458" i="3"/>
  <c r="O16" i="6" s="1"/>
  <c r="L458" i="3"/>
  <c r="P16" i="6" s="1"/>
  <c r="F455" i="3"/>
  <c r="J13" i="6" s="1"/>
  <c r="J27" s="1"/>
  <c r="I455" i="3"/>
  <c r="M13" i="6" s="1"/>
  <c r="M27" s="1"/>
  <c r="H455" i="3"/>
  <c r="L13" i="6" s="1"/>
  <c r="L27" s="1"/>
  <c r="G455" i="3"/>
  <c r="K13" i="6" s="1"/>
  <c r="K27" s="1"/>
  <c r="AN421" i="3"/>
  <c r="J456"/>
  <c r="M456"/>
  <c r="Q14" i="6" s="1"/>
  <c r="M30" s="1"/>
  <c r="L456" i="3"/>
  <c r="K456"/>
  <c r="J455"/>
  <c r="M455"/>
  <c r="Q13" i="6" s="1"/>
  <c r="M28" s="1"/>
  <c r="L455" i="3"/>
  <c r="K455"/>
  <c r="AN373"/>
  <c r="L457"/>
  <c r="M457"/>
  <c r="Q15" i="6" s="1"/>
  <c r="M32" s="1"/>
  <c r="K457" i="3"/>
  <c r="J457"/>
  <c r="K454"/>
  <c r="M454"/>
  <c r="L454"/>
  <c r="J454"/>
  <c r="AN399"/>
  <c r="AN351"/>
  <c r="AN377"/>
  <c r="AN333"/>
  <c r="M168"/>
  <c r="W175" l="1"/>
  <c r="AB184"/>
  <c r="Z195"/>
  <c r="X206"/>
  <c r="AB216"/>
  <c r="Z227"/>
  <c r="X238"/>
  <c r="AB248"/>
  <c r="Z259"/>
  <c r="X270"/>
  <c r="AB280"/>
  <c r="Z291"/>
  <c r="X302"/>
  <c r="AA184"/>
  <c r="Y195"/>
  <c r="W206"/>
  <c r="AA216"/>
  <c r="Y227"/>
  <c r="W238"/>
  <c r="AA248"/>
  <c r="Y259"/>
  <c r="W270"/>
  <c r="AA280"/>
  <c r="Y291"/>
  <c r="W302"/>
  <c r="Z184"/>
  <c r="X195"/>
  <c r="AB205"/>
  <c r="Z216"/>
  <c r="X227"/>
  <c r="AB237"/>
  <c r="Z248"/>
  <c r="X259"/>
  <c r="AB269"/>
  <c r="Z280"/>
  <c r="X291"/>
  <c r="AB301"/>
  <c r="W185"/>
  <c r="AA195"/>
  <c r="Y206"/>
  <c r="W217"/>
  <c r="AA227"/>
  <c r="Y238"/>
  <c r="W249"/>
  <c r="AA259"/>
  <c r="Y270"/>
  <c r="W281"/>
  <c r="AA291"/>
  <c r="Y302"/>
  <c r="X184"/>
  <c r="AB194"/>
  <c r="Z205"/>
  <c r="X216"/>
  <c r="AB226"/>
  <c r="Z237"/>
  <c r="X248"/>
  <c r="AB258"/>
  <c r="Z269"/>
  <c r="X280"/>
  <c r="AB290"/>
  <c r="Z301"/>
  <c r="W184"/>
  <c r="AA194"/>
  <c r="Y205"/>
  <c r="W216"/>
  <c r="AA226"/>
  <c r="Y237"/>
  <c r="W248"/>
  <c r="AA258"/>
  <c r="Y269"/>
  <c r="W280"/>
  <c r="AA290"/>
  <c r="Y301"/>
  <c r="AB183"/>
  <c r="Z194"/>
  <c r="X205"/>
  <c r="AB215"/>
  <c r="Z226"/>
  <c r="X237"/>
  <c r="AB247"/>
  <c r="Z258"/>
  <c r="X269"/>
  <c r="AB279"/>
  <c r="Z290"/>
  <c r="X301"/>
  <c r="Y184"/>
  <c r="W195"/>
  <c r="AA205"/>
  <c r="Y216"/>
  <c r="W227"/>
  <c r="AA237"/>
  <c r="Y248"/>
  <c r="W259"/>
  <c r="AA269"/>
  <c r="Y280"/>
  <c r="W291"/>
  <c r="AA301"/>
  <c r="Z183"/>
  <c r="X194"/>
  <c r="AB204"/>
  <c r="Z215"/>
  <c r="X226"/>
  <c r="AB236"/>
  <c r="Z247"/>
  <c r="X258"/>
  <c r="AB268"/>
  <c r="Z279"/>
  <c r="X290"/>
  <c r="AB300"/>
  <c r="Y183"/>
  <c r="W194"/>
  <c r="AA204"/>
  <c r="Y215"/>
  <c r="W226"/>
  <c r="AA236"/>
  <c r="Y247"/>
  <c r="W258"/>
  <c r="AA268"/>
  <c r="Y279"/>
  <c r="W290"/>
  <c r="AA300"/>
  <c r="X183"/>
  <c r="AB193"/>
  <c r="Z204"/>
  <c r="X215"/>
  <c r="AB225"/>
  <c r="Z236"/>
  <c r="X247"/>
  <c r="AB257"/>
  <c r="Z268"/>
  <c r="X279"/>
  <c r="AB289"/>
  <c r="Z300"/>
  <c r="AA183"/>
  <c r="Y194"/>
  <c r="W205"/>
  <c r="AA215"/>
  <c r="Y226"/>
  <c r="W237"/>
  <c r="AA247"/>
  <c r="Y258"/>
  <c r="W269"/>
  <c r="AA279"/>
  <c r="Y290"/>
  <c r="W301"/>
  <c r="Z185"/>
  <c r="X196"/>
  <c r="AB206"/>
  <c r="Z217"/>
  <c r="X228"/>
  <c r="AB238"/>
  <c r="Z249"/>
  <c r="X260"/>
  <c r="AB270"/>
  <c r="Z281"/>
  <c r="X292"/>
  <c r="AB302"/>
  <c r="Y185"/>
  <c r="W196"/>
  <c r="AA206"/>
  <c r="Y217"/>
  <c r="W228"/>
  <c r="AA238"/>
  <c r="Y249"/>
  <c r="W260"/>
  <c r="AA270"/>
  <c r="Y281"/>
  <c r="W292"/>
  <c r="AA302"/>
  <c r="X185"/>
  <c r="AB195"/>
  <c r="Z206"/>
  <c r="X217"/>
  <c r="AB227"/>
  <c r="Z238"/>
  <c r="X249"/>
  <c r="AB259"/>
  <c r="Z270"/>
  <c r="X281"/>
  <c r="AB291"/>
  <c r="Z302"/>
  <c r="AA185"/>
  <c r="Y196"/>
  <c r="W207"/>
  <c r="AA217"/>
  <c r="Y228"/>
  <c r="W239"/>
  <c r="AA249"/>
  <c r="Y260"/>
  <c r="W271"/>
  <c r="AA281"/>
  <c r="Y292"/>
  <c r="X182"/>
  <c r="AB192"/>
  <c r="Z203"/>
  <c r="X214"/>
  <c r="AB224"/>
  <c r="Z235"/>
  <c r="X246"/>
  <c r="AB256"/>
  <c r="Z267"/>
  <c r="X278"/>
  <c r="AB288"/>
  <c r="Z299"/>
  <c r="W182"/>
  <c r="AA192"/>
  <c r="Y203"/>
  <c r="W214"/>
  <c r="AA224"/>
  <c r="Y235"/>
  <c r="W246"/>
  <c r="AA256"/>
  <c r="Y267"/>
  <c r="W278"/>
  <c r="AA288"/>
  <c r="Y299"/>
  <c r="AB181"/>
  <c r="Z192"/>
  <c r="X203"/>
  <c r="AB213"/>
  <c r="Z224"/>
  <c r="X235"/>
  <c r="AB245"/>
  <c r="Z256"/>
  <c r="X267"/>
  <c r="AB277"/>
  <c r="Z288"/>
  <c r="X299"/>
  <c r="Y182"/>
  <c r="W193"/>
  <c r="AA203"/>
  <c r="Y214"/>
  <c r="W225"/>
  <c r="AA235"/>
  <c r="Y246"/>
  <c r="W257"/>
  <c r="AA267"/>
  <c r="Y278"/>
  <c r="W289"/>
  <c r="AA299"/>
  <c r="Z181"/>
  <c r="X192"/>
  <c r="AB202"/>
  <c r="Z213"/>
  <c r="X224"/>
  <c r="AB234"/>
  <c r="Z245"/>
  <c r="X256"/>
  <c r="AB266"/>
  <c r="Z277"/>
  <c r="X288"/>
  <c r="AB298"/>
  <c r="Y181"/>
  <c r="W192"/>
  <c r="AA202"/>
  <c r="Y213"/>
  <c r="W224"/>
  <c r="AA234"/>
  <c r="Y245"/>
  <c r="W256"/>
  <c r="AA266"/>
  <c r="Y277"/>
  <c r="W288"/>
  <c r="AA298"/>
  <c r="X181"/>
  <c r="AB191"/>
  <c r="Z202"/>
  <c r="X213"/>
  <c r="AB223"/>
  <c r="Z234"/>
  <c r="X245"/>
  <c r="AB255"/>
  <c r="Z266"/>
  <c r="X277"/>
  <c r="AB287"/>
  <c r="Z298"/>
  <c r="AA181"/>
  <c r="Y192"/>
  <c r="W203"/>
  <c r="AA213"/>
  <c r="Y224"/>
  <c r="W235"/>
  <c r="AA245"/>
  <c r="Y256"/>
  <c r="W267"/>
  <c r="AA277"/>
  <c r="Y288"/>
  <c r="W299"/>
  <c r="AB180"/>
  <c r="Z191"/>
  <c r="X202"/>
  <c r="AB212"/>
  <c r="Z223"/>
  <c r="X234"/>
  <c r="AB244"/>
  <c r="Z255"/>
  <c r="X266"/>
  <c r="AB276"/>
  <c r="Z287"/>
  <c r="X298"/>
  <c r="AA180"/>
  <c r="Y191"/>
  <c r="W202"/>
  <c r="AA212"/>
  <c r="Y223"/>
  <c r="W234"/>
  <c r="AA244"/>
  <c r="Y255"/>
  <c r="W266"/>
  <c r="AA276"/>
  <c r="Y287"/>
  <c r="W298"/>
  <c r="Z180"/>
  <c r="X191"/>
  <c r="AB201"/>
  <c r="Z212"/>
  <c r="X223"/>
  <c r="AB233"/>
  <c r="Z244"/>
  <c r="X255"/>
  <c r="AB265"/>
  <c r="Z276"/>
  <c r="X287"/>
  <c r="AB297"/>
  <c r="W181"/>
  <c r="AA191"/>
  <c r="Y202"/>
  <c r="W213"/>
  <c r="AA223"/>
  <c r="Y234"/>
  <c r="W245"/>
  <c r="AA255"/>
  <c r="Y266"/>
  <c r="W277"/>
  <c r="AA287"/>
  <c r="Y298"/>
  <c r="AB182"/>
  <c r="Z193"/>
  <c r="X204"/>
  <c r="AB214"/>
  <c r="Z225"/>
  <c r="X236"/>
  <c r="AB246"/>
  <c r="Z257"/>
  <c r="X268"/>
  <c r="AB278"/>
  <c r="Z289"/>
  <c r="X300"/>
  <c r="AA182"/>
  <c r="Y193"/>
  <c r="W204"/>
  <c r="AA214"/>
  <c r="Y225"/>
  <c r="W236"/>
  <c r="AA246"/>
  <c r="Y257"/>
  <c r="W268"/>
  <c r="AA278"/>
  <c r="Y289"/>
  <c r="W300"/>
  <c r="Z182"/>
  <c r="X193"/>
  <c r="AB203"/>
  <c r="Z214"/>
  <c r="X225"/>
  <c r="AB235"/>
  <c r="Z246"/>
  <c r="X257"/>
  <c r="AB267"/>
  <c r="Z278"/>
  <c r="X289"/>
  <c r="AB299"/>
  <c r="W183"/>
  <c r="AA193"/>
  <c r="Y204"/>
  <c r="W215"/>
  <c r="AA225"/>
  <c r="Y236"/>
  <c r="W247"/>
  <c r="AA257"/>
  <c r="Y268"/>
  <c r="W279"/>
  <c r="AA289"/>
  <c r="Y300"/>
  <c r="Z179"/>
  <c r="X190"/>
  <c r="AB200"/>
  <c r="Z211"/>
  <c r="X222"/>
  <c r="AB232"/>
  <c r="Z243"/>
  <c r="X254"/>
  <c r="AB264"/>
  <c r="Z275"/>
  <c r="X286"/>
  <c r="AB296"/>
  <c r="Y179"/>
  <c r="W190"/>
  <c r="AA200"/>
  <c r="Y211"/>
  <c r="W222"/>
  <c r="AA232"/>
  <c r="Y243"/>
  <c r="W254"/>
  <c r="AA264"/>
  <c r="Y275"/>
  <c r="W286"/>
  <c r="AA296"/>
  <c r="X179"/>
  <c r="AB189"/>
  <c r="Z200"/>
  <c r="X211"/>
  <c r="AB221"/>
  <c r="Z232"/>
  <c r="X243"/>
  <c r="AB253"/>
  <c r="Z264"/>
  <c r="X275"/>
  <c r="AB285"/>
  <c r="Z296"/>
  <c r="AA179"/>
  <c r="Y190"/>
  <c r="W201"/>
  <c r="AA211"/>
  <c r="Y222"/>
  <c r="W233"/>
  <c r="AA243"/>
  <c r="Y254"/>
  <c r="W265"/>
  <c r="AA275"/>
  <c r="Y286"/>
  <c r="W297"/>
  <c r="AB178"/>
  <c r="Z189"/>
  <c r="X200"/>
  <c r="AB210"/>
  <c r="Z221"/>
  <c r="X232"/>
  <c r="AB242"/>
  <c r="Z253"/>
  <c r="X264"/>
  <c r="AB274"/>
  <c r="Z285"/>
  <c r="X296"/>
  <c r="AA178"/>
  <c r="Y189"/>
  <c r="W200"/>
  <c r="AA210"/>
  <c r="Y221"/>
  <c r="W232"/>
  <c r="AA242"/>
  <c r="Y253"/>
  <c r="W264"/>
  <c r="AA274"/>
  <c r="Y285"/>
  <c r="W296"/>
  <c r="Z178"/>
  <c r="X189"/>
  <c r="AB199"/>
  <c r="Z210"/>
  <c r="X221"/>
  <c r="AB231"/>
  <c r="Z242"/>
  <c r="X253"/>
  <c r="AB263"/>
  <c r="Z274"/>
  <c r="X285"/>
  <c r="AB295"/>
  <c r="W179"/>
  <c r="AA189"/>
  <c r="Y200"/>
  <c r="W211"/>
  <c r="AA221"/>
  <c r="Y232"/>
  <c r="W243"/>
  <c r="AA253"/>
  <c r="Y264"/>
  <c r="W275"/>
  <c r="AA285"/>
  <c r="Y296"/>
  <c r="X178"/>
  <c r="AB188"/>
  <c r="Z199"/>
  <c r="X210"/>
  <c r="AB220"/>
  <c r="Z231"/>
  <c r="X242"/>
  <c r="AB252"/>
  <c r="Z263"/>
  <c r="X274"/>
  <c r="AB284"/>
  <c r="Z295"/>
  <c r="W178"/>
  <c r="AA188"/>
  <c r="Y199"/>
  <c r="W210"/>
  <c r="AA220"/>
  <c r="Y231"/>
  <c r="W242"/>
  <c r="AA252"/>
  <c r="Y263"/>
  <c r="W274"/>
  <c r="AA284"/>
  <c r="Y295"/>
  <c r="AB177"/>
  <c r="Z188"/>
  <c r="X199"/>
  <c r="AB209"/>
  <c r="Z220"/>
  <c r="X231"/>
  <c r="AB241"/>
  <c r="Z252"/>
  <c r="X263"/>
  <c r="AB273"/>
  <c r="Z284"/>
  <c r="X295"/>
  <c r="Y178"/>
  <c r="W189"/>
  <c r="AA199"/>
  <c r="Y210"/>
  <c r="W221"/>
  <c r="AA231"/>
  <c r="Y242"/>
  <c r="W253"/>
  <c r="AA263"/>
  <c r="Y274"/>
  <c r="W285"/>
  <c r="AA295"/>
  <c r="X180"/>
  <c r="AB190"/>
  <c r="Z201"/>
  <c r="X212"/>
  <c r="AB222"/>
  <c r="Z233"/>
  <c r="X244"/>
  <c r="AB254"/>
  <c r="Z265"/>
  <c r="X276"/>
  <c r="AB286"/>
  <c r="Z297"/>
  <c r="W180"/>
  <c r="AA190"/>
  <c r="Y201"/>
  <c r="W212"/>
  <c r="AA222"/>
  <c r="Y233"/>
  <c r="W244"/>
  <c r="AA254"/>
  <c r="Y265"/>
  <c r="W276"/>
  <c r="AA286"/>
  <c r="Y297"/>
  <c r="AB179"/>
  <c r="Z190"/>
  <c r="X201"/>
  <c r="AB211"/>
  <c r="Z222"/>
  <c r="X233"/>
  <c r="AB243"/>
  <c r="Z254"/>
  <c r="X265"/>
  <c r="AB275"/>
  <c r="Z286"/>
  <c r="X297"/>
  <c r="Y180"/>
  <c r="W191"/>
  <c r="AA201"/>
  <c r="Y212"/>
  <c r="W223"/>
  <c r="AA233"/>
  <c r="Y244"/>
  <c r="W255"/>
  <c r="AA265"/>
  <c r="Y276"/>
  <c r="W287"/>
  <c r="AA297"/>
  <c r="AB176"/>
  <c r="Z187"/>
  <c r="X198"/>
  <c r="AB208"/>
  <c r="Z219"/>
  <c r="X230"/>
  <c r="AB240"/>
  <c r="Z251"/>
  <c r="X262"/>
  <c r="AB272"/>
  <c r="Z283"/>
  <c r="X294"/>
  <c r="AA176"/>
  <c r="Y187"/>
  <c r="W198"/>
  <c r="AA208"/>
  <c r="Y219"/>
  <c r="W230"/>
  <c r="AA240"/>
  <c r="Y251"/>
  <c r="W262"/>
  <c r="AA272"/>
  <c r="Y283"/>
  <c r="W294"/>
  <c r="Z176"/>
  <c r="X187"/>
  <c r="AB197"/>
  <c r="Z208"/>
  <c r="X219"/>
  <c r="AB229"/>
  <c r="Z240"/>
  <c r="X251"/>
  <c r="AB261"/>
  <c r="Z272"/>
  <c r="X283"/>
  <c r="AB293"/>
  <c r="W177"/>
  <c r="AA187"/>
  <c r="Y198"/>
  <c r="W209"/>
  <c r="AA219"/>
  <c r="Y230"/>
  <c r="W241"/>
  <c r="AA251"/>
  <c r="Y262"/>
  <c r="W273"/>
  <c r="AA283"/>
  <c r="Y294"/>
  <c r="X176"/>
  <c r="AB186"/>
  <c r="Z197"/>
  <c r="X208"/>
  <c r="AB218"/>
  <c r="Z229"/>
  <c r="X240"/>
  <c r="AB250"/>
  <c r="Z261"/>
  <c r="X272"/>
  <c r="AB282"/>
  <c r="Z293"/>
  <c r="W176"/>
  <c r="AA186"/>
  <c r="Y197"/>
  <c r="W208"/>
  <c r="AA218"/>
  <c r="Y229"/>
  <c r="W240"/>
  <c r="AA250"/>
  <c r="Y261"/>
  <c r="W272"/>
  <c r="AA282"/>
  <c r="Y293"/>
  <c r="AB175"/>
  <c r="Z186"/>
  <c r="X197"/>
  <c r="AB207"/>
  <c r="Z218"/>
  <c r="X229"/>
  <c r="AB239"/>
  <c r="Z250"/>
  <c r="X261"/>
  <c r="AB271"/>
  <c r="Z282"/>
  <c r="X293"/>
  <c r="Y176"/>
  <c r="W187"/>
  <c r="AA197"/>
  <c r="Y208"/>
  <c r="W219"/>
  <c r="AA229"/>
  <c r="Y240"/>
  <c r="W251"/>
  <c r="AA261"/>
  <c r="Y272"/>
  <c r="W283"/>
  <c r="AA293"/>
  <c r="Z175"/>
  <c r="X186"/>
  <c r="AB196"/>
  <c r="Z207"/>
  <c r="X218"/>
  <c r="AB228"/>
  <c r="Z239"/>
  <c r="X250"/>
  <c r="AB260"/>
  <c r="Z271"/>
  <c r="X282"/>
  <c r="AB292"/>
  <c r="Y175"/>
  <c r="W186"/>
  <c r="AA196"/>
  <c r="Y207"/>
  <c r="W218"/>
  <c r="AA228"/>
  <c r="Y239"/>
  <c r="W250"/>
  <c r="AA260"/>
  <c r="Y271"/>
  <c r="W282"/>
  <c r="AA292"/>
  <c r="X175"/>
  <c r="AB185"/>
  <c r="Z196"/>
  <c r="X207"/>
  <c r="AB217"/>
  <c r="Z228"/>
  <c r="X239"/>
  <c r="AB249"/>
  <c r="Z260"/>
  <c r="X271"/>
  <c r="AB281"/>
  <c r="Z292"/>
  <c r="AA175"/>
  <c r="Y186"/>
  <c r="W197"/>
  <c r="AA207"/>
  <c r="Y218"/>
  <c r="W229"/>
  <c r="AA239"/>
  <c r="Y250"/>
  <c r="W261"/>
  <c r="AA271"/>
  <c r="Y282"/>
  <c r="W293"/>
  <c r="Z177"/>
  <c r="X188"/>
  <c r="AB198"/>
  <c r="Z209"/>
  <c r="X220"/>
  <c r="AB230"/>
  <c r="Z241"/>
  <c r="X252"/>
  <c r="AB262"/>
  <c r="Z273"/>
  <c r="X284"/>
  <c r="AB294"/>
  <c r="Y177"/>
  <c r="W188"/>
  <c r="AA198"/>
  <c r="Y209"/>
  <c r="W220"/>
  <c r="AA230"/>
  <c r="Y241"/>
  <c r="W252"/>
  <c r="AA262"/>
  <c r="Y273"/>
  <c r="W284"/>
  <c r="AA294"/>
  <c r="X177"/>
  <c r="AB187"/>
  <c r="Z198"/>
  <c r="X209"/>
  <c r="AB219"/>
  <c r="Z230"/>
  <c r="X241"/>
  <c r="AB251"/>
  <c r="Z262"/>
  <c r="X273"/>
  <c r="AB283"/>
  <c r="Z294"/>
  <c r="AA177"/>
  <c r="Y188"/>
  <c r="W199"/>
  <c r="AA209"/>
  <c r="Y220"/>
  <c r="W231"/>
  <c r="AA241"/>
  <c r="Y252"/>
  <c r="W263"/>
  <c r="AA273"/>
  <c r="Y284"/>
  <c r="W295"/>
  <c r="P14" i="6"/>
  <c r="O14"/>
  <c r="N14"/>
  <c r="P15"/>
  <c r="O15"/>
  <c r="N15"/>
  <c r="P13"/>
  <c r="O13"/>
  <c r="N13"/>
  <c r="AL311" i="3" l="1"/>
  <c r="J453" s="1" a="1"/>
  <c r="AM311"/>
  <c r="AL307"/>
  <c r="F453" s="1" a="1"/>
  <c r="AM307"/>
  <c r="F453" l="1"/>
  <c r="J11" i="6" s="1"/>
  <c r="I453" i="3"/>
  <c r="M11" i="6" s="1"/>
  <c r="M23" s="1"/>
  <c r="H453" i="3"/>
  <c r="L11" i="6" s="1"/>
  <c r="L23" s="1"/>
  <c r="G453" i="3"/>
  <c r="K11" i="6" s="1"/>
  <c r="K23" s="1"/>
  <c r="J453" i="3"/>
  <c r="L453"/>
  <c r="K453"/>
  <c r="M453"/>
  <c r="Q12" i="6"/>
  <c r="M26" s="1"/>
  <c r="AN307" i="3"/>
  <c r="AN311"/>
  <c r="L12" i="6"/>
  <c r="L25" s="1"/>
  <c r="K12"/>
  <c r="K25" s="1"/>
  <c r="J12"/>
  <c r="J25" s="1"/>
  <c r="Q11" l="1"/>
  <c r="M24" s="1"/>
  <c r="J23"/>
  <c r="O18"/>
  <c r="P11"/>
  <c r="O11"/>
  <c r="N11"/>
  <c r="P12"/>
  <c r="O12"/>
  <c r="N12"/>
  <c r="O19" l="1"/>
  <c r="O20" l="1"/>
  <c r="O21" s="1"/>
  <c r="P19" s="1"/>
  <c r="K17" l="1"/>
  <c r="K24" s="1"/>
  <c r="J22"/>
  <c r="J34" s="1"/>
  <c r="K19"/>
  <c r="K28" s="1"/>
  <c r="J21"/>
  <c r="J32" s="1"/>
  <c r="L19"/>
  <c r="L28" s="1"/>
  <c r="H212"/>
  <c r="H146"/>
  <c r="K20"/>
  <c r="K30" s="1"/>
  <c r="L18"/>
  <c r="L26" s="1"/>
  <c r="J18"/>
  <c r="J26" s="1"/>
  <c r="L21"/>
  <c r="L32" s="1"/>
  <c r="L20"/>
  <c r="L30" s="1"/>
  <c r="J19"/>
  <c r="J28" s="1"/>
  <c r="H124"/>
  <c r="L17"/>
  <c r="L24" s="1"/>
  <c r="H168"/>
  <c r="K18"/>
  <c r="K26" s="1"/>
  <c r="L22"/>
  <c r="L34" s="1"/>
  <c r="H190"/>
  <c r="K22"/>
  <c r="K34" s="1"/>
  <c r="J17"/>
  <c r="J24" s="1"/>
  <c r="H102"/>
  <c r="J20"/>
  <c r="J30" s="1"/>
  <c r="K21"/>
  <c r="K32" s="1"/>
  <c r="P20"/>
  <c r="H57" s="1"/>
  <c r="P21"/>
  <c r="H63" s="1"/>
  <c r="P18"/>
  <c r="AK67" l="1"/>
  <c r="AG67"/>
  <c r="AC67"/>
  <c r="Y67"/>
  <c r="U67"/>
  <c r="Q67"/>
  <c r="M67"/>
  <c r="AN66"/>
  <c r="AJ66"/>
  <c r="AF66"/>
  <c r="AB66"/>
  <c r="X66"/>
  <c r="T66"/>
  <c r="P66"/>
  <c r="L66"/>
  <c r="AM65"/>
  <c r="AI65"/>
  <c r="AE65"/>
  <c r="AA65"/>
  <c r="W65"/>
  <c r="S65"/>
  <c r="O65"/>
  <c r="K65"/>
  <c r="AL64"/>
  <c r="AH64"/>
  <c r="AD64"/>
  <c r="Z64"/>
  <c r="V64"/>
  <c r="R64"/>
  <c r="N64"/>
  <c r="J64"/>
  <c r="AK63"/>
  <c r="AG63"/>
  <c r="AC63"/>
  <c r="Y63"/>
  <c r="U63"/>
  <c r="Q63"/>
  <c r="M63"/>
  <c r="AL67"/>
  <c r="AH67"/>
  <c r="AD67"/>
  <c r="Z67"/>
  <c r="V67"/>
  <c r="R67"/>
  <c r="N67"/>
  <c r="J67"/>
  <c r="AK66"/>
  <c r="AG66"/>
  <c r="AC66"/>
  <c r="Y66"/>
  <c r="U66"/>
  <c r="Q66"/>
  <c r="M66"/>
  <c r="AN65"/>
  <c r="AJ65"/>
  <c r="AF65"/>
  <c r="AB65"/>
  <c r="X65"/>
  <c r="T65"/>
  <c r="P65"/>
  <c r="L65"/>
  <c r="AM64"/>
  <c r="AI64"/>
  <c r="AE64"/>
  <c r="AA64"/>
  <c r="W64"/>
  <c r="S64"/>
  <c r="O64"/>
  <c r="K64"/>
  <c r="AL63"/>
  <c r="AH63"/>
  <c r="AD63"/>
  <c r="Z63"/>
  <c r="V63"/>
  <c r="R63"/>
  <c r="N63"/>
  <c r="J63"/>
  <c r="AM67"/>
  <c r="AI67"/>
  <c r="AE67"/>
  <c r="AA67"/>
  <c r="W67"/>
  <c r="S67"/>
  <c r="O67"/>
  <c r="K67"/>
  <c r="AL66"/>
  <c r="AH66"/>
  <c r="AD66"/>
  <c r="Z66"/>
  <c r="V66"/>
  <c r="R66"/>
  <c r="N66"/>
  <c r="J66"/>
  <c r="AK65"/>
  <c r="AG65"/>
  <c r="AC65"/>
  <c r="Y65"/>
  <c r="U65"/>
  <c r="Q65"/>
  <c r="M65"/>
  <c r="AN64"/>
  <c r="AJ64"/>
  <c r="AF64"/>
  <c r="AB64"/>
  <c r="X64"/>
  <c r="T64"/>
  <c r="P64"/>
  <c r="L64"/>
  <c r="AM63"/>
  <c r="AI63"/>
  <c r="AE63"/>
  <c r="AA63"/>
  <c r="W63"/>
  <c r="S63"/>
  <c r="O63"/>
  <c r="K63"/>
  <c r="AN67"/>
  <c r="AJ67"/>
  <c r="AF67"/>
  <c r="AB67"/>
  <c r="X67"/>
  <c r="T67"/>
  <c r="P67"/>
  <c r="L67"/>
  <c r="AM66"/>
  <c r="AI66"/>
  <c r="AE66"/>
  <c r="AA66"/>
  <c r="W66"/>
  <c r="S66"/>
  <c r="O66"/>
  <c r="K66"/>
  <c r="AL65"/>
  <c r="AH65"/>
  <c r="AD65"/>
  <c r="Z65"/>
  <c r="V65"/>
  <c r="R65"/>
  <c r="N65"/>
  <c r="J65"/>
  <c r="AK64"/>
  <c r="AG64"/>
  <c r="AC64"/>
  <c r="Y64"/>
  <c r="U64"/>
  <c r="Q64"/>
  <c r="M64"/>
  <c r="AN63"/>
  <c r="AJ63"/>
  <c r="AF63"/>
  <c r="AB63"/>
  <c r="X63"/>
  <c r="T63"/>
  <c r="P63"/>
  <c r="L63"/>
  <c r="I65"/>
  <c r="I66"/>
  <c r="I67"/>
  <c r="I64"/>
  <c r="I63"/>
  <c r="AK61"/>
  <c r="AG61"/>
  <c r="AC61"/>
  <c r="Y61"/>
  <c r="U61"/>
  <c r="Q61"/>
  <c r="M61"/>
  <c r="AN60"/>
  <c r="AJ60"/>
  <c r="AF60"/>
  <c r="AB60"/>
  <c r="X60"/>
  <c r="T60"/>
  <c r="P60"/>
  <c r="L60"/>
  <c r="AM59"/>
  <c r="AI59"/>
  <c r="AE59"/>
  <c r="AA59"/>
  <c r="W59"/>
  <c r="S59"/>
  <c r="O59"/>
  <c r="K59"/>
  <c r="AL58"/>
  <c r="AH58"/>
  <c r="AD58"/>
  <c r="Z58"/>
  <c r="V58"/>
  <c r="R58"/>
  <c r="N58"/>
  <c r="J58"/>
  <c r="AK57"/>
  <c r="AG57"/>
  <c r="AC57"/>
  <c r="Y57"/>
  <c r="U57"/>
  <c r="Q57"/>
  <c r="M57"/>
  <c r="AL61"/>
  <c r="AH61"/>
  <c r="AD61"/>
  <c r="Z61"/>
  <c r="V61"/>
  <c r="R61"/>
  <c r="N61"/>
  <c r="J61"/>
  <c r="AK60"/>
  <c r="AG60"/>
  <c r="AC60"/>
  <c r="Y60"/>
  <c r="U60"/>
  <c r="Q60"/>
  <c r="M60"/>
  <c r="AN59"/>
  <c r="AJ59"/>
  <c r="AF59"/>
  <c r="AB59"/>
  <c r="X59"/>
  <c r="T59"/>
  <c r="P59"/>
  <c r="L59"/>
  <c r="AM58"/>
  <c r="AI58"/>
  <c r="AE58"/>
  <c r="AA58"/>
  <c r="W58"/>
  <c r="S58"/>
  <c r="O58"/>
  <c r="K58"/>
  <c r="AL57"/>
  <c r="AH57"/>
  <c r="AD57"/>
  <c r="Z57"/>
  <c r="V57"/>
  <c r="R57"/>
  <c r="N57"/>
  <c r="J57"/>
  <c r="AM61"/>
  <c r="AI61"/>
  <c r="AE61"/>
  <c r="AA61"/>
  <c r="W61"/>
  <c r="S61"/>
  <c r="O61"/>
  <c r="K61"/>
  <c r="AL60"/>
  <c r="AH60"/>
  <c r="AD60"/>
  <c r="Z60"/>
  <c r="V60"/>
  <c r="R60"/>
  <c r="N60"/>
  <c r="J60"/>
  <c r="AK59"/>
  <c r="AG59"/>
  <c r="AC59"/>
  <c r="Y59"/>
  <c r="U59"/>
  <c r="Q59"/>
  <c r="M59"/>
  <c r="AN58"/>
  <c r="AJ58"/>
  <c r="AF58"/>
  <c r="AB58"/>
  <c r="X58"/>
  <c r="T58"/>
  <c r="P58"/>
  <c r="L58"/>
  <c r="AM57"/>
  <c r="AI57"/>
  <c r="AE57"/>
  <c r="AA57"/>
  <c r="W57"/>
  <c r="S57"/>
  <c r="O57"/>
  <c r="K57"/>
  <c r="AN61"/>
  <c r="AJ61"/>
  <c r="AF61"/>
  <c r="AB61"/>
  <c r="X61"/>
  <c r="T61"/>
  <c r="P61"/>
  <c r="L61"/>
  <c r="AM60"/>
  <c r="AI60"/>
  <c r="AE60"/>
  <c r="AA60"/>
  <c r="W60"/>
  <c r="S60"/>
  <c r="O60"/>
  <c r="K60"/>
  <c r="AL59"/>
  <c r="AH59"/>
  <c r="AD59"/>
  <c r="Z59"/>
  <c r="V59"/>
  <c r="R59"/>
  <c r="N59"/>
  <c r="J59"/>
  <c r="AK58"/>
  <c r="AG58"/>
  <c r="AC58"/>
  <c r="Y58"/>
  <c r="U58"/>
  <c r="Q58"/>
  <c r="M58"/>
  <c r="AN57"/>
  <c r="AJ57"/>
  <c r="AF57"/>
  <c r="AB57"/>
  <c r="X57"/>
  <c r="T57"/>
  <c r="P57"/>
  <c r="L57"/>
  <c r="I58"/>
  <c r="I59"/>
  <c r="I60"/>
  <c r="I57"/>
  <c r="AJ25" a="1"/>
  <c r="AJ26" a="1"/>
  <c r="AJ24" a="1"/>
  <c r="AD24" a="1"/>
  <c r="AD26" a="1"/>
  <c r="AD25" a="1"/>
  <c r="H53"/>
  <c r="AP66" l="1"/>
  <c r="AO66"/>
  <c r="AO67"/>
  <c r="AP67"/>
  <c r="AP64"/>
  <c r="AO64"/>
  <c r="AO63"/>
  <c r="AP63"/>
  <c r="AO65"/>
  <c r="AP65"/>
  <c r="AO59"/>
  <c r="AP59"/>
  <c r="AP60"/>
  <c r="AO60"/>
  <c r="AP58"/>
  <c r="AO58"/>
  <c r="AO57"/>
  <c r="AP57"/>
  <c r="I68"/>
  <c r="AD26"/>
  <c r="AF26"/>
  <c r="AE26"/>
  <c r="AK25"/>
  <c r="AL29" s="1"/>
  <c r="AL25"/>
  <c r="AK29" s="1"/>
  <c r="AK33" s="1"/>
  <c r="AM25"/>
  <c r="AJ25"/>
  <c r="AM29" s="1"/>
  <c r="AD25"/>
  <c r="AE25"/>
  <c r="AF25"/>
  <c r="AJ26"/>
  <c r="AM30" s="1"/>
  <c r="AL26"/>
  <c r="AK30" s="1"/>
  <c r="AM26"/>
  <c r="AK26"/>
  <c r="AL30" s="1"/>
  <c r="AL24"/>
  <c r="AK28" s="1"/>
  <c r="AK24"/>
  <c r="AL28" s="1"/>
  <c r="AM24"/>
  <c r="AJ24"/>
  <c r="AM28" s="1"/>
  <c r="T28" s="1"/>
  <c r="AF24"/>
  <c r="AE24"/>
  <c r="AD24"/>
  <c r="F12" i="9"/>
  <c r="AG62" i="6"/>
  <c r="K68"/>
  <c r="L68"/>
  <c r="Y62"/>
  <c r="Z62"/>
  <c r="M62"/>
  <c r="AH68"/>
  <c r="AM62"/>
  <c r="AA62"/>
  <c r="M68"/>
  <c r="AI62"/>
  <c r="P62"/>
  <c r="V68"/>
  <c r="AA68"/>
  <c r="S62"/>
  <c r="AI68"/>
  <c r="P68"/>
  <c r="I62"/>
  <c r="AK68"/>
  <c r="J68"/>
  <c r="O68"/>
  <c r="AD68"/>
  <c r="AC68"/>
  <c r="N68"/>
  <c r="T68"/>
  <c r="Y68"/>
  <c r="AB68"/>
  <c r="W62"/>
  <c r="V62"/>
  <c r="AD62"/>
  <c r="AC62"/>
  <c r="L62"/>
  <c r="A63"/>
  <c r="Z68"/>
  <c r="AE68"/>
  <c r="R68"/>
  <c r="J62"/>
  <c r="N62"/>
  <c r="AH62"/>
  <c r="T62"/>
  <c r="K62"/>
  <c r="X68"/>
  <c r="Q68"/>
  <c r="AN68"/>
  <c r="S68"/>
  <c r="U68"/>
  <c r="AF62"/>
  <c r="AL62"/>
  <c r="AK62"/>
  <c r="AN62"/>
  <c r="X62"/>
  <c r="AE62"/>
  <c r="Q62"/>
  <c r="O62"/>
  <c r="AF68"/>
  <c r="AG68"/>
  <c r="W68"/>
  <c r="AJ68"/>
  <c r="AM68"/>
  <c r="AL68"/>
  <c r="U62"/>
  <c r="AJ62"/>
  <c r="R62"/>
  <c r="AB62"/>
  <c r="AO68" l="1"/>
  <c r="E64" s="1"/>
  <c r="AL32"/>
  <c r="AK34"/>
  <c r="AK32"/>
  <c r="AJ28"/>
  <c r="AJ32" s="1"/>
  <c r="T24"/>
  <c r="AJ30"/>
  <c r="AJ34" s="1"/>
  <c r="T26"/>
  <c r="AJ29"/>
  <c r="AJ33" s="1"/>
  <c r="T25"/>
  <c r="AM34"/>
  <c r="T34" s="1"/>
  <c r="T30"/>
  <c r="AM33"/>
  <c r="T33" s="1"/>
  <c r="T29"/>
  <c r="AM32"/>
  <c r="T32" s="1"/>
  <c r="AL34"/>
  <c r="AL33"/>
  <c r="Q24"/>
  <c r="AF28"/>
  <c r="R25"/>
  <c r="AE29"/>
  <c r="Q26"/>
  <c r="AF30"/>
  <c r="S25"/>
  <c r="AD29"/>
  <c r="AD30"/>
  <c r="S26"/>
  <c r="S24"/>
  <c r="AD28"/>
  <c r="R26"/>
  <c r="AE30"/>
  <c r="R24"/>
  <c r="AE28"/>
  <c r="Q25"/>
  <c r="AF29"/>
  <c r="G64"/>
  <c r="F64"/>
  <c r="F57"/>
  <c r="G57"/>
  <c r="E63" l="1"/>
  <c r="E65"/>
  <c r="E66"/>
  <c r="E67"/>
  <c r="AE32"/>
  <c r="R32" s="1"/>
  <c r="P12" i="2" s="1"/>
  <c r="R28" i="6"/>
  <c r="AD32"/>
  <c r="Q32" s="1"/>
  <c r="O12" i="2" s="1"/>
  <c r="Q28" i="6"/>
  <c r="AD33"/>
  <c r="Q33" s="1"/>
  <c r="O13" i="2" s="1"/>
  <c r="Q29" i="6"/>
  <c r="R29"/>
  <c r="AE33"/>
  <c r="R33" s="1"/>
  <c r="P13" i="2" s="1"/>
  <c r="Q30" i="6"/>
  <c r="AD34"/>
  <c r="Q34" s="1"/>
  <c r="O14" i="2" s="1"/>
  <c r="AF33" i="6"/>
  <c r="S33" s="1"/>
  <c r="Q13" i="2" s="1"/>
  <c r="S29" i="6"/>
  <c r="R30"/>
  <c r="AE34"/>
  <c r="R34" s="1"/>
  <c r="P14" i="2" s="1"/>
  <c r="S30" i="6"/>
  <c r="AF34"/>
  <c r="S34" s="1"/>
  <c r="Q14" i="2" s="1"/>
  <c r="AF32" i="6"/>
  <c r="S32" s="1"/>
  <c r="Q12" i="2" s="1"/>
  <c r="S28" i="6"/>
  <c r="F62"/>
  <c r="E68" l="1"/>
  <c r="V20"/>
  <c r="V17"/>
  <c r="V18"/>
  <c r="V14"/>
  <c r="V13"/>
  <c r="V12"/>
  <c r="V15"/>
  <c r="V16"/>
  <c r="V11"/>
  <c r="V22"/>
  <c r="V19"/>
  <c r="V21"/>
  <c r="U12"/>
  <c r="U20"/>
  <c r="U21"/>
  <c r="U18"/>
  <c r="U22"/>
  <c r="U19"/>
  <c r="U17"/>
  <c r="U14"/>
  <c r="U15"/>
  <c r="U13"/>
  <c r="U16"/>
  <c r="U11"/>
  <c r="H75"/>
  <c r="V33" s="1"/>
  <c r="H69"/>
  <c r="V32" s="1"/>
  <c r="T14"/>
  <c r="T22"/>
  <c r="T12"/>
  <c r="T18"/>
  <c r="T11"/>
  <c r="T21"/>
  <c r="T16"/>
  <c r="T20"/>
  <c r="T19"/>
  <c r="T13"/>
  <c r="T17"/>
  <c r="T15"/>
  <c r="AL130" l="1"/>
  <c r="AL173"/>
  <c r="AL194"/>
  <c r="AL86"/>
  <c r="AL107"/>
  <c r="AL172"/>
  <c r="AL196"/>
  <c r="AL128"/>
  <c r="AL108"/>
  <c r="AL195"/>
  <c r="AL151"/>
  <c r="AL129"/>
  <c r="AL84"/>
  <c r="AL174"/>
  <c r="AL150"/>
  <c r="AL152"/>
  <c r="AL85"/>
  <c r="AL106"/>
  <c r="AL125"/>
  <c r="AL192"/>
  <c r="AL81"/>
  <c r="AL149"/>
  <c r="AL148"/>
  <c r="AL147"/>
  <c r="AL104"/>
  <c r="AL191"/>
  <c r="AL82"/>
  <c r="AL171"/>
  <c r="AL170"/>
  <c r="AL127"/>
  <c r="AL103"/>
  <c r="AL105"/>
  <c r="AL83"/>
  <c r="AL193"/>
  <c r="AL169"/>
  <c r="AL126"/>
  <c r="T174"/>
  <c r="T85"/>
  <c r="T108"/>
  <c r="T150"/>
  <c r="T129"/>
  <c r="T172"/>
  <c r="T86"/>
  <c r="T106"/>
  <c r="T173"/>
  <c r="T130"/>
  <c r="T195"/>
  <c r="T152"/>
  <c r="T128"/>
  <c r="T107"/>
  <c r="T196"/>
  <c r="T194"/>
  <c r="T151"/>
  <c r="T84"/>
  <c r="T103"/>
  <c r="T125"/>
  <c r="T171"/>
  <c r="T193"/>
  <c r="T82"/>
  <c r="T169"/>
  <c r="T126"/>
  <c r="T105"/>
  <c r="T192"/>
  <c r="T81"/>
  <c r="T149"/>
  <c r="T147"/>
  <c r="T104"/>
  <c r="T191"/>
  <c r="T83"/>
  <c r="T148"/>
  <c r="T170"/>
  <c r="T127"/>
  <c r="N194"/>
  <c r="N196"/>
  <c r="N86"/>
  <c r="N106"/>
  <c r="N130"/>
  <c r="N129"/>
  <c r="N128"/>
  <c r="N84"/>
  <c r="N107"/>
  <c r="N172"/>
  <c r="N151"/>
  <c r="N150"/>
  <c r="N108"/>
  <c r="N195"/>
  <c r="N152"/>
  <c r="N174"/>
  <c r="N173"/>
  <c r="N85"/>
  <c r="N83"/>
  <c r="N147"/>
  <c r="N192"/>
  <c r="N81"/>
  <c r="N191"/>
  <c r="N125"/>
  <c r="N170"/>
  <c r="N104"/>
  <c r="N103"/>
  <c r="N148"/>
  <c r="N193"/>
  <c r="N82"/>
  <c r="N127"/>
  <c r="N126"/>
  <c r="N171"/>
  <c r="N105"/>
  <c r="N169"/>
  <c r="N149"/>
  <c r="Z128"/>
  <c r="Z151"/>
  <c r="Z195"/>
  <c r="Z194"/>
  <c r="Z86"/>
  <c r="Z107"/>
  <c r="Z174"/>
  <c r="Z150"/>
  <c r="Z173"/>
  <c r="Z108"/>
  <c r="Z172"/>
  <c r="Z84"/>
  <c r="Z196"/>
  <c r="Z130"/>
  <c r="Z129"/>
  <c r="Z85"/>
  <c r="Z152"/>
  <c r="Z106"/>
  <c r="AM173"/>
  <c r="AM194"/>
  <c r="AM174"/>
  <c r="AM130"/>
  <c r="AM84"/>
  <c r="AM108"/>
  <c r="AM196"/>
  <c r="AM195"/>
  <c r="AM85"/>
  <c r="AM106"/>
  <c r="AM172"/>
  <c r="AM129"/>
  <c r="AM128"/>
  <c r="AM86"/>
  <c r="AM150"/>
  <c r="AM152"/>
  <c r="AM151"/>
  <c r="AM107"/>
  <c r="AN173"/>
  <c r="AN196"/>
  <c r="AF152"/>
  <c r="AF196"/>
  <c r="AF130"/>
  <c r="AN84"/>
  <c r="AF107"/>
  <c r="AN128"/>
  <c r="AN172"/>
  <c r="AN129"/>
  <c r="AF194"/>
  <c r="AF150"/>
  <c r="AF172"/>
  <c r="AF128"/>
  <c r="AN85"/>
  <c r="AF84"/>
  <c r="AN108"/>
  <c r="AN151"/>
  <c r="AN195"/>
  <c r="AN152"/>
  <c r="AF195"/>
  <c r="AF151"/>
  <c r="AN86"/>
  <c r="AF85"/>
  <c r="AN106"/>
  <c r="AF108"/>
  <c r="AN174"/>
  <c r="AN150"/>
  <c r="AN194"/>
  <c r="AN130"/>
  <c r="AF129"/>
  <c r="AF173"/>
  <c r="AF174"/>
  <c r="AF86"/>
  <c r="AN107"/>
  <c r="AF106"/>
  <c r="Z104"/>
  <c r="Z148"/>
  <c r="Z147"/>
  <c r="Z127"/>
  <c r="Z191"/>
  <c r="Z171"/>
  <c r="Z170"/>
  <c r="Z169"/>
  <c r="Z103"/>
  <c r="Z83"/>
  <c r="Z193"/>
  <c r="Z82"/>
  <c r="Z192"/>
  <c r="Z81"/>
  <c r="Z126"/>
  <c r="Z125"/>
  <c r="Z105"/>
  <c r="Z149"/>
  <c r="AM149"/>
  <c r="AM148"/>
  <c r="AM170"/>
  <c r="AM169"/>
  <c r="AM191"/>
  <c r="AM171"/>
  <c r="AM193"/>
  <c r="AM82"/>
  <c r="AM192"/>
  <c r="AM81"/>
  <c r="AM103"/>
  <c r="AM83"/>
  <c r="AM105"/>
  <c r="AM104"/>
  <c r="AM126"/>
  <c r="AM125"/>
  <c r="AM147"/>
  <c r="AM127"/>
  <c r="AN192"/>
  <c r="AN81"/>
  <c r="AN126"/>
  <c r="AN125"/>
  <c r="AN193"/>
  <c r="AN82"/>
  <c r="AF147"/>
  <c r="AF192"/>
  <c r="AF191"/>
  <c r="AF125"/>
  <c r="AN104"/>
  <c r="AN149"/>
  <c r="AN148"/>
  <c r="AN105"/>
  <c r="AF170"/>
  <c r="AF104"/>
  <c r="AF103"/>
  <c r="AF148"/>
  <c r="AN127"/>
  <c r="AN191"/>
  <c r="AN171"/>
  <c r="AN147"/>
  <c r="AF193"/>
  <c r="AF82"/>
  <c r="AF81"/>
  <c r="AF127"/>
  <c r="AF126"/>
  <c r="AF171"/>
  <c r="AN169"/>
  <c r="AN103"/>
  <c r="AN83"/>
  <c r="AN170"/>
  <c r="AF105"/>
  <c r="AF169"/>
  <c r="AF149"/>
  <c r="AF83"/>
  <c r="AK193"/>
  <c r="AG193"/>
  <c r="AC193"/>
  <c r="Y193"/>
  <c r="U193"/>
  <c r="Q193"/>
  <c r="M193"/>
  <c r="I193"/>
  <c r="AK192"/>
  <c r="AG192"/>
  <c r="AC192"/>
  <c r="Y192"/>
  <c r="U192"/>
  <c r="Q192"/>
  <c r="M192"/>
  <c r="I192"/>
  <c r="AK191"/>
  <c r="AG191"/>
  <c r="AC191"/>
  <c r="Y191"/>
  <c r="U191"/>
  <c r="Q191"/>
  <c r="M191"/>
  <c r="I191"/>
  <c r="AK171"/>
  <c r="AG171"/>
  <c r="AC171"/>
  <c r="Y171"/>
  <c r="U171"/>
  <c r="Q171"/>
  <c r="M171"/>
  <c r="I171"/>
  <c r="AK170"/>
  <c r="AG170"/>
  <c r="AC170"/>
  <c r="Y170"/>
  <c r="U170"/>
  <c r="Q170"/>
  <c r="M170"/>
  <c r="I170"/>
  <c r="AK169"/>
  <c r="AG169"/>
  <c r="AC169"/>
  <c r="Y169"/>
  <c r="U169"/>
  <c r="Q169"/>
  <c r="M169"/>
  <c r="I169"/>
  <c r="AK149"/>
  <c r="AG149"/>
  <c r="AC149"/>
  <c r="Y149"/>
  <c r="U149"/>
  <c r="Q149"/>
  <c r="M149"/>
  <c r="I149"/>
  <c r="AK148"/>
  <c r="AG148"/>
  <c r="AC148"/>
  <c r="Y148"/>
  <c r="U148"/>
  <c r="Q148"/>
  <c r="M148"/>
  <c r="I148"/>
  <c r="AK147"/>
  <c r="AG147"/>
  <c r="AC147"/>
  <c r="Y147"/>
  <c r="U147"/>
  <c r="Q147"/>
  <c r="M147"/>
  <c r="AK127"/>
  <c r="AG127"/>
  <c r="AC127"/>
  <c r="Y127"/>
  <c r="U127"/>
  <c r="Q127"/>
  <c r="M127"/>
  <c r="I127"/>
  <c r="AK126"/>
  <c r="AG126"/>
  <c r="AC126"/>
  <c r="Y126"/>
  <c r="U126"/>
  <c r="Q126"/>
  <c r="M126"/>
  <c r="I126"/>
  <c r="AK125"/>
  <c r="AG125"/>
  <c r="AC125"/>
  <c r="Y125"/>
  <c r="U125"/>
  <c r="Q125"/>
  <c r="M125"/>
  <c r="I125"/>
  <c r="AK105"/>
  <c r="AG105"/>
  <c r="AC105"/>
  <c r="Y105"/>
  <c r="U105"/>
  <c r="Q105"/>
  <c r="M105"/>
  <c r="I105"/>
  <c r="AK104"/>
  <c r="AG104"/>
  <c r="AC104"/>
  <c r="Y104"/>
  <c r="U104"/>
  <c r="Q104"/>
  <c r="M104"/>
  <c r="I104"/>
  <c r="AK103"/>
  <c r="AG103"/>
  <c r="AC103"/>
  <c r="Y103"/>
  <c r="U103"/>
  <c r="Q103"/>
  <c r="M103"/>
  <c r="I103"/>
  <c r="AK83"/>
  <c r="AG83"/>
  <c r="AC83"/>
  <c r="Y83"/>
  <c r="U83"/>
  <c r="Q83"/>
  <c r="M83"/>
  <c r="AJ82"/>
  <c r="AB82"/>
  <c r="X82"/>
  <c r="P82"/>
  <c r="L82"/>
  <c r="AI81"/>
  <c r="AE81"/>
  <c r="AA81"/>
  <c r="W81"/>
  <c r="S81"/>
  <c r="O81"/>
  <c r="K81"/>
  <c r="I81"/>
  <c r="AJ81"/>
  <c r="AH193"/>
  <c r="AD193"/>
  <c r="V193"/>
  <c r="R193"/>
  <c r="J193"/>
  <c r="AH192"/>
  <c r="AD192"/>
  <c r="V192"/>
  <c r="R192"/>
  <c r="J192"/>
  <c r="AH191"/>
  <c r="AD191"/>
  <c r="V191"/>
  <c r="R191"/>
  <c r="J191"/>
  <c r="AH171"/>
  <c r="AD171"/>
  <c r="V171"/>
  <c r="R171"/>
  <c r="J171"/>
  <c r="AH170"/>
  <c r="AD170"/>
  <c r="V170"/>
  <c r="R170"/>
  <c r="J170"/>
  <c r="AH169"/>
  <c r="AD169"/>
  <c r="V169"/>
  <c r="R169"/>
  <c r="J169"/>
  <c r="AH149"/>
  <c r="AD149"/>
  <c r="V149"/>
  <c r="R149"/>
  <c r="J149"/>
  <c r="AH148"/>
  <c r="AD148"/>
  <c r="V148"/>
  <c r="R148"/>
  <c r="J148"/>
  <c r="AH147"/>
  <c r="AD147"/>
  <c r="V147"/>
  <c r="R147"/>
  <c r="J147"/>
  <c r="AH127"/>
  <c r="AD127"/>
  <c r="V127"/>
  <c r="R127"/>
  <c r="J127"/>
  <c r="AH126"/>
  <c r="AD126"/>
  <c r="V126"/>
  <c r="R126"/>
  <c r="J126"/>
  <c r="AH125"/>
  <c r="AD125"/>
  <c r="V125"/>
  <c r="R125"/>
  <c r="J125"/>
  <c r="AH105"/>
  <c r="AD105"/>
  <c r="V105"/>
  <c r="R105"/>
  <c r="J105"/>
  <c r="AH104"/>
  <c r="AD104"/>
  <c r="V104"/>
  <c r="R104"/>
  <c r="J104"/>
  <c r="AH103"/>
  <c r="AD103"/>
  <c r="V103"/>
  <c r="R103"/>
  <c r="J103"/>
  <c r="AH83"/>
  <c r="AD83"/>
  <c r="V83"/>
  <c r="R83"/>
  <c r="J83"/>
  <c r="AK82"/>
  <c r="AG82"/>
  <c r="Y82"/>
  <c r="U82"/>
  <c r="Q82"/>
  <c r="X81"/>
  <c r="P81"/>
  <c r="L81"/>
  <c r="AI193"/>
  <c r="AE193"/>
  <c r="AA193"/>
  <c r="W193"/>
  <c r="S193"/>
  <c r="O193"/>
  <c r="K193"/>
  <c r="AI192"/>
  <c r="AE192"/>
  <c r="AA192"/>
  <c r="W192"/>
  <c r="S192"/>
  <c r="O192"/>
  <c r="K192"/>
  <c r="AI191"/>
  <c r="AE191"/>
  <c r="AA191"/>
  <c r="W191"/>
  <c r="S191"/>
  <c r="O191"/>
  <c r="K191"/>
  <c r="AI171"/>
  <c r="AE171"/>
  <c r="AA171"/>
  <c r="W171"/>
  <c r="S171"/>
  <c r="O171"/>
  <c r="K171"/>
  <c r="AI170"/>
  <c r="AE170"/>
  <c r="AA170"/>
  <c r="W170"/>
  <c r="S170"/>
  <c r="O170"/>
  <c r="K170"/>
  <c r="AI169"/>
  <c r="AE169"/>
  <c r="AA169"/>
  <c r="W169"/>
  <c r="S169"/>
  <c r="O169"/>
  <c r="K169"/>
  <c r="AI149"/>
  <c r="AE149"/>
  <c r="AA149"/>
  <c r="W149"/>
  <c r="S149"/>
  <c r="O149"/>
  <c r="K149"/>
  <c r="AI148"/>
  <c r="AE148"/>
  <c r="AA148"/>
  <c r="W148"/>
  <c r="S148"/>
  <c r="O148"/>
  <c r="K148"/>
  <c r="AI147"/>
  <c r="AE147"/>
  <c r="AA147"/>
  <c r="W147"/>
  <c r="S147"/>
  <c r="O147"/>
  <c r="K147"/>
  <c r="AI127"/>
  <c r="AE127"/>
  <c r="AA127"/>
  <c r="W127"/>
  <c r="S127"/>
  <c r="O127"/>
  <c r="K127"/>
  <c r="AI126"/>
  <c r="AE126"/>
  <c r="AA126"/>
  <c r="W126"/>
  <c r="S126"/>
  <c r="O126"/>
  <c r="K126"/>
  <c r="AI125"/>
  <c r="AE125"/>
  <c r="AA125"/>
  <c r="W125"/>
  <c r="S125"/>
  <c r="O125"/>
  <c r="K125"/>
  <c r="AI105"/>
  <c r="AE105"/>
  <c r="AA105"/>
  <c r="W105"/>
  <c r="S105"/>
  <c r="O105"/>
  <c r="K105"/>
  <c r="AI104"/>
  <c r="AE104"/>
  <c r="AA104"/>
  <c r="W104"/>
  <c r="S104"/>
  <c r="O104"/>
  <c r="K104"/>
  <c r="AI103"/>
  <c r="AE103"/>
  <c r="AA103"/>
  <c r="W103"/>
  <c r="S103"/>
  <c r="O103"/>
  <c r="K103"/>
  <c r="AI83"/>
  <c r="AE83"/>
  <c r="AA83"/>
  <c r="W83"/>
  <c r="S83"/>
  <c r="O83"/>
  <c r="K83"/>
  <c r="AH82"/>
  <c r="AD82"/>
  <c r="V82"/>
  <c r="R82"/>
  <c r="J82"/>
  <c r="AK81"/>
  <c r="AG81"/>
  <c r="AC81"/>
  <c r="Y81"/>
  <c r="U81"/>
  <c r="Q81"/>
  <c r="M81"/>
  <c r="I83"/>
  <c r="AC82"/>
  <c r="AJ193"/>
  <c r="AB193"/>
  <c r="X193"/>
  <c r="P193"/>
  <c r="L193"/>
  <c r="AJ192"/>
  <c r="AB192"/>
  <c r="X192"/>
  <c r="P192"/>
  <c r="L192"/>
  <c r="AJ191"/>
  <c r="AB191"/>
  <c r="X191"/>
  <c r="P191"/>
  <c r="L191"/>
  <c r="AJ171"/>
  <c r="AB171"/>
  <c r="X171"/>
  <c r="P171"/>
  <c r="L171"/>
  <c r="AJ170"/>
  <c r="AB170"/>
  <c r="X170"/>
  <c r="P170"/>
  <c r="L170"/>
  <c r="AJ169"/>
  <c r="AB169"/>
  <c r="X169"/>
  <c r="P169"/>
  <c r="L169"/>
  <c r="AJ149"/>
  <c r="AB149"/>
  <c r="X149"/>
  <c r="P149"/>
  <c r="L149"/>
  <c r="AJ148"/>
  <c r="AB148"/>
  <c r="X148"/>
  <c r="P148"/>
  <c r="L148"/>
  <c r="AJ147"/>
  <c r="AB147"/>
  <c r="X147"/>
  <c r="P147"/>
  <c r="L147"/>
  <c r="AJ127"/>
  <c r="AB127"/>
  <c r="X127"/>
  <c r="P127"/>
  <c r="L127"/>
  <c r="AJ126"/>
  <c r="AB126"/>
  <c r="X126"/>
  <c r="P126"/>
  <c r="L126"/>
  <c r="AJ125"/>
  <c r="AB125"/>
  <c r="X125"/>
  <c r="P125"/>
  <c r="L125"/>
  <c r="AJ105"/>
  <c r="AB105"/>
  <c r="X105"/>
  <c r="P105"/>
  <c r="L105"/>
  <c r="AJ104"/>
  <c r="AB104"/>
  <c r="X104"/>
  <c r="P104"/>
  <c r="L104"/>
  <c r="AJ103"/>
  <c r="AB103"/>
  <c r="X103"/>
  <c r="P103"/>
  <c r="L103"/>
  <c r="AJ83"/>
  <c r="AB83"/>
  <c r="X83"/>
  <c r="P83"/>
  <c r="L83"/>
  <c r="AI82"/>
  <c r="AE82"/>
  <c r="AA82"/>
  <c r="W82"/>
  <c r="S82"/>
  <c r="O82"/>
  <c r="K82"/>
  <c r="AH81"/>
  <c r="AD81"/>
  <c r="V81"/>
  <c r="R81"/>
  <c r="J81"/>
  <c r="M82"/>
  <c r="AB81"/>
  <c r="I82"/>
  <c r="AK196"/>
  <c r="AG196"/>
  <c r="AC196"/>
  <c r="Y196"/>
  <c r="U196"/>
  <c r="Q196"/>
  <c r="M196"/>
  <c r="I196"/>
  <c r="AK195"/>
  <c r="AG195"/>
  <c r="AC195"/>
  <c r="Y195"/>
  <c r="U195"/>
  <c r="Q195"/>
  <c r="M195"/>
  <c r="I195"/>
  <c r="AK194"/>
  <c r="AG194"/>
  <c r="AC194"/>
  <c r="Y194"/>
  <c r="U194"/>
  <c r="Q194"/>
  <c r="M194"/>
  <c r="I194"/>
  <c r="AK174"/>
  <c r="AG174"/>
  <c r="AC174"/>
  <c r="Y174"/>
  <c r="U174"/>
  <c r="Q174"/>
  <c r="M174"/>
  <c r="I174"/>
  <c r="AK173"/>
  <c r="AG173"/>
  <c r="AC173"/>
  <c r="Y173"/>
  <c r="U173"/>
  <c r="Q173"/>
  <c r="M173"/>
  <c r="I173"/>
  <c r="AK172"/>
  <c r="AG172"/>
  <c r="AC172"/>
  <c r="Y172"/>
  <c r="U172"/>
  <c r="Q172"/>
  <c r="M172"/>
  <c r="I172"/>
  <c r="AK152"/>
  <c r="AG152"/>
  <c r="AC152"/>
  <c r="Y152"/>
  <c r="U152"/>
  <c r="Q152"/>
  <c r="M152"/>
  <c r="I152"/>
  <c r="AK151"/>
  <c r="AG151"/>
  <c r="AC151"/>
  <c r="Y151"/>
  <c r="U151"/>
  <c r="Q151"/>
  <c r="M151"/>
  <c r="I151"/>
  <c r="AK150"/>
  <c r="AG150"/>
  <c r="AC150"/>
  <c r="Y150"/>
  <c r="U150"/>
  <c r="Q150"/>
  <c r="M150"/>
  <c r="I150"/>
  <c r="AK130"/>
  <c r="AG130"/>
  <c r="AC130"/>
  <c r="Y130"/>
  <c r="U130"/>
  <c r="Q130"/>
  <c r="M130"/>
  <c r="I130"/>
  <c r="AK129"/>
  <c r="AG129"/>
  <c r="AC129"/>
  <c r="Y129"/>
  <c r="U129"/>
  <c r="Q129"/>
  <c r="M129"/>
  <c r="I129"/>
  <c r="AK128"/>
  <c r="AG128"/>
  <c r="AC128"/>
  <c r="Y128"/>
  <c r="U128"/>
  <c r="Q128"/>
  <c r="M128"/>
  <c r="I128"/>
  <c r="J151"/>
  <c r="AH130"/>
  <c r="J129"/>
  <c r="AD128"/>
  <c r="V128"/>
  <c r="J128"/>
  <c r="AH196"/>
  <c r="AD196"/>
  <c r="V196"/>
  <c r="R196"/>
  <c r="J196"/>
  <c r="AH195"/>
  <c r="AD195"/>
  <c r="V195"/>
  <c r="R195"/>
  <c r="J195"/>
  <c r="AH194"/>
  <c r="AD194"/>
  <c r="V194"/>
  <c r="R194"/>
  <c r="J194"/>
  <c r="AH174"/>
  <c r="AD174"/>
  <c r="V174"/>
  <c r="R174"/>
  <c r="J174"/>
  <c r="AH173"/>
  <c r="AD173"/>
  <c r="V173"/>
  <c r="R173"/>
  <c r="J173"/>
  <c r="AH172"/>
  <c r="AD172"/>
  <c r="V172"/>
  <c r="R172"/>
  <c r="J172"/>
  <c r="AH152"/>
  <c r="AD152"/>
  <c r="V152"/>
  <c r="R152"/>
  <c r="J152"/>
  <c r="AH151"/>
  <c r="AD151"/>
  <c r="AD150"/>
  <c r="V150"/>
  <c r="J150"/>
  <c r="AD130"/>
  <c r="V130"/>
  <c r="V129"/>
  <c r="R128"/>
  <c r="AI196"/>
  <c r="AE196"/>
  <c r="AA196"/>
  <c r="W196"/>
  <c r="S196"/>
  <c r="O196"/>
  <c r="K196"/>
  <c r="AI195"/>
  <c r="AE195"/>
  <c r="AA195"/>
  <c r="W195"/>
  <c r="S195"/>
  <c r="O195"/>
  <c r="K195"/>
  <c r="AI194"/>
  <c r="AE194"/>
  <c r="AA194"/>
  <c r="W194"/>
  <c r="S194"/>
  <c r="O194"/>
  <c r="K194"/>
  <c r="AI174"/>
  <c r="AE174"/>
  <c r="AA174"/>
  <c r="W174"/>
  <c r="S174"/>
  <c r="O174"/>
  <c r="K174"/>
  <c r="AI173"/>
  <c r="AE173"/>
  <c r="AA173"/>
  <c r="W173"/>
  <c r="S173"/>
  <c r="O173"/>
  <c r="K173"/>
  <c r="AI172"/>
  <c r="AE172"/>
  <c r="AA172"/>
  <c r="W172"/>
  <c r="S172"/>
  <c r="O172"/>
  <c r="K172"/>
  <c r="AI152"/>
  <c r="AE152"/>
  <c r="AA152"/>
  <c r="W152"/>
  <c r="S152"/>
  <c r="O152"/>
  <c r="K152"/>
  <c r="AI151"/>
  <c r="AE151"/>
  <c r="AA151"/>
  <c r="W151"/>
  <c r="S151"/>
  <c r="O151"/>
  <c r="K151"/>
  <c r="AI150"/>
  <c r="AE150"/>
  <c r="AA150"/>
  <c r="W150"/>
  <c r="S150"/>
  <c r="O150"/>
  <c r="K150"/>
  <c r="AI130"/>
  <c r="AE130"/>
  <c r="AA130"/>
  <c r="W130"/>
  <c r="S130"/>
  <c r="O130"/>
  <c r="K130"/>
  <c r="AI129"/>
  <c r="AE129"/>
  <c r="AA129"/>
  <c r="W129"/>
  <c r="S129"/>
  <c r="O129"/>
  <c r="K129"/>
  <c r="AI128"/>
  <c r="AE128"/>
  <c r="AA128"/>
  <c r="W128"/>
  <c r="S128"/>
  <c r="O128"/>
  <c r="K128"/>
  <c r="V151"/>
  <c r="R150"/>
  <c r="J130"/>
  <c r="AH129"/>
  <c r="AD129"/>
  <c r="AH128"/>
  <c r="AJ196"/>
  <c r="AB196"/>
  <c r="X196"/>
  <c r="P196"/>
  <c r="L196"/>
  <c r="AJ195"/>
  <c r="AB195"/>
  <c r="X195"/>
  <c r="P195"/>
  <c r="L195"/>
  <c r="AJ194"/>
  <c r="AB194"/>
  <c r="X194"/>
  <c r="P194"/>
  <c r="L194"/>
  <c r="AJ174"/>
  <c r="AB174"/>
  <c r="X174"/>
  <c r="P174"/>
  <c r="L174"/>
  <c r="AJ173"/>
  <c r="AB173"/>
  <c r="X173"/>
  <c r="P173"/>
  <c r="L173"/>
  <c r="AJ172"/>
  <c r="AB172"/>
  <c r="X172"/>
  <c r="P172"/>
  <c r="L172"/>
  <c r="AJ152"/>
  <c r="AB152"/>
  <c r="X152"/>
  <c r="P152"/>
  <c r="L152"/>
  <c r="AJ151"/>
  <c r="AB151"/>
  <c r="X151"/>
  <c r="P151"/>
  <c r="L151"/>
  <c r="AJ150"/>
  <c r="AB150"/>
  <c r="X150"/>
  <c r="P150"/>
  <c r="L150"/>
  <c r="AJ130"/>
  <c r="AB130"/>
  <c r="X130"/>
  <c r="P130"/>
  <c r="L130"/>
  <c r="AJ129"/>
  <c r="AB129"/>
  <c r="X129"/>
  <c r="P129"/>
  <c r="L129"/>
  <c r="AJ128"/>
  <c r="AB128"/>
  <c r="X128"/>
  <c r="P128"/>
  <c r="L128"/>
  <c r="R151"/>
  <c r="AH150"/>
  <c r="R130"/>
  <c r="R129"/>
  <c r="Y86"/>
  <c r="J85"/>
  <c r="Q84"/>
  <c r="AH86"/>
  <c r="R85"/>
  <c r="I84"/>
  <c r="J86"/>
  <c r="Q85"/>
  <c r="AG84"/>
  <c r="R86"/>
  <c r="I85"/>
  <c r="Y84"/>
  <c r="Q86"/>
  <c r="AG85"/>
  <c r="AH84"/>
  <c r="I86"/>
  <c r="Y85"/>
  <c r="J84"/>
  <c r="AG86"/>
  <c r="AH85"/>
  <c r="R84"/>
  <c r="K84"/>
  <c r="K85"/>
  <c r="K86"/>
  <c r="S86"/>
  <c r="L84"/>
  <c r="L85"/>
  <c r="S84"/>
  <c r="L86"/>
  <c r="S85"/>
  <c r="M84"/>
  <c r="AA85"/>
  <c r="AI84"/>
  <c r="AA86"/>
  <c r="AI85"/>
  <c r="M85"/>
  <c r="AI86"/>
  <c r="M86"/>
  <c r="AA84"/>
  <c r="AB85"/>
  <c r="U85"/>
  <c r="AJ84"/>
  <c r="AB86"/>
  <c r="U86"/>
  <c r="AJ85"/>
  <c r="U84"/>
  <c r="AJ86"/>
  <c r="AB84"/>
  <c r="AC86"/>
  <c r="O85"/>
  <c r="V84"/>
  <c r="AK84"/>
  <c r="O86"/>
  <c r="V85"/>
  <c r="AK85"/>
  <c r="AC84"/>
  <c r="V86"/>
  <c r="AK86"/>
  <c r="AC85"/>
  <c r="O84"/>
  <c r="W85"/>
  <c r="P84"/>
  <c r="AD86"/>
  <c r="W86"/>
  <c r="P85"/>
  <c r="AD84"/>
  <c r="P86"/>
  <c r="AD85"/>
  <c r="W84"/>
  <c r="X86"/>
  <c r="AE84"/>
  <c r="AE85"/>
  <c r="X84"/>
  <c r="AE86"/>
  <c r="X85"/>
  <c r="AG108"/>
  <c r="AH107"/>
  <c r="R106"/>
  <c r="I108"/>
  <c r="Y107"/>
  <c r="J106"/>
  <c r="Q106"/>
  <c r="AH108"/>
  <c r="R107"/>
  <c r="I107"/>
  <c r="Y108"/>
  <c r="J107"/>
  <c r="Q107"/>
  <c r="AG106"/>
  <c r="R108"/>
  <c r="I106"/>
  <c r="J108"/>
  <c r="Q108"/>
  <c r="AG107"/>
  <c r="AH106"/>
  <c r="Y106"/>
  <c r="K108"/>
  <c r="K106"/>
  <c r="K107"/>
  <c r="L108"/>
  <c r="S106"/>
  <c r="L106"/>
  <c r="L107"/>
  <c r="S107"/>
  <c r="S108"/>
  <c r="AA108"/>
  <c r="AI107"/>
  <c r="M106"/>
  <c r="AA106"/>
  <c r="AI108"/>
  <c r="M107"/>
  <c r="AI106"/>
  <c r="M108"/>
  <c r="AA107"/>
  <c r="AJ108"/>
  <c r="AB106"/>
  <c r="U106"/>
  <c r="AJ106"/>
  <c r="AB107"/>
  <c r="U107"/>
  <c r="AJ107"/>
  <c r="U108"/>
  <c r="AB108"/>
  <c r="V107"/>
  <c r="AK108"/>
  <c r="AC108"/>
  <c r="O106"/>
  <c r="V108"/>
  <c r="AK106"/>
  <c r="AC106"/>
  <c r="O107"/>
  <c r="V106"/>
  <c r="AK107"/>
  <c r="AC107"/>
  <c r="O108"/>
  <c r="AD106"/>
  <c r="P106"/>
  <c r="AD107"/>
  <c r="P107"/>
  <c r="W107"/>
  <c r="AD108"/>
  <c r="W108"/>
  <c r="P108"/>
  <c r="W106"/>
  <c r="X107"/>
  <c r="AE107"/>
  <c r="AE108"/>
  <c r="X108"/>
  <c r="AE106"/>
  <c r="X106"/>
  <c r="W20"/>
  <c r="W13"/>
  <c r="W21"/>
  <c r="W22"/>
  <c r="W15"/>
  <c r="W18"/>
  <c r="X11"/>
  <c r="X19"/>
  <c r="X14"/>
  <c r="Q15" i="2"/>
  <c r="W17" i="6"/>
  <c r="W16"/>
  <c r="W12"/>
  <c r="X15"/>
  <c r="X22"/>
  <c r="X12"/>
  <c r="P15" i="2"/>
  <c r="X13" i="6"/>
  <c r="X20"/>
  <c r="W19"/>
  <c r="W11"/>
  <c r="W14"/>
  <c r="X16"/>
  <c r="X17"/>
  <c r="X21"/>
  <c r="X18"/>
  <c r="R16"/>
  <c r="R12"/>
  <c r="R21"/>
  <c r="R13"/>
  <c r="R17"/>
  <c r="R18"/>
  <c r="R20"/>
  <c r="R11"/>
  <c r="R14"/>
  <c r="R15"/>
  <c r="R19"/>
  <c r="R22"/>
  <c r="T91" l="1"/>
  <c r="T179"/>
  <c r="AL113"/>
  <c r="AI87"/>
  <c r="T197"/>
  <c r="N113"/>
  <c r="N157"/>
  <c r="T87"/>
  <c r="T201"/>
  <c r="N175"/>
  <c r="N197"/>
  <c r="AL175"/>
  <c r="N201"/>
  <c r="T135"/>
  <c r="AL87"/>
  <c r="AL91"/>
  <c r="N87"/>
  <c r="N179"/>
  <c r="T153"/>
  <c r="AL197"/>
  <c r="AL179"/>
  <c r="N109"/>
  <c r="N135"/>
  <c r="T109"/>
  <c r="AL109"/>
  <c r="AL131"/>
  <c r="AL157"/>
  <c r="AL201"/>
  <c r="N131"/>
  <c r="N153"/>
  <c r="N91"/>
  <c r="T175"/>
  <c r="T131"/>
  <c r="T113"/>
  <c r="T157"/>
  <c r="AL153"/>
  <c r="AL135"/>
  <c r="AL189"/>
  <c r="AL72" s="1"/>
  <c r="AL176"/>
  <c r="AL110"/>
  <c r="AL123"/>
  <c r="AL69" s="1"/>
  <c r="AL102"/>
  <c r="AL92"/>
  <c r="AL114"/>
  <c r="AL124"/>
  <c r="AL75" s="1"/>
  <c r="AL212"/>
  <c r="AL79" s="1"/>
  <c r="AL202"/>
  <c r="AL190"/>
  <c r="AL78" s="1"/>
  <c r="AL180"/>
  <c r="AL88"/>
  <c r="AL101"/>
  <c r="AL154"/>
  <c r="AL167"/>
  <c r="AL71" s="1"/>
  <c r="AL168"/>
  <c r="AL77" s="1"/>
  <c r="AL158"/>
  <c r="AL145"/>
  <c r="AL70" s="1"/>
  <c r="AL132"/>
  <c r="AL198"/>
  <c r="AL211"/>
  <c r="AL73" s="1"/>
  <c r="AL136"/>
  <c r="AL146"/>
  <c r="AL76" s="1"/>
  <c r="V157"/>
  <c r="T145"/>
  <c r="T70" s="1"/>
  <c r="T132"/>
  <c r="T168"/>
  <c r="T77" s="1"/>
  <c r="T158"/>
  <c r="T190"/>
  <c r="T78" s="1"/>
  <c r="T180"/>
  <c r="T136"/>
  <c r="T146"/>
  <c r="T76" s="1"/>
  <c r="T154"/>
  <c r="T167"/>
  <c r="T71" s="1"/>
  <c r="T114"/>
  <c r="T124"/>
  <c r="T75" s="1"/>
  <c r="T102"/>
  <c r="T92"/>
  <c r="T176"/>
  <c r="T189"/>
  <c r="T72" s="1"/>
  <c r="T110"/>
  <c r="T123"/>
  <c r="T69" s="1"/>
  <c r="T211"/>
  <c r="T73" s="1"/>
  <c r="T198"/>
  <c r="T88"/>
  <c r="T101"/>
  <c r="T212"/>
  <c r="T79" s="1"/>
  <c r="T202"/>
  <c r="N176"/>
  <c r="N189"/>
  <c r="N72" s="1"/>
  <c r="N198"/>
  <c r="N211"/>
  <c r="N73" s="1"/>
  <c r="N180"/>
  <c r="N190"/>
  <c r="N78" s="1"/>
  <c r="N124"/>
  <c r="N75" s="1"/>
  <c r="N114"/>
  <c r="N88"/>
  <c r="N101"/>
  <c r="N110"/>
  <c r="N123"/>
  <c r="N69" s="1"/>
  <c r="N102"/>
  <c r="N92"/>
  <c r="N212"/>
  <c r="N79" s="1"/>
  <c r="N202"/>
  <c r="N146"/>
  <c r="N76" s="1"/>
  <c r="N136"/>
  <c r="N168"/>
  <c r="N77" s="1"/>
  <c r="N158"/>
  <c r="N132"/>
  <c r="N145"/>
  <c r="N70" s="1"/>
  <c r="N167"/>
  <c r="N71" s="1"/>
  <c r="N154"/>
  <c r="X109"/>
  <c r="Z113"/>
  <c r="W135"/>
  <c r="AE179"/>
  <c r="Z179"/>
  <c r="AC87"/>
  <c r="AA175"/>
  <c r="AN197"/>
  <c r="S109"/>
  <c r="Z131"/>
  <c r="AM87"/>
  <c r="Z175"/>
  <c r="AF113"/>
  <c r="AN157"/>
  <c r="L175"/>
  <c r="K109"/>
  <c r="Z157"/>
  <c r="AF157"/>
  <c r="AM201"/>
  <c r="Z201"/>
  <c r="AM153"/>
  <c r="Z153"/>
  <c r="AF201"/>
  <c r="AM135"/>
  <c r="AN135"/>
  <c r="AN154"/>
  <c r="AN167"/>
  <c r="AN71" s="1"/>
  <c r="AN198"/>
  <c r="AN211"/>
  <c r="AN73" s="1"/>
  <c r="AM132"/>
  <c r="AM145"/>
  <c r="AM70" s="1"/>
  <c r="AM176"/>
  <c r="AM189"/>
  <c r="AM72" s="1"/>
  <c r="Z198"/>
  <c r="Z211"/>
  <c r="Z73" s="1"/>
  <c r="Z110"/>
  <c r="Z123"/>
  <c r="Z69" s="1"/>
  <c r="AF212"/>
  <c r="AF79" s="1"/>
  <c r="AF202"/>
  <c r="AN190"/>
  <c r="AN78" s="1"/>
  <c r="AN180"/>
  <c r="Z190"/>
  <c r="Z78" s="1"/>
  <c r="Z180"/>
  <c r="X87"/>
  <c r="AN175"/>
  <c r="AF87"/>
  <c r="AF109"/>
  <c r="AF197"/>
  <c r="AM109"/>
  <c r="Z109"/>
  <c r="Z197"/>
  <c r="AN201"/>
  <c r="AN113"/>
  <c r="AF179"/>
  <c r="AN179"/>
  <c r="AM157"/>
  <c r="AM179"/>
  <c r="Z135"/>
  <c r="AF167"/>
  <c r="AF71" s="1"/>
  <c r="AF154"/>
  <c r="AN88"/>
  <c r="AN101"/>
  <c r="AM88"/>
  <c r="AM101"/>
  <c r="Z154"/>
  <c r="Z167"/>
  <c r="Z71" s="1"/>
  <c r="AF158"/>
  <c r="AF168"/>
  <c r="AF77" s="1"/>
  <c r="AN168"/>
  <c r="AN77" s="1"/>
  <c r="AN158"/>
  <c r="AN146"/>
  <c r="AN76" s="1"/>
  <c r="AN136"/>
  <c r="AM146"/>
  <c r="AM76" s="1"/>
  <c r="AM136"/>
  <c r="AM202"/>
  <c r="AM212"/>
  <c r="AM79" s="1"/>
  <c r="Z124"/>
  <c r="Z75" s="1"/>
  <c r="Z114"/>
  <c r="Z168"/>
  <c r="Z77" s="1"/>
  <c r="Z158"/>
  <c r="AF175"/>
  <c r="AN109"/>
  <c r="AN153"/>
  <c r="AF131"/>
  <c r="AN87"/>
  <c r="AN95" s="1"/>
  <c r="AM131"/>
  <c r="AM139" s="1"/>
  <c r="AM175"/>
  <c r="Z87"/>
  <c r="AF135"/>
  <c r="AN91"/>
  <c r="AF132"/>
  <c r="AF145"/>
  <c r="AF70" s="1"/>
  <c r="AF176"/>
  <c r="AF189"/>
  <c r="AF72" s="1"/>
  <c r="AN110"/>
  <c r="AN123"/>
  <c r="AN69" s="1"/>
  <c r="AN132"/>
  <c r="AN145"/>
  <c r="AN70" s="1"/>
  <c r="AM198"/>
  <c r="AM211"/>
  <c r="AM73" s="1"/>
  <c r="Z132"/>
  <c r="Z145"/>
  <c r="Z70" s="1"/>
  <c r="Z176"/>
  <c r="Z189"/>
  <c r="Z72" s="1"/>
  <c r="AN124"/>
  <c r="AN75" s="1"/>
  <c r="AN114"/>
  <c r="AF136"/>
  <c r="AF146"/>
  <c r="AF76" s="1"/>
  <c r="AN212"/>
  <c r="AN79" s="1"/>
  <c r="AN202"/>
  <c r="AN102"/>
  <c r="AN92"/>
  <c r="AF124"/>
  <c r="AF75" s="1"/>
  <c r="AF114"/>
  <c r="AM168"/>
  <c r="AM77" s="1"/>
  <c r="AM158"/>
  <c r="AM102"/>
  <c r="AM92"/>
  <c r="AM190"/>
  <c r="AM78" s="1"/>
  <c r="AM180"/>
  <c r="Z146"/>
  <c r="Z76" s="1"/>
  <c r="Z136"/>
  <c r="Z212"/>
  <c r="Z79" s="1"/>
  <c r="Z202"/>
  <c r="AF153"/>
  <c r="AM197"/>
  <c r="AM91"/>
  <c r="AN189"/>
  <c r="AN72" s="1"/>
  <c r="AN176"/>
  <c r="AF88"/>
  <c r="AF101"/>
  <c r="AF110"/>
  <c r="AF123"/>
  <c r="AF69" s="1"/>
  <c r="AF198"/>
  <c r="AF211"/>
  <c r="AF73" s="1"/>
  <c r="AM110"/>
  <c r="AM123"/>
  <c r="AM69" s="1"/>
  <c r="AM154"/>
  <c r="AM167"/>
  <c r="AM71" s="1"/>
  <c r="Z88"/>
  <c r="Z101"/>
  <c r="AF190"/>
  <c r="AF78" s="1"/>
  <c r="AF180"/>
  <c r="AF102"/>
  <c r="AF92"/>
  <c r="AM124"/>
  <c r="AM75" s="1"/>
  <c r="AM114"/>
  <c r="Z92"/>
  <c r="Z102"/>
  <c r="AN131"/>
  <c r="AF91"/>
  <c r="AM113"/>
  <c r="Z91"/>
  <c r="M113"/>
  <c r="X131"/>
  <c r="AB153"/>
  <c r="AJ175"/>
  <c r="P197"/>
  <c r="AA153"/>
  <c r="W175"/>
  <c r="AH131"/>
  <c r="J179"/>
  <c r="AE153"/>
  <c r="AJ135"/>
  <c r="AB201"/>
  <c r="AH201"/>
  <c r="L87"/>
  <c r="AH87"/>
  <c r="AA201"/>
  <c r="AE131"/>
  <c r="K153"/>
  <c r="AC109"/>
  <c r="AC135"/>
  <c r="AJ157"/>
  <c r="V135"/>
  <c r="J201"/>
  <c r="AB135"/>
  <c r="K201"/>
  <c r="S113"/>
  <c r="K179"/>
  <c r="K175"/>
  <c r="L157"/>
  <c r="S91"/>
  <c r="W201"/>
  <c r="AI109"/>
  <c r="S131"/>
  <c r="O131"/>
  <c r="AG113"/>
  <c r="O179"/>
  <c r="W197"/>
  <c r="R153"/>
  <c r="V175"/>
  <c r="AD197"/>
  <c r="V91"/>
  <c r="AB91"/>
  <c r="AB179"/>
  <c r="S157"/>
  <c r="AH179"/>
  <c r="S135"/>
  <c r="AA179"/>
  <c r="P87"/>
  <c r="J87"/>
  <c r="Y15"/>
  <c r="Y31" s="1"/>
  <c r="AC113"/>
  <c r="O153"/>
  <c r="Y87"/>
  <c r="AI197"/>
  <c r="S197"/>
  <c r="K91"/>
  <c r="AI91"/>
  <c r="AI135"/>
  <c r="Y91"/>
  <c r="M153"/>
  <c r="M197"/>
  <c r="L109"/>
  <c r="AB157"/>
  <c r="AH113"/>
  <c r="AA131"/>
  <c r="AC153"/>
  <c r="AC197"/>
  <c r="Y153"/>
  <c r="Y197"/>
  <c r="U153"/>
  <c r="U197"/>
  <c r="Q153"/>
  <c r="Q197"/>
  <c r="R91"/>
  <c r="U179"/>
  <c r="AK157"/>
  <c r="M201"/>
  <c r="AI157"/>
  <c r="M157"/>
  <c r="Y157"/>
  <c r="AK131"/>
  <c r="AK175"/>
  <c r="AG131"/>
  <c r="AG175"/>
  <c r="U157"/>
  <c r="AG135"/>
  <c r="L135"/>
  <c r="AG179"/>
  <c r="Y201"/>
  <c r="AE157"/>
  <c r="AK201"/>
  <c r="S13"/>
  <c r="Z13" s="1"/>
  <c r="Z27" s="1"/>
  <c r="AA13"/>
  <c r="AA27" s="1"/>
  <c r="AA12"/>
  <c r="AA25" s="1"/>
  <c r="S12"/>
  <c r="Z12" s="1"/>
  <c r="Z25" s="1"/>
  <c r="AA18"/>
  <c r="AA26" s="1"/>
  <c r="S18"/>
  <c r="Z18" s="1"/>
  <c r="Z26" s="1"/>
  <c r="S14"/>
  <c r="Z14" s="1"/>
  <c r="Z29" s="1"/>
  <c r="AA14"/>
  <c r="AA29" s="1"/>
  <c r="AA16"/>
  <c r="AA33" s="1"/>
  <c r="S16"/>
  <c r="Z16" s="1"/>
  <c r="Z33" s="1"/>
  <c r="S20"/>
  <c r="Z20" s="1"/>
  <c r="Z30" s="1"/>
  <c r="AA20"/>
  <c r="AA30" s="1"/>
  <c r="S17"/>
  <c r="Z17" s="1"/>
  <c r="Z24" s="1"/>
  <c r="AA17"/>
  <c r="AA24" s="1"/>
  <c r="AA15"/>
  <c r="AA31" s="1"/>
  <c r="S15"/>
  <c r="Z15" s="1"/>
  <c r="Z31" s="1"/>
  <c r="AA19"/>
  <c r="AA28" s="1"/>
  <c r="S19"/>
  <c r="Z19" s="1"/>
  <c r="Z28" s="1"/>
  <c r="S22"/>
  <c r="Z22" s="1"/>
  <c r="Z34" s="1"/>
  <c r="AA22"/>
  <c r="AA34" s="1"/>
  <c r="S21"/>
  <c r="Z21" s="1"/>
  <c r="Z32" s="1"/>
  <c r="AA21"/>
  <c r="AA32" s="1"/>
  <c r="AA11"/>
  <c r="AA23" s="1"/>
  <c r="S11"/>
  <c r="Z11" s="1"/>
  <c r="Z23" s="1"/>
  <c r="Y18"/>
  <c r="Y26" s="1"/>
  <c r="Y14"/>
  <c r="Y29" s="1"/>
  <c r="M101"/>
  <c r="M88"/>
  <c r="G81"/>
  <c r="F81"/>
  <c r="I87"/>
  <c r="AD110"/>
  <c r="AD123"/>
  <c r="AD69" s="1"/>
  <c r="AJ110"/>
  <c r="AJ123"/>
  <c r="AJ69" s="1"/>
  <c r="AE176"/>
  <c r="AE189"/>
  <c r="AE72" s="1"/>
  <c r="K198"/>
  <c r="K211"/>
  <c r="K73" s="1"/>
  <c r="J167"/>
  <c r="J71" s="1"/>
  <c r="J154"/>
  <c r="R189"/>
  <c r="R72" s="1"/>
  <c r="R176"/>
  <c r="V198"/>
  <c r="V211"/>
  <c r="V73" s="1"/>
  <c r="AC154"/>
  <c r="AC167"/>
  <c r="AC71" s="1"/>
  <c r="AC198"/>
  <c r="AC211"/>
  <c r="AC73" s="1"/>
  <c r="P110"/>
  <c r="P123"/>
  <c r="P69" s="1"/>
  <c r="AB110"/>
  <c r="AB123"/>
  <c r="AB69" s="1"/>
  <c r="AI123"/>
  <c r="AI69" s="1"/>
  <c r="AI110"/>
  <c r="AA189"/>
  <c r="AA72" s="1"/>
  <c r="AA176"/>
  <c r="J176"/>
  <c r="J189"/>
  <c r="J72" s="1"/>
  <c r="R198"/>
  <c r="R211"/>
  <c r="R73" s="1"/>
  <c r="Y154"/>
  <c r="Y167"/>
  <c r="Y71" s="1"/>
  <c r="Y198"/>
  <c r="Y211"/>
  <c r="Y73" s="1"/>
  <c r="AC88"/>
  <c r="AC101"/>
  <c r="AH101"/>
  <c r="AH88"/>
  <c r="Y110"/>
  <c r="Y123"/>
  <c r="Y69" s="1"/>
  <c r="W176"/>
  <c r="W189"/>
  <c r="W72" s="1"/>
  <c r="J198"/>
  <c r="J211"/>
  <c r="J73" s="1"/>
  <c r="U167"/>
  <c r="U71" s="1"/>
  <c r="U154"/>
  <c r="U198"/>
  <c r="U211"/>
  <c r="U73" s="1"/>
  <c r="Q123"/>
  <c r="Q69" s="1"/>
  <c r="Q110"/>
  <c r="S176"/>
  <c r="S189"/>
  <c r="S72" s="1"/>
  <c r="Q167"/>
  <c r="Q71" s="1"/>
  <c r="Q154"/>
  <c r="Q198"/>
  <c r="Q211"/>
  <c r="Q73" s="1"/>
  <c r="X102"/>
  <c r="X92"/>
  <c r="AD124"/>
  <c r="AD75" s="1"/>
  <c r="AD114"/>
  <c r="O124"/>
  <c r="O75" s="1"/>
  <c r="O114"/>
  <c r="AA124"/>
  <c r="AA75" s="1"/>
  <c r="AA114"/>
  <c r="U190"/>
  <c r="U78" s="1"/>
  <c r="U180"/>
  <c r="AG146"/>
  <c r="AG76" s="1"/>
  <c r="AG136"/>
  <c r="O158"/>
  <c r="O168"/>
  <c r="O77" s="1"/>
  <c r="AK168"/>
  <c r="AK77" s="1"/>
  <c r="AK158"/>
  <c r="X180"/>
  <c r="X190"/>
  <c r="X78" s="1"/>
  <c r="O212"/>
  <c r="O79" s="1"/>
  <c r="O202"/>
  <c r="W168"/>
  <c r="W77" s="1"/>
  <c r="W158"/>
  <c r="AD190"/>
  <c r="AD78" s="1"/>
  <c r="AD180"/>
  <c r="M212"/>
  <c r="M79" s="1"/>
  <c r="M202"/>
  <c r="AE124"/>
  <c r="AE75" s="1"/>
  <c r="AE114"/>
  <c r="AK124"/>
  <c r="AK75" s="1"/>
  <c r="AK114"/>
  <c r="G106"/>
  <c r="F106"/>
  <c r="I113"/>
  <c r="F130"/>
  <c r="G130"/>
  <c r="J136"/>
  <c r="J146"/>
  <c r="J76" s="1"/>
  <c r="X168"/>
  <c r="X77" s="1"/>
  <c r="X158"/>
  <c r="O190"/>
  <c r="O78" s="1"/>
  <c r="O180"/>
  <c r="L136"/>
  <c r="L146"/>
  <c r="L76" s="1"/>
  <c r="G194"/>
  <c r="I201"/>
  <c r="F194"/>
  <c r="G196"/>
  <c r="F196"/>
  <c r="O102"/>
  <c r="O92"/>
  <c r="AA102"/>
  <c r="AA92"/>
  <c r="S146"/>
  <c r="S76" s="1"/>
  <c r="S136"/>
  <c r="AJ146"/>
  <c r="AJ76" s="1"/>
  <c r="AJ136"/>
  <c r="AD146"/>
  <c r="AD76" s="1"/>
  <c r="AD136"/>
  <c r="M158"/>
  <c r="M168"/>
  <c r="M77" s="1"/>
  <c r="AA190"/>
  <c r="AA78" s="1"/>
  <c r="AA180"/>
  <c r="R212"/>
  <c r="R79" s="1"/>
  <c r="R202"/>
  <c r="K124"/>
  <c r="K75" s="1"/>
  <c r="K114"/>
  <c r="AE146"/>
  <c r="AE76" s="1"/>
  <c r="AE136"/>
  <c r="V158"/>
  <c r="V168"/>
  <c r="V77" s="1"/>
  <c r="G173"/>
  <c r="I190"/>
  <c r="I180"/>
  <c r="F173"/>
  <c r="Y168"/>
  <c r="Y77" s="1"/>
  <c r="Y158"/>
  <c r="AH202"/>
  <c r="AH212"/>
  <c r="AH79" s="1"/>
  <c r="J180"/>
  <c r="J190"/>
  <c r="J78" s="1"/>
  <c r="AD87"/>
  <c r="AC131"/>
  <c r="AC175"/>
  <c r="J109"/>
  <c r="L197"/>
  <c r="W131"/>
  <c r="AD131"/>
  <c r="AH153"/>
  <c r="Y131"/>
  <c r="Y175"/>
  <c r="W87"/>
  <c r="AG87"/>
  <c r="V109"/>
  <c r="AA109"/>
  <c r="K131"/>
  <c r="AE197"/>
  <c r="V131"/>
  <c r="AD153"/>
  <c r="AH175"/>
  <c r="U131"/>
  <c r="U175"/>
  <c r="U87"/>
  <c r="S87"/>
  <c r="Q87"/>
  <c r="W109"/>
  <c r="AH109"/>
  <c r="AA197"/>
  <c r="V153"/>
  <c r="AD175"/>
  <c r="AH197"/>
  <c r="Q131"/>
  <c r="Q175"/>
  <c r="Y16"/>
  <c r="Y33" s="1"/>
  <c r="AC91"/>
  <c r="J91"/>
  <c r="Y113"/>
  <c r="AJ113"/>
  <c r="R157"/>
  <c r="Q179"/>
  <c r="AG157"/>
  <c r="AD201"/>
  <c r="L91"/>
  <c r="Q91"/>
  <c r="W91"/>
  <c r="AH91"/>
  <c r="V113"/>
  <c r="L113"/>
  <c r="AH157"/>
  <c r="AC179"/>
  <c r="P179"/>
  <c r="S201"/>
  <c r="V179"/>
  <c r="U201"/>
  <c r="AK91"/>
  <c r="AE113"/>
  <c r="L201"/>
  <c r="Y135"/>
  <c r="O157"/>
  <c r="AJ179"/>
  <c r="AE201"/>
  <c r="Q135"/>
  <c r="AA157"/>
  <c r="AG201"/>
  <c r="V88"/>
  <c r="V101"/>
  <c r="K88"/>
  <c r="K101"/>
  <c r="AG88"/>
  <c r="AG101"/>
  <c r="AI167"/>
  <c r="AI71" s="1"/>
  <c r="AI154"/>
  <c r="O176"/>
  <c r="O189"/>
  <c r="O72" s="1"/>
  <c r="M167"/>
  <c r="M71" s="1"/>
  <c r="M154"/>
  <c r="M211"/>
  <c r="M73" s="1"/>
  <c r="M198"/>
  <c r="X101"/>
  <c r="X88"/>
  <c r="V110"/>
  <c r="V123"/>
  <c r="V69" s="1"/>
  <c r="I123"/>
  <c r="G104"/>
  <c r="F104"/>
  <c r="I110"/>
  <c r="AJ132"/>
  <c r="AJ145"/>
  <c r="AJ70" s="1"/>
  <c r="AE154"/>
  <c r="AE167"/>
  <c r="AE71" s="1"/>
  <c r="K176"/>
  <c r="K189"/>
  <c r="K72" s="1"/>
  <c r="I131"/>
  <c r="F125"/>
  <c r="G125"/>
  <c r="F127"/>
  <c r="G127"/>
  <c r="F148"/>
  <c r="I167"/>
  <c r="G148"/>
  <c r="I154"/>
  <c r="F169"/>
  <c r="I175"/>
  <c r="G169"/>
  <c r="G171"/>
  <c r="F171"/>
  <c r="G192"/>
  <c r="I198"/>
  <c r="I211"/>
  <c r="F192"/>
  <c r="AB88"/>
  <c r="AB101"/>
  <c r="AJ101"/>
  <c r="AJ88"/>
  <c r="W123"/>
  <c r="W69" s="1"/>
  <c r="W110"/>
  <c r="AC110"/>
  <c r="AC123"/>
  <c r="AC69" s="1"/>
  <c r="J123"/>
  <c r="J69" s="1"/>
  <c r="J110"/>
  <c r="G105"/>
  <c r="F105"/>
  <c r="AB132"/>
  <c r="AB145"/>
  <c r="AB70" s="1"/>
  <c r="AJ167"/>
  <c r="AJ71" s="1"/>
  <c r="AJ154"/>
  <c r="AA154"/>
  <c r="AA167"/>
  <c r="AA71" s="1"/>
  <c r="AK132"/>
  <c r="AK145"/>
  <c r="AK70" s="1"/>
  <c r="AK189"/>
  <c r="AK72" s="1"/>
  <c r="AK176"/>
  <c r="L88"/>
  <c r="L101"/>
  <c r="O123"/>
  <c r="O69" s="1"/>
  <c r="O110"/>
  <c r="M110"/>
  <c r="M123"/>
  <c r="M69" s="1"/>
  <c r="X132"/>
  <c r="X145"/>
  <c r="X70" s="1"/>
  <c r="AB154"/>
  <c r="AB167"/>
  <c r="AB71" s="1"/>
  <c r="AJ189"/>
  <c r="AJ72" s="1"/>
  <c r="AJ176"/>
  <c r="W167"/>
  <c r="W71" s="1"/>
  <c r="W154"/>
  <c r="AG132"/>
  <c r="AG145"/>
  <c r="AG70" s="1"/>
  <c r="AG176"/>
  <c r="AG189"/>
  <c r="AG72" s="1"/>
  <c r="M102"/>
  <c r="M92"/>
  <c r="P102"/>
  <c r="P92"/>
  <c r="L102"/>
  <c r="L92"/>
  <c r="R102"/>
  <c r="R92"/>
  <c r="U124"/>
  <c r="U75" s="1"/>
  <c r="U114"/>
  <c r="R114"/>
  <c r="R124"/>
  <c r="R75" s="1"/>
  <c r="AA146"/>
  <c r="AA76" s="1"/>
  <c r="AA136"/>
  <c r="R158"/>
  <c r="R168"/>
  <c r="R77" s="1"/>
  <c r="I135"/>
  <c r="F128"/>
  <c r="G128"/>
  <c r="U168"/>
  <c r="U77" s="1"/>
  <c r="U158"/>
  <c r="AI190"/>
  <c r="AI78" s="1"/>
  <c r="AI180"/>
  <c r="AD212"/>
  <c r="AD79" s="1"/>
  <c r="AD202"/>
  <c r="I102"/>
  <c r="G85"/>
  <c r="I92"/>
  <c r="F85"/>
  <c r="P124"/>
  <c r="P75" s="1"/>
  <c r="P114"/>
  <c r="AB124"/>
  <c r="AB75" s="1"/>
  <c r="AB114"/>
  <c r="Q124"/>
  <c r="Q75" s="1"/>
  <c r="Q114"/>
  <c r="AG190"/>
  <c r="AG78" s="1"/>
  <c r="AG180"/>
  <c r="P212"/>
  <c r="P79" s="1"/>
  <c r="P202"/>
  <c r="AA212"/>
  <c r="AA79" s="1"/>
  <c r="AA202"/>
  <c r="Y212"/>
  <c r="Y79" s="1"/>
  <c r="Y202"/>
  <c r="Y92"/>
  <c r="Y102"/>
  <c r="AD92"/>
  <c r="AD102"/>
  <c r="V92"/>
  <c r="V102"/>
  <c r="S124"/>
  <c r="S75" s="1"/>
  <c r="S114"/>
  <c r="I114"/>
  <c r="G107"/>
  <c r="F107"/>
  <c r="I124"/>
  <c r="AC136"/>
  <c r="AC146"/>
  <c r="AC76" s="1"/>
  <c r="AJ202"/>
  <c r="AJ212"/>
  <c r="AJ79" s="1"/>
  <c r="P168"/>
  <c r="P77" s="1"/>
  <c r="P158"/>
  <c r="K180"/>
  <c r="K190"/>
  <c r="K78" s="1"/>
  <c r="AK146"/>
  <c r="AK76" s="1"/>
  <c r="AK136"/>
  <c r="AK212"/>
  <c r="AK79" s="1"/>
  <c r="AK202"/>
  <c r="S102"/>
  <c r="S92"/>
  <c r="L124"/>
  <c r="L75" s="1"/>
  <c r="L114"/>
  <c r="O136"/>
  <c r="O146"/>
  <c r="O76" s="1"/>
  <c r="P146"/>
  <c r="P76" s="1"/>
  <c r="P136"/>
  <c r="V146"/>
  <c r="V76" s="1"/>
  <c r="V136"/>
  <c r="F151"/>
  <c r="I168"/>
  <c r="I158"/>
  <c r="G151"/>
  <c r="AJ168"/>
  <c r="AJ77" s="1"/>
  <c r="AJ158"/>
  <c r="W190"/>
  <c r="W78" s="1"/>
  <c r="W180"/>
  <c r="J212"/>
  <c r="J79" s="1"/>
  <c r="J202"/>
  <c r="AB146"/>
  <c r="AB76" s="1"/>
  <c r="AB136"/>
  <c r="M131"/>
  <c r="M175"/>
  <c r="AA87"/>
  <c r="AD109"/>
  <c r="R109"/>
  <c r="J153"/>
  <c r="R175"/>
  <c r="V197"/>
  <c r="AE87"/>
  <c r="M109"/>
  <c r="M117" s="1"/>
  <c r="AI175"/>
  <c r="O197"/>
  <c r="J175"/>
  <c r="J183" s="1"/>
  <c r="R197"/>
  <c r="R131"/>
  <c r="AK153"/>
  <c r="AK197"/>
  <c r="O87"/>
  <c r="AG109"/>
  <c r="AE175"/>
  <c r="K197"/>
  <c r="K205" s="1"/>
  <c r="J197"/>
  <c r="J131"/>
  <c r="AG153"/>
  <c r="AG197"/>
  <c r="Y12"/>
  <c r="Y25" s="1"/>
  <c r="AK179"/>
  <c r="AC201"/>
  <c r="AJ91"/>
  <c r="M135"/>
  <c r="R135"/>
  <c r="Q157"/>
  <c r="X157"/>
  <c r="X162" s="1"/>
  <c r="U135"/>
  <c r="M91"/>
  <c r="AA91"/>
  <c r="W113"/>
  <c r="AE135"/>
  <c r="AE140" s="1"/>
  <c r="J157"/>
  <c r="M179"/>
  <c r="X135"/>
  <c r="AH135"/>
  <c r="AC157"/>
  <c r="V201"/>
  <c r="AD91"/>
  <c r="AD96" s="1"/>
  <c r="X113"/>
  <c r="AB113"/>
  <c r="J113"/>
  <c r="AD157"/>
  <c r="Y179"/>
  <c r="L179"/>
  <c r="O201"/>
  <c r="R179"/>
  <c r="Q201"/>
  <c r="Y20"/>
  <c r="Y30" s="1"/>
  <c r="Y19"/>
  <c r="Y28" s="1"/>
  <c r="AE101"/>
  <c r="AE88"/>
  <c r="O101"/>
  <c r="O88"/>
  <c r="AA110"/>
  <c r="AA123"/>
  <c r="AA69" s="1"/>
  <c r="P132"/>
  <c r="P145"/>
  <c r="P70" s="1"/>
  <c r="X154"/>
  <c r="X167"/>
  <c r="X71" s="1"/>
  <c r="AB176"/>
  <c r="AB189"/>
  <c r="AB72" s="1"/>
  <c r="AJ198"/>
  <c r="AJ211"/>
  <c r="AJ73" s="1"/>
  <c r="S154"/>
  <c r="S167"/>
  <c r="S71" s="1"/>
  <c r="AC145"/>
  <c r="AC70" s="1"/>
  <c r="AC132"/>
  <c r="AC189"/>
  <c r="AC72" s="1"/>
  <c r="AC176"/>
  <c r="U88"/>
  <c r="U101"/>
  <c r="X110"/>
  <c r="X123"/>
  <c r="X69" s="1"/>
  <c r="K123"/>
  <c r="K69" s="1"/>
  <c r="K110"/>
  <c r="AH110"/>
  <c r="AH123"/>
  <c r="AH69" s="1"/>
  <c r="L132"/>
  <c r="L145"/>
  <c r="L70" s="1"/>
  <c r="P154"/>
  <c r="P167"/>
  <c r="P71" s="1"/>
  <c r="X189"/>
  <c r="X72" s="1"/>
  <c r="X176"/>
  <c r="AB198"/>
  <c r="AB211"/>
  <c r="AB73" s="1"/>
  <c r="AI132"/>
  <c r="AI145"/>
  <c r="AI70" s="1"/>
  <c r="O154"/>
  <c r="O167"/>
  <c r="O71" s="1"/>
  <c r="Y132"/>
  <c r="Y145"/>
  <c r="Y70" s="1"/>
  <c r="Y176"/>
  <c r="Y189"/>
  <c r="Y72" s="1"/>
  <c r="Y101"/>
  <c r="Y88"/>
  <c r="AK101"/>
  <c r="AK88"/>
  <c r="AG110"/>
  <c r="AG123"/>
  <c r="AG69" s="1"/>
  <c r="L154"/>
  <c r="L167"/>
  <c r="L71" s="1"/>
  <c r="P176"/>
  <c r="P189"/>
  <c r="P72" s="1"/>
  <c r="X211"/>
  <c r="X73" s="1"/>
  <c r="X198"/>
  <c r="AE132"/>
  <c r="AE145"/>
  <c r="AE70" s="1"/>
  <c r="K167"/>
  <c r="K71" s="1"/>
  <c r="K154"/>
  <c r="AI198"/>
  <c r="AI211"/>
  <c r="AI73" s="1"/>
  <c r="U132"/>
  <c r="U145"/>
  <c r="U70" s="1"/>
  <c r="U176"/>
  <c r="U189"/>
  <c r="U72" s="1"/>
  <c r="AA101"/>
  <c r="AA88"/>
  <c r="J101"/>
  <c r="J88"/>
  <c r="S110"/>
  <c r="S123"/>
  <c r="S69" s="1"/>
  <c r="L176"/>
  <c r="L189"/>
  <c r="L72" s="1"/>
  <c r="P198"/>
  <c r="P211"/>
  <c r="P73" s="1"/>
  <c r="AA132"/>
  <c r="AA145"/>
  <c r="AA70" s="1"/>
  <c r="AE211"/>
  <c r="AE73" s="1"/>
  <c r="AE198"/>
  <c r="AH132"/>
  <c r="AH145"/>
  <c r="AH70" s="1"/>
  <c r="Q132"/>
  <c r="Q145"/>
  <c r="Q70" s="1"/>
  <c r="Q176"/>
  <c r="Q189"/>
  <c r="Q72" s="1"/>
  <c r="AJ102"/>
  <c r="AJ92"/>
  <c r="J102"/>
  <c r="J92"/>
  <c r="AC92"/>
  <c r="AC102"/>
  <c r="I91"/>
  <c r="G84"/>
  <c r="F84"/>
  <c r="AJ114"/>
  <c r="AJ124"/>
  <c r="AJ75" s="1"/>
  <c r="Y114"/>
  <c r="Y124"/>
  <c r="Y75" s="1"/>
  <c r="K146"/>
  <c r="K76" s="1"/>
  <c r="K136"/>
  <c r="R136"/>
  <c r="R146"/>
  <c r="R76" s="1"/>
  <c r="AB158"/>
  <c r="AB168"/>
  <c r="AB77" s="1"/>
  <c r="S190"/>
  <c r="S78" s="1"/>
  <c r="S180"/>
  <c r="X146"/>
  <c r="X76" s="1"/>
  <c r="X136"/>
  <c r="AH124"/>
  <c r="AH75" s="1"/>
  <c r="AH114"/>
  <c r="AA158"/>
  <c r="AA168"/>
  <c r="AA77" s="1"/>
  <c r="AH168"/>
  <c r="AH77" s="1"/>
  <c r="AH158"/>
  <c r="Q190"/>
  <c r="Q78" s="1"/>
  <c r="Q180"/>
  <c r="U136"/>
  <c r="U146"/>
  <c r="U76" s="1"/>
  <c r="AG158"/>
  <c r="AG168"/>
  <c r="AG77" s="1"/>
  <c r="P190"/>
  <c r="P78" s="1"/>
  <c r="P180"/>
  <c r="K212"/>
  <c r="K79" s="1"/>
  <c r="K202"/>
  <c r="Y146"/>
  <c r="Y76" s="1"/>
  <c r="Y136"/>
  <c r="K158"/>
  <c r="K168"/>
  <c r="K77" s="1"/>
  <c r="V180"/>
  <c r="V190"/>
  <c r="V78" s="1"/>
  <c r="I202"/>
  <c r="F195"/>
  <c r="G195"/>
  <c r="I212"/>
  <c r="AE102"/>
  <c r="AE92"/>
  <c r="U92"/>
  <c r="U102"/>
  <c r="AK102"/>
  <c r="AK92"/>
  <c r="V124"/>
  <c r="V75" s="1"/>
  <c r="V114"/>
  <c r="M124"/>
  <c r="M75" s="1"/>
  <c r="M114"/>
  <c r="AC190"/>
  <c r="AC78" s="1"/>
  <c r="AC180"/>
  <c r="L212"/>
  <c r="L79" s="1"/>
  <c r="L202"/>
  <c r="AJ180"/>
  <c r="AJ190"/>
  <c r="AJ78" s="1"/>
  <c r="W212"/>
  <c r="W79" s="1"/>
  <c r="W202"/>
  <c r="U212"/>
  <c r="U79" s="1"/>
  <c r="U202"/>
  <c r="AI102"/>
  <c r="AI92"/>
  <c r="F86"/>
  <c r="G86"/>
  <c r="J124"/>
  <c r="J75" s="1"/>
  <c r="J114"/>
  <c r="M136"/>
  <c r="M146"/>
  <c r="M76" s="1"/>
  <c r="F172"/>
  <c r="I179"/>
  <c r="G172"/>
  <c r="F174"/>
  <c r="G174"/>
  <c r="AB212"/>
  <c r="AB79" s="1"/>
  <c r="AB202"/>
  <c r="AI202"/>
  <c r="AI212"/>
  <c r="AI79" s="1"/>
  <c r="L168"/>
  <c r="L77" s="1"/>
  <c r="L158"/>
  <c r="Q146"/>
  <c r="Q76" s="1"/>
  <c r="Q136"/>
  <c r="AG212"/>
  <c r="AG79" s="1"/>
  <c r="AG202"/>
  <c r="R87"/>
  <c r="AK109"/>
  <c r="V87"/>
  <c r="AJ87"/>
  <c r="AE109"/>
  <c r="U109"/>
  <c r="AJ131"/>
  <c r="S175"/>
  <c r="O109"/>
  <c r="Y109"/>
  <c r="AB131"/>
  <c r="AJ153"/>
  <c r="AI153"/>
  <c r="O175"/>
  <c r="P91"/>
  <c r="P96" s="1"/>
  <c r="AD113"/>
  <c r="AD118" s="1"/>
  <c r="O113"/>
  <c r="AA113"/>
  <c r="X201"/>
  <c r="AG91"/>
  <c r="X91"/>
  <c r="R113"/>
  <c r="O135"/>
  <c r="J135"/>
  <c r="J140" s="1"/>
  <c r="P157"/>
  <c r="P162" s="1"/>
  <c r="W179"/>
  <c r="W184" s="1"/>
  <c r="U113"/>
  <c r="U118" s="1"/>
  <c r="AA135"/>
  <c r="P135"/>
  <c r="AD135"/>
  <c r="AD140" s="1"/>
  <c r="AI179"/>
  <c r="R201"/>
  <c r="R206" s="1"/>
  <c r="Y13"/>
  <c r="Y27" s="1"/>
  <c r="Y21"/>
  <c r="Y32" s="1"/>
  <c r="Y11"/>
  <c r="Y23" s="1"/>
  <c r="AD88"/>
  <c r="AD101"/>
  <c r="W101"/>
  <c r="W88"/>
  <c r="S88"/>
  <c r="S101"/>
  <c r="AE110"/>
  <c r="AE123"/>
  <c r="AE69" s="1"/>
  <c r="U110"/>
  <c r="U123"/>
  <c r="U69" s="1"/>
  <c r="L211"/>
  <c r="L73" s="1"/>
  <c r="L198"/>
  <c r="W132"/>
  <c r="W145"/>
  <c r="W70" s="1"/>
  <c r="AA211"/>
  <c r="AA73" s="1"/>
  <c r="AA198"/>
  <c r="AD132"/>
  <c r="AD145"/>
  <c r="AD70" s="1"/>
  <c r="AH154"/>
  <c r="AH167"/>
  <c r="AH71" s="1"/>
  <c r="M132"/>
  <c r="M145"/>
  <c r="M70" s="1"/>
  <c r="M176"/>
  <c r="M189"/>
  <c r="M72" s="1"/>
  <c r="G83"/>
  <c r="F83"/>
  <c r="AK123"/>
  <c r="AK69" s="1"/>
  <c r="AK110"/>
  <c r="S145"/>
  <c r="S70" s="1"/>
  <c r="S132"/>
  <c r="W211"/>
  <c r="W73" s="1"/>
  <c r="W198"/>
  <c r="V132"/>
  <c r="V145"/>
  <c r="V70" s="1"/>
  <c r="AD154"/>
  <c r="AD167"/>
  <c r="AD71" s="1"/>
  <c r="AH176"/>
  <c r="AH189"/>
  <c r="AH72" s="1"/>
  <c r="F126"/>
  <c r="I145"/>
  <c r="G126"/>
  <c r="I132"/>
  <c r="I153"/>
  <c r="F147"/>
  <c r="G147"/>
  <c r="F149"/>
  <c r="G149"/>
  <c r="F170"/>
  <c r="I176"/>
  <c r="I189"/>
  <c r="G170"/>
  <c r="F191"/>
  <c r="I197"/>
  <c r="G191"/>
  <c r="F193"/>
  <c r="G193"/>
  <c r="P101"/>
  <c r="P88"/>
  <c r="AI88"/>
  <c r="AI101"/>
  <c r="Q101"/>
  <c r="Q88"/>
  <c r="F82"/>
  <c r="G82"/>
  <c r="I101"/>
  <c r="I88"/>
  <c r="R123"/>
  <c r="R69" s="1"/>
  <c r="R110"/>
  <c r="O132"/>
  <c r="O145"/>
  <c r="O70" s="1"/>
  <c r="S211"/>
  <c r="S73" s="1"/>
  <c r="S198"/>
  <c r="R145"/>
  <c r="R70" s="1"/>
  <c r="R132"/>
  <c r="V167"/>
  <c r="V71" s="1"/>
  <c r="V154"/>
  <c r="AD176"/>
  <c r="AD189"/>
  <c r="AD72" s="1"/>
  <c r="AH198"/>
  <c r="AH211"/>
  <c r="AH73" s="1"/>
  <c r="AK167"/>
  <c r="AK71" s="1"/>
  <c r="AK154"/>
  <c r="AK211"/>
  <c r="AK73" s="1"/>
  <c r="AK198"/>
  <c r="R101"/>
  <c r="R88"/>
  <c r="L123"/>
  <c r="L69" s="1"/>
  <c r="L110"/>
  <c r="F103"/>
  <c r="I109"/>
  <c r="G103"/>
  <c r="K132"/>
  <c r="K145"/>
  <c r="K70" s="1"/>
  <c r="AI176"/>
  <c r="AI189"/>
  <c r="AI72" s="1"/>
  <c r="O211"/>
  <c r="O73" s="1"/>
  <c r="O198"/>
  <c r="J145"/>
  <c r="J70" s="1"/>
  <c r="J132"/>
  <c r="R167"/>
  <c r="R71" s="1"/>
  <c r="R154"/>
  <c r="V176"/>
  <c r="V189"/>
  <c r="V72" s="1"/>
  <c r="AD198"/>
  <c r="AD211"/>
  <c r="AD73" s="1"/>
  <c r="AG167"/>
  <c r="AG71" s="1"/>
  <c r="AG154"/>
  <c r="AG198"/>
  <c r="AG211"/>
  <c r="AG73" s="1"/>
  <c r="AH102"/>
  <c r="AH92"/>
  <c r="AG92"/>
  <c r="AG102"/>
  <c r="W114"/>
  <c r="W124"/>
  <c r="W75" s="1"/>
  <c r="AK190"/>
  <c r="AK78" s="1"/>
  <c r="AK180"/>
  <c r="X212"/>
  <c r="X79" s="1"/>
  <c r="X202"/>
  <c r="AE212"/>
  <c r="AE79" s="1"/>
  <c r="AE202"/>
  <c r="AC212"/>
  <c r="AC79" s="1"/>
  <c r="AC202"/>
  <c r="W102"/>
  <c r="W92"/>
  <c r="K102"/>
  <c r="K92"/>
  <c r="W146"/>
  <c r="W76" s="1"/>
  <c r="W136"/>
  <c r="J168"/>
  <c r="J77" s="1"/>
  <c r="J158"/>
  <c r="AH136"/>
  <c r="AH146"/>
  <c r="AH76" s="1"/>
  <c r="Q168"/>
  <c r="Q77" s="1"/>
  <c r="Q158"/>
  <c r="AE190"/>
  <c r="AE78" s="1"/>
  <c r="AE180"/>
  <c r="V212"/>
  <c r="V79" s="1"/>
  <c r="V202"/>
  <c r="Q102"/>
  <c r="Q92"/>
  <c r="X114"/>
  <c r="X124"/>
  <c r="X75" s="1"/>
  <c r="AI124"/>
  <c r="AI75" s="1"/>
  <c r="AI114"/>
  <c r="S168"/>
  <c r="S77" s="1"/>
  <c r="S158"/>
  <c r="AI136"/>
  <c r="AI146"/>
  <c r="AI76" s="1"/>
  <c r="AD158"/>
  <c r="AD168"/>
  <c r="AD77" s="1"/>
  <c r="M180"/>
  <c r="M190"/>
  <c r="M78" s="1"/>
  <c r="G129"/>
  <c r="F129"/>
  <c r="I146"/>
  <c r="I136"/>
  <c r="AC168"/>
  <c r="AC77" s="1"/>
  <c r="AC158"/>
  <c r="L190"/>
  <c r="L78" s="1"/>
  <c r="L180"/>
  <c r="R190"/>
  <c r="R78" s="1"/>
  <c r="R180"/>
  <c r="AB102"/>
  <c r="AB92"/>
  <c r="AC124"/>
  <c r="AC75" s="1"/>
  <c r="AC114"/>
  <c r="G108"/>
  <c r="F108"/>
  <c r="AG124"/>
  <c r="AG75" s="1"/>
  <c r="AG114"/>
  <c r="Y190"/>
  <c r="Y78" s="1"/>
  <c r="Y180"/>
  <c r="AI168"/>
  <c r="AI77" s="1"/>
  <c r="AI158"/>
  <c r="I157"/>
  <c r="F150"/>
  <c r="G150"/>
  <c r="G152"/>
  <c r="F152"/>
  <c r="AB180"/>
  <c r="AB190"/>
  <c r="AB78" s="1"/>
  <c r="S202"/>
  <c r="S212"/>
  <c r="S79" s="1"/>
  <c r="AE168"/>
  <c r="AE77" s="1"/>
  <c r="AE158"/>
  <c r="AH180"/>
  <c r="AH190"/>
  <c r="AH78" s="1"/>
  <c r="Q202"/>
  <c r="Q212"/>
  <c r="Q79" s="1"/>
  <c r="AK87"/>
  <c r="AK95" s="1"/>
  <c r="K87"/>
  <c r="AJ109"/>
  <c r="Q109"/>
  <c r="P131"/>
  <c r="P139" s="1"/>
  <c r="X153"/>
  <c r="X161" s="1"/>
  <c r="AB175"/>
  <c r="AJ197"/>
  <c r="M87"/>
  <c r="M95" s="1"/>
  <c r="AB87"/>
  <c r="L131"/>
  <c r="P153"/>
  <c r="P161" s="1"/>
  <c r="X175"/>
  <c r="AB197"/>
  <c r="W153"/>
  <c r="P109"/>
  <c r="AB109"/>
  <c r="AI131"/>
  <c r="AI139" s="1"/>
  <c r="L153"/>
  <c r="P175"/>
  <c r="X197"/>
  <c r="S153"/>
  <c r="Y17"/>
  <c r="Y24" s="1"/>
  <c r="X179"/>
  <c r="X184" s="1"/>
  <c r="K157"/>
  <c r="K162" s="1"/>
  <c r="AD179"/>
  <c r="AE91"/>
  <c r="O91"/>
  <c r="U91"/>
  <c r="AK113"/>
  <c r="K113"/>
  <c r="Q113"/>
  <c r="P201"/>
  <c r="W157"/>
  <c r="AI201"/>
  <c r="AI206" s="1"/>
  <c r="AK135"/>
  <c r="P113"/>
  <c r="AI113"/>
  <c r="K135"/>
  <c r="AJ201"/>
  <c r="S179"/>
  <c r="Y22"/>
  <c r="Y34" s="1"/>
  <c r="J159"/>
  <c r="M111"/>
  <c r="P111"/>
  <c r="J133"/>
  <c r="AI93"/>
  <c r="M115"/>
  <c r="AI177"/>
  <c r="M155"/>
  <c r="AI89"/>
  <c r="J181"/>
  <c r="M159"/>
  <c r="J155"/>
  <c r="I177"/>
  <c r="I89"/>
  <c r="J177"/>
  <c r="AI111"/>
  <c r="AI199"/>
  <c r="AI159"/>
  <c r="P115"/>
  <c r="J203"/>
  <c r="P133"/>
  <c r="M133"/>
  <c r="P177"/>
  <c r="M137"/>
  <c r="P181"/>
  <c r="J93"/>
  <c r="I155"/>
  <c r="I203"/>
  <c r="I159"/>
  <c r="AI181"/>
  <c r="P155"/>
  <c r="AI115"/>
  <c r="J115"/>
  <c r="P93"/>
  <c r="P159"/>
  <c r="P199"/>
  <c r="P203"/>
  <c r="AI155"/>
  <c r="AI203"/>
  <c r="M203"/>
  <c r="J89"/>
  <c r="I115"/>
  <c r="I133"/>
  <c r="I181"/>
  <c r="M89"/>
  <c r="P89"/>
  <c r="P137"/>
  <c r="J111"/>
  <c r="M199"/>
  <c r="AI133"/>
  <c r="M93"/>
  <c r="J137"/>
  <c r="AI137"/>
  <c r="M177"/>
  <c r="J199"/>
  <c r="M181"/>
  <c r="I93"/>
  <c r="I111"/>
  <c r="I137"/>
  <c r="I199"/>
  <c r="AM203"/>
  <c r="AL93"/>
  <c r="AK137"/>
  <c r="AH177"/>
  <c r="AG115"/>
  <c r="AF89"/>
  <c r="AD155"/>
  <c r="AC159"/>
  <c r="AB111"/>
  <c r="Z115"/>
  <c r="Y177"/>
  <c r="X137"/>
  <c r="V155"/>
  <c r="U137"/>
  <c r="T89"/>
  <c r="R155"/>
  <c r="Q133"/>
  <c r="O137"/>
  <c r="L93"/>
  <c r="K89"/>
  <c r="AN203"/>
  <c r="AM181"/>
  <c r="AL89"/>
  <c r="AJ93"/>
  <c r="AH111"/>
  <c r="AG133"/>
  <c r="AE159"/>
  <c r="AD181"/>
  <c r="AC203"/>
  <c r="AA111"/>
  <c r="Z159"/>
  <c r="Y93"/>
  <c r="W159"/>
  <c r="V181"/>
  <c r="U159"/>
  <c r="S115"/>
  <c r="R203"/>
  <c r="Q89"/>
  <c r="N159"/>
  <c r="L133"/>
  <c r="K159"/>
  <c r="AN133"/>
  <c r="AM155"/>
  <c r="AL159"/>
  <c r="AJ111"/>
  <c r="AH155"/>
  <c r="AG111"/>
  <c r="AE137"/>
  <c r="AD137"/>
  <c r="AC155"/>
  <c r="AA159"/>
  <c r="Z177"/>
  <c r="Y89"/>
  <c r="W111"/>
  <c r="V89"/>
  <c r="U155"/>
  <c r="S93"/>
  <c r="R199"/>
  <c r="Q111"/>
  <c r="N203"/>
  <c r="L181"/>
  <c r="K155"/>
  <c r="AN181"/>
  <c r="AM159"/>
  <c r="AL203"/>
  <c r="AJ137"/>
  <c r="AH181"/>
  <c r="AG177"/>
  <c r="AE177"/>
  <c r="AD93"/>
  <c r="AC111"/>
  <c r="AA133"/>
  <c r="Z203"/>
  <c r="Y199"/>
  <c r="W177"/>
  <c r="V199"/>
  <c r="U203"/>
  <c r="S89"/>
  <c r="R93"/>
  <c r="Q181"/>
  <c r="N115"/>
  <c r="L155"/>
  <c r="K137"/>
  <c r="AN199"/>
  <c r="AL115"/>
  <c r="AK159"/>
  <c r="AJ89"/>
  <c r="AG159"/>
  <c r="AF181"/>
  <c r="AE155"/>
  <c r="AC115"/>
  <c r="AB177"/>
  <c r="AA155"/>
  <c r="Y133"/>
  <c r="X155"/>
  <c r="W93"/>
  <c r="U133"/>
  <c r="T181"/>
  <c r="S137"/>
  <c r="Q137"/>
  <c r="O199"/>
  <c r="N133"/>
  <c r="K199"/>
  <c r="AM115"/>
  <c r="AL177"/>
  <c r="AK89"/>
  <c r="AH159"/>
  <c r="AG137"/>
  <c r="AF93"/>
  <c r="AD133"/>
  <c r="AC93"/>
  <c r="AB115"/>
  <c r="Z89"/>
  <c r="Y159"/>
  <c r="X181"/>
  <c r="V111"/>
  <c r="U115"/>
  <c r="T111"/>
  <c r="R115"/>
  <c r="Q115"/>
  <c r="O93"/>
  <c r="L159"/>
  <c r="K93"/>
  <c r="AM199"/>
  <c r="AL137"/>
  <c r="AK133"/>
  <c r="AH133"/>
  <c r="AG155"/>
  <c r="AF133"/>
  <c r="AD111"/>
  <c r="AC177"/>
  <c r="AB155"/>
  <c r="Z133"/>
  <c r="Y181"/>
  <c r="X203"/>
  <c r="V115"/>
  <c r="U177"/>
  <c r="T155"/>
  <c r="R177"/>
  <c r="Q93"/>
  <c r="O177"/>
  <c r="L177"/>
  <c r="K177"/>
  <c r="AM133"/>
  <c r="AL155"/>
  <c r="AK111"/>
  <c r="AH115"/>
  <c r="AG89"/>
  <c r="AF203"/>
  <c r="AD115"/>
  <c r="AC133"/>
  <c r="AB159"/>
  <c r="Z93"/>
  <c r="Y115"/>
  <c r="X199"/>
  <c r="V159"/>
  <c r="U93"/>
  <c r="T93"/>
  <c r="R89"/>
  <c r="Q199"/>
  <c r="O133"/>
  <c r="L199"/>
  <c r="K111"/>
  <c r="AN137"/>
  <c r="AM89"/>
  <c r="AK93"/>
  <c r="AJ133"/>
  <c r="AH199"/>
  <c r="AF177"/>
  <c r="AE111"/>
  <c r="AD203"/>
  <c r="AB199"/>
  <c r="AA93"/>
  <c r="Z199"/>
  <c r="X115"/>
  <c r="W133"/>
  <c r="V177"/>
  <c r="T137"/>
  <c r="S155"/>
  <c r="R159"/>
  <c r="O111"/>
  <c r="N137"/>
  <c r="L137"/>
  <c r="AN115"/>
  <c r="AL111"/>
  <c r="AK181"/>
  <c r="AJ199"/>
  <c r="AG93"/>
  <c r="AF159"/>
  <c r="AE199"/>
  <c r="AC181"/>
  <c r="AB137"/>
  <c r="AA199"/>
  <c r="Y137"/>
  <c r="X133"/>
  <c r="W155"/>
  <c r="U181"/>
  <c r="T133"/>
  <c r="S159"/>
  <c r="Q155"/>
  <c r="O115"/>
  <c r="N89"/>
  <c r="K181"/>
  <c r="AN89"/>
  <c r="AL133"/>
  <c r="AK199"/>
  <c r="AJ159"/>
  <c r="AG203"/>
  <c r="AF137"/>
  <c r="AE115"/>
  <c r="AC199"/>
  <c r="AB181"/>
  <c r="AA115"/>
  <c r="Y155"/>
  <c r="X159"/>
  <c r="W199"/>
  <c r="U89"/>
  <c r="T177"/>
  <c r="S133"/>
  <c r="Q203"/>
  <c r="O159"/>
  <c r="N181"/>
  <c r="K115"/>
  <c r="AN93"/>
  <c r="AL181"/>
  <c r="AK115"/>
  <c r="AJ115"/>
  <c r="AG199"/>
  <c r="AF199"/>
  <c r="AE133"/>
  <c r="AC137"/>
  <c r="AB203"/>
  <c r="AA137"/>
  <c r="Y111"/>
  <c r="X93"/>
  <c r="W181"/>
  <c r="U111"/>
  <c r="T115"/>
  <c r="S177"/>
  <c r="Q177"/>
  <c r="O181"/>
  <c r="N177"/>
  <c r="K203"/>
  <c r="AN159"/>
  <c r="AM177"/>
  <c r="AL199"/>
  <c r="AJ203"/>
  <c r="AH137"/>
  <c r="AG181"/>
  <c r="AE203"/>
  <c r="AD159"/>
  <c r="AC89"/>
  <c r="AA181"/>
  <c r="Z111"/>
  <c r="Y203"/>
  <c r="W203"/>
  <c r="V137"/>
  <c r="U199"/>
  <c r="S111"/>
  <c r="R111"/>
  <c r="Q159"/>
  <c r="N155"/>
  <c r="L203"/>
  <c r="K133"/>
  <c r="AN177"/>
  <c r="AM111"/>
  <c r="AK177"/>
  <c r="AJ181"/>
  <c r="AH203"/>
  <c r="AF111"/>
  <c r="AE181"/>
  <c r="AD89"/>
  <c r="AB133"/>
  <c r="AA177"/>
  <c r="Z181"/>
  <c r="X89"/>
  <c r="W137"/>
  <c r="V133"/>
  <c r="T203"/>
  <c r="S199"/>
  <c r="R181"/>
  <c r="O203"/>
  <c r="N93"/>
  <c r="L115"/>
  <c r="AN155"/>
  <c r="AM137"/>
  <c r="AK155"/>
  <c r="AJ155"/>
  <c r="AH89"/>
  <c r="AF155"/>
  <c r="AE89"/>
  <c r="AD199"/>
  <c r="AB93"/>
  <c r="AA89"/>
  <c r="Z155"/>
  <c r="X177"/>
  <c r="W115"/>
  <c r="V93"/>
  <c r="T199"/>
  <c r="S203"/>
  <c r="R137"/>
  <c r="O89"/>
  <c r="N111"/>
  <c r="L89"/>
  <c r="AN111"/>
  <c r="AM93"/>
  <c r="AK203"/>
  <c r="AJ177"/>
  <c r="AH93"/>
  <c r="AF115"/>
  <c r="AE93"/>
  <c r="AD177"/>
  <c r="AB89"/>
  <c r="AA203"/>
  <c r="Z137"/>
  <c r="X111"/>
  <c r="W89"/>
  <c r="V203"/>
  <c r="T159"/>
  <c r="S181"/>
  <c r="R133"/>
  <c r="O155"/>
  <c r="N199"/>
  <c r="L111"/>
  <c r="J161" l="1"/>
  <c r="N74"/>
  <c r="T80"/>
  <c r="T56" s="1"/>
  <c r="N80"/>
  <c r="N56" s="1"/>
  <c r="AL80"/>
  <c r="AL56" s="1"/>
  <c r="AL74"/>
  <c r="T74"/>
  <c r="AL200"/>
  <c r="AL207" s="1"/>
  <c r="AL209"/>
  <c r="AL90"/>
  <c r="AL97" s="1"/>
  <c r="AL99"/>
  <c r="AL160"/>
  <c r="AL164" s="1"/>
  <c r="AL166"/>
  <c r="AL204"/>
  <c r="AL208" s="1"/>
  <c r="AL210"/>
  <c r="AL100"/>
  <c r="AL94"/>
  <c r="AL98" s="1"/>
  <c r="AL187"/>
  <c r="AL178"/>
  <c r="AL185" s="1"/>
  <c r="AL144"/>
  <c r="AL138"/>
  <c r="AL142" s="1"/>
  <c r="AL156"/>
  <c r="AL163" s="1"/>
  <c r="AL165"/>
  <c r="AL122"/>
  <c r="AL116"/>
  <c r="AL120" s="1"/>
  <c r="AL121"/>
  <c r="AL112"/>
  <c r="AL119" s="1"/>
  <c r="AL143"/>
  <c r="AL134"/>
  <c r="AL141" s="1"/>
  <c r="AL182"/>
  <c r="AL186" s="1"/>
  <c r="AL188"/>
  <c r="AL205"/>
  <c r="AL95"/>
  <c r="AL162"/>
  <c r="AL206"/>
  <c r="AL96"/>
  <c r="AL183"/>
  <c r="AL140"/>
  <c r="AL161"/>
  <c r="AL118"/>
  <c r="AL117"/>
  <c r="AL139"/>
  <c r="AL184"/>
  <c r="V205"/>
  <c r="T90"/>
  <c r="T97" s="1"/>
  <c r="T99"/>
  <c r="T121"/>
  <c r="T112"/>
  <c r="T119" s="1"/>
  <c r="T156"/>
  <c r="T163" s="1"/>
  <c r="T165"/>
  <c r="T100"/>
  <c r="T94"/>
  <c r="T98" s="1"/>
  <c r="T188"/>
  <c r="T182"/>
  <c r="T186" s="1"/>
  <c r="T143"/>
  <c r="T134"/>
  <c r="T141" s="1"/>
  <c r="T187"/>
  <c r="T178"/>
  <c r="T185" s="1"/>
  <c r="T122"/>
  <c r="T116"/>
  <c r="T120" s="1"/>
  <c r="T138"/>
  <c r="T142" s="1"/>
  <c r="T144"/>
  <c r="T204"/>
  <c r="T208" s="1"/>
  <c r="T210"/>
  <c r="T209"/>
  <c r="T200"/>
  <c r="T207" s="1"/>
  <c r="T160"/>
  <c r="T164" s="1"/>
  <c r="T166"/>
  <c r="T95"/>
  <c r="T117"/>
  <c r="T161"/>
  <c r="T96"/>
  <c r="T184"/>
  <c r="T139"/>
  <c r="T183"/>
  <c r="T118"/>
  <c r="T140"/>
  <c r="T206"/>
  <c r="T205"/>
  <c r="T162"/>
  <c r="N143"/>
  <c r="N134"/>
  <c r="N141" s="1"/>
  <c r="N99"/>
  <c r="N90"/>
  <c r="N97" s="1"/>
  <c r="N182"/>
  <c r="N186" s="1"/>
  <c r="N188"/>
  <c r="N187"/>
  <c r="N178"/>
  <c r="N185" s="1"/>
  <c r="N144"/>
  <c r="N138"/>
  <c r="N142" s="1"/>
  <c r="N94"/>
  <c r="N98" s="1"/>
  <c r="N100"/>
  <c r="N121"/>
  <c r="N112"/>
  <c r="N119" s="1"/>
  <c r="N209"/>
  <c r="N200"/>
  <c r="N207" s="1"/>
  <c r="N156"/>
  <c r="N163" s="1"/>
  <c r="N165"/>
  <c r="N166"/>
  <c r="N160"/>
  <c r="N164" s="1"/>
  <c r="N204"/>
  <c r="N208" s="1"/>
  <c r="N210"/>
  <c r="N122"/>
  <c r="N116"/>
  <c r="N120" s="1"/>
  <c r="N139"/>
  <c r="N95"/>
  <c r="N184"/>
  <c r="N183"/>
  <c r="N140"/>
  <c r="N96"/>
  <c r="N117"/>
  <c r="N205"/>
  <c r="N161"/>
  <c r="N162"/>
  <c r="N206"/>
  <c r="N118"/>
  <c r="K95"/>
  <c r="AB95"/>
  <c r="Q117"/>
  <c r="W162"/>
  <c r="AK118"/>
  <c r="K118"/>
  <c r="AK140"/>
  <c r="O96"/>
  <c r="X96"/>
  <c r="O118"/>
  <c r="O140"/>
  <c r="AJ139"/>
  <c r="S184"/>
  <c r="AK206"/>
  <c r="AB139"/>
  <c r="AB117"/>
  <c r="AE183"/>
  <c r="AD117"/>
  <c r="S161"/>
  <c r="AB205"/>
  <c r="L161"/>
  <c r="W161"/>
  <c r="AB183"/>
  <c r="AJ161"/>
  <c r="R205"/>
  <c r="AM118"/>
  <c r="AF139"/>
  <c r="AM80"/>
  <c r="AM56" s="1"/>
  <c r="AM205"/>
  <c r="Z96"/>
  <c r="AM74"/>
  <c r="AF74"/>
  <c r="AF161"/>
  <c r="AF80"/>
  <c r="AF56" s="1"/>
  <c r="AF140"/>
  <c r="AN118"/>
  <c r="AM96"/>
  <c r="AM183"/>
  <c r="AN161"/>
  <c r="Z205"/>
  <c r="AF209"/>
  <c r="AF200"/>
  <c r="AF207" s="1"/>
  <c r="AF99"/>
  <c r="AF90"/>
  <c r="AF97" s="1"/>
  <c r="Z144"/>
  <c r="Z138"/>
  <c r="Z142" s="1"/>
  <c r="AM94"/>
  <c r="AM98" s="1"/>
  <c r="AM100"/>
  <c r="AN204"/>
  <c r="AN208" s="1"/>
  <c r="AN210"/>
  <c r="AN116"/>
  <c r="AN120" s="1"/>
  <c r="AN122"/>
  <c r="Z200"/>
  <c r="Z207" s="1"/>
  <c r="Z209"/>
  <c r="AM134"/>
  <c r="AM141" s="1"/>
  <c r="AM143"/>
  <c r="AN165"/>
  <c r="AN156"/>
  <c r="AN163" s="1"/>
  <c r="AM156"/>
  <c r="AM163" s="1"/>
  <c r="AM165"/>
  <c r="AF122"/>
  <c r="AF116"/>
  <c r="AF120" s="1"/>
  <c r="Z122"/>
  <c r="Z116"/>
  <c r="Z120" s="1"/>
  <c r="AM138"/>
  <c r="AM142" s="1"/>
  <c r="AM144"/>
  <c r="AN166"/>
  <c r="AN160"/>
  <c r="AN164" s="1"/>
  <c r="AM122"/>
  <c r="AM116"/>
  <c r="AM120" s="1"/>
  <c r="AF188"/>
  <c r="AF182"/>
  <c r="AF186" s="1"/>
  <c r="AF138"/>
  <c r="AF142" s="1"/>
  <c r="AF144"/>
  <c r="AM200"/>
  <c r="AM207" s="1"/>
  <c r="AM209"/>
  <c r="AN121"/>
  <c r="AN112"/>
  <c r="AN119" s="1"/>
  <c r="AF134"/>
  <c r="AF141" s="1"/>
  <c r="AF143"/>
  <c r="Z187"/>
  <c r="Z178"/>
  <c r="Z185" s="1"/>
  <c r="AM204"/>
  <c r="AM208" s="1"/>
  <c r="AM210"/>
  <c r="AF160"/>
  <c r="AF164" s="1"/>
  <c r="AF166"/>
  <c r="AM99"/>
  <c r="AM90"/>
  <c r="AM97" s="1"/>
  <c r="Z182"/>
  <c r="Z186" s="1"/>
  <c r="Z188"/>
  <c r="AF210"/>
  <c r="AF204"/>
  <c r="AF208" s="1"/>
  <c r="Z94"/>
  <c r="Z98" s="1"/>
  <c r="Z100"/>
  <c r="Z99"/>
  <c r="Z90"/>
  <c r="Z97" s="1"/>
  <c r="AM112"/>
  <c r="AM119" s="1"/>
  <c r="AM121"/>
  <c r="AF121"/>
  <c r="AF112"/>
  <c r="AF119" s="1"/>
  <c r="AM182"/>
  <c r="AM186" s="1"/>
  <c r="AM188"/>
  <c r="AM166"/>
  <c r="AM160"/>
  <c r="AM164" s="1"/>
  <c r="AN94"/>
  <c r="AN98" s="1"/>
  <c r="AN100"/>
  <c r="AF165"/>
  <c r="AF156"/>
  <c r="AF163" s="1"/>
  <c r="Z121"/>
  <c r="Z112"/>
  <c r="Z119" s="1"/>
  <c r="AM178"/>
  <c r="AM185" s="1"/>
  <c r="AM187"/>
  <c r="Z204"/>
  <c r="Z208" s="1"/>
  <c r="Z210"/>
  <c r="Z166"/>
  <c r="Z160"/>
  <c r="Z164" s="1"/>
  <c r="AN144"/>
  <c r="AN138"/>
  <c r="AN142" s="1"/>
  <c r="AN200"/>
  <c r="AN207" s="1"/>
  <c r="AN209"/>
  <c r="AF94"/>
  <c r="AF98" s="1"/>
  <c r="AF100"/>
  <c r="AN187"/>
  <c r="AN178"/>
  <c r="AN185" s="1"/>
  <c r="AN134"/>
  <c r="AN141" s="1"/>
  <c r="AN143"/>
  <c r="AF187"/>
  <c r="AF178"/>
  <c r="AF185" s="1"/>
  <c r="AN90"/>
  <c r="AN97" s="1"/>
  <c r="AN99"/>
  <c r="AN182"/>
  <c r="AN186" s="1"/>
  <c r="AN188"/>
  <c r="Z134"/>
  <c r="Z141" s="1"/>
  <c r="Z143"/>
  <c r="Z165"/>
  <c r="Z156"/>
  <c r="Z163" s="1"/>
  <c r="AM161"/>
  <c r="AF118"/>
  <c r="Z118"/>
  <c r="AM140"/>
  <c r="AN162"/>
  <c r="AN139"/>
  <c r="AN96"/>
  <c r="AN117"/>
  <c r="Z140"/>
  <c r="AF184"/>
  <c r="Z117"/>
  <c r="AF95"/>
  <c r="Z183"/>
  <c r="AM206"/>
  <c r="AF162"/>
  <c r="AM95"/>
  <c r="Z184"/>
  <c r="AF206"/>
  <c r="AF96"/>
  <c r="AN184"/>
  <c r="AF117"/>
  <c r="Z206"/>
  <c r="Z162"/>
  <c r="AN140"/>
  <c r="AN205"/>
  <c r="AN74"/>
  <c r="Z95"/>
  <c r="AM162"/>
  <c r="AN206"/>
  <c r="AF205"/>
  <c r="Z139"/>
  <c r="Z161"/>
  <c r="AN80"/>
  <c r="AN56" s="1"/>
  <c r="AF183"/>
  <c r="Z80"/>
  <c r="Z56" s="1"/>
  <c r="AM184"/>
  <c r="AM117"/>
  <c r="AN183"/>
  <c r="Z74"/>
  <c r="AJ95"/>
  <c r="R183"/>
  <c r="AB118"/>
  <c r="K140"/>
  <c r="AE96"/>
  <c r="L139"/>
  <c r="AJ117"/>
  <c r="AA140"/>
  <c r="S183"/>
  <c r="J205"/>
  <c r="AJ206"/>
  <c r="P183"/>
  <c r="P117"/>
  <c r="AJ205"/>
  <c r="AG80"/>
  <c r="AG56" s="1"/>
  <c r="AI161"/>
  <c r="O117"/>
  <c r="Y117"/>
  <c r="M96"/>
  <c r="AI118"/>
  <c r="Q118"/>
  <c r="P206"/>
  <c r="U96"/>
  <c r="L74"/>
  <c r="R118"/>
  <c r="AA118"/>
  <c r="O183"/>
  <c r="O206"/>
  <c r="AA96"/>
  <c r="P118"/>
  <c r="AD184"/>
  <c r="AE74"/>
  <c r="AI184"/>
  <c r="V95"/>
  <c r="AC80"/>
  <c r="AC56" s="1"/>
  <c r="U74"/>
  <c r="P140"/>
  <c r="W80"/>
  <c r="W56" s="1"/>
  <c r="O162"/>
  <c r="AE118"/>
  <c r="AG96"/>
  <c r="O95"/>
  <c r="AE117"/>
  <c r="AG117"/>
  <c r="S210"/>
  <c r="S204"/>
  <c r="S208" s="1"/>
  <c r="R182"/>
  <c r="R186" s="1"/>
  <c r="R188"/>
  <c r="AC160"/>
  <c r="AC164" s="1"/>
  <c r="AC166"/>
  <c r="V204"/>
  <c r="V208" s="1"/>
  <c r="V210"/>
  <c r="Q160"/>
  <c r="Q164" s="1"/>
  <c r="Q166"/>
  <c r="J166"/>
  <c r="J160"/>
  <c r="J164" s="1"/>
  <c r="AC210"/>
  <c r="AC204"/>
  <c r="AC208" s="1"/>
  <c r="X210"/>
  <c r="X204"/>
  <c r="X208" s="1"/>
  <c r="AH94"/>
  <c r="AH98" s="1"/>
  <c r="AH100"/>
  <c r="AG165"/>
  <c r="AG156"/>
  <c r="AG163" s="1"/>
  <c r="J134"/>
  <c r="J141" s="1"/>
  <c r="J143"/>
  <c r="AH200"/>
  <c r="AH207" s="1"/>
  <c r="AH209"/>
  <c r="AD165"/>
  <c r="AD156"/>
  <c r="AD163" s="1"/>
  <c r="M178"/>
  <c r="M185" s="1"/>
  <c r="M187"/>
  <c r="AH165"/>
  <c r="AH156"/>
  <c r="AH163" s="1"/>
  <c r="AE112"/>
  <c r="AE119" s="1"/>
  <c r="AE121"/>
  <c r="Q138"/>
  <c r="Q142" s="1"/>
  <c r="Q144"/>
  <c r="K160"/>
  <c r="K164" s="1"/>
  <c r="K166"/>
  <c r="AG160"/>
  <c r="AG164" s="1"/>
  <c r="AG166"/>
  <c r="AA166"/>
  <c r="AA160"/>
  <c r="AA164" s="1"/>
  <c r="AJ116"/>
  <c r="AJ120" s="1"/>
  <c r="AJ122"/>
  <c r="AJ94"/>
  <c r="AJ98" s="1"/>
  <c r="AJ100"/>
  <c r="AE200"/>
  <c r="AE207" s="1"/>
  <c r="AE209"/>
  <c r="AA90"/>
  <c r="AA97" s="1"/>
  <c r="AA99"/>
  <c r="AK99"/>
  <c r="AK90"/>
  <c r="AK97" s="1"/>
  <c r="AC187"/>
  <c r="AC178"/>
  <c r="AC185" s="1"/>
  <c r="O99"/>
  <c r="O90"/>
  <c r="O97" s="1"/>
  <c r="W188"/>
  <c r="W182"/>
  <c r="W186" s="1"/>
  <c r="AK138"/>
  <c r="AK142" s="1"/>
  <c r="AK144"/>
  <c r="P166"/>
  <c r="P160"/>
  <c r="P164" s="1"/>
  <c r="AB122"/>
  <c r="AB116"/>
  <c r="AB120" s="1"/>
  <c r="AD204"/>
  <c r="AD208" s="1"/>
  <c r="AD210"/>
  <c r="AB134"/>
  <c r="AB141" s="1"/>
  <c r="AB143"/>
  <c r="AB99"/>
  <c r="AB90"/>
  <c r="AB97" s="1"/>
  <c r="AJ143"/>
  <c r="AJ134"/>
  <c r="AJ141" s="1"/>
  <c r="K99"/>
  <c r="K90"/>
  <c r="K97" s="1"/>
  <c r="K116"/>
  <c r="K120" s="1"/>
  <c r="K122"/>
  <c r="AD138"/>
  <c r="AD142" s="1"/>
  <c r="AD144"/>
  <c r="O94"/>
  <c r="O98" s="1"/>
  <c r="O100"/>
  <c r="AK116"/>
  <c r="AK120" s="1"/>
  <c r="AK122"/>
  <c r="W160"/>
  <c r="W164" s="1"/>
  <c r="W166"/>
  <c r="O122"/>
  <c r="O116"/>
  <c r="O120" s="1"/>
  <c r="X100"/>
  <c r="X94"/>
  <c r="X98" s="1"/>
  <c r="Q121"/>
  <c r="Q112"/>
  <c r="Q119" s="1"/>
  <c r="J165"/>
  <c r="J156"/>
  <c r="J163" s="1"/>
  <c r="AH188"/>
  <c r="AH182"/>
  <c r="AH186" s="1"/>
  <c r="AI160"/>
  <c r="AI164" s="1"/>
  <c r="AI166"/>
  <c r="AG116"/>
  <c r="AG120" s="1"/>
  <c r="AG122"/>
  <c r="AC122"/>
  <c r="AC116"/>
  <c r="AC120" s="1"/>
  <c r="S166"/>
  <c r="S160"/>
  <c r="S164" s="1"/>
  <c r="K100"/>
  <c r="K94"/>
  <c r="K98" s="1"/>
  <c r="AI90"/>
  <c r="AI97" s="1"/>
  <c r="AI99"/>
  <c r="I210"/>
  <c r="I204"/>
  <c r="F203"/>
  <c r="G203"/>
  <c r="AB166"/>
  <c r="AB160"/>
  <c r="AB164" s="1"/>
  <c r="K165"/>
  <c r="K156"/>
  <c r="K163" s="1"/>
  <c r="X200"/>
  <c r="X207" s="1"/>
  <c r="X209"/>
  <c r="AB144"/>
  <c r="AB138"/>
  <c r="AB142" s="1"/>
  <c r="V144"/>
  <c r="V138"/>
  <c r="V142" s="1"/>
  <c r="S100"/>
  <c r="S94"/>
  <c r="S98" s="1"/>
  <c r="AA204"/>
  <c r="AA208" s="1"/>
  <c r="AA210"/>
  <c r="AG182"/>
  <c r="AG186" s="1"/>
  <c r="AG188"/>
  <c r="U166"/>
  <c r="U160"/>
  <c r="U164" s="1"/>
  <c r="AG143"/>
  <c r="AG134"/>
  <c r="AG141" s="1"/>
  <c r="X143"/>
  <c r="X134"/>
  <c r="X141" s="1"/>
  <c r="AA156"/>
  <c r="AA163" s="1"/>
  <c r="AA165"/>
  <c r="K187"/>
  <c r="K178"/>
  <c r="K185" s="1"/>
  <c r="AA188"/>
  <c r="AA182"/>
  <c r="AA186" s="1"/>
  <c r="S144"/>
  <c r="S138"/>
  <c r="S142" s="1"/>
  <c r="L144"/>
  <c r="L138"/>
  <c r="L142" s="1"/>
  <c r="M210"/>
  <c r="M204"/>
  <c r="M208" s="1"/>
  <c r="U182"/>
  <c r="U186" s="1"/>
  <c r="U188"/>
  <c r="Q165"/>
  <c r="Q156"/>
  <c r="Q163" s="1"/>
  <c r="U156"/>
  <c r="U163" s="1"/>
  <c r="U165"/>
  <c r="AH90"/>
  <c r="AH97" s="1"/>
  <c r="AH99"/>
  <c r="AA178"/>
  <c r="AA185" s="1"/>
  <c r="AA187"/>
  <c r="M188"/>
  <c r="M182"/>
  <c r="M186" s="1"/>
  <c r="AH144"/>
  <c r="AH138"/>
  <c r="AH142" s="1"/>
  <c r="AG94"/>
  <c r="AG98" s="1"/>
  <c r="AG100"/>
  <c r="AG200"/>
  <c r="AG207" s="1"/>
  <c r="AG209"/>
  <c r="K143"/>
  <c r="K134"/>
  <c r="K141" s="1"/>
  <c r="AK209"/>
  <c r="AK200"/>
  <c r="AK207" s="1"/>
  <c r="V165"/>
  <c r="V156"/>
  <c r="V163" s="1"/>
  <c r="R112"/>
  <c r="R119" s="1"/>
  <c r="R121"/>
  <c r="AK121"/>
  <c r="AK112"/>
  <c r="AK119" s="1"/>
  <c r="AA200"/>
  <c r="AA207" s="1"/>
  <c r="AA209"/>
  <c r="L200"/>
  <c r="L207" s="1"/>
  <c r="L209"/>
  <c r="W90"/>
  <c r="W97" s="1"/>
  <c r="W99"/>
  <c r="J122"/>
  <c r="J116"/>
  <c r="J120" s="1"/>
  <c r="L204"/>
  <c r="L208" s="1"/>
  <c r="L210"/>
  <c r="AK94"/>
  <c r="AK98" s="1"/>
  <c r="AK100"/>
  <c r="AE94"/>
  <c r="AE98" s="1"/>
  <c r="AE100"/>
  <c r="Q188"/>
  <c r="Q182"/>
  <c r="Q186" s="1"/>
  <c r="X144"/>
  <c r="X138"/>
  <c r="X142" s="1"/>
  <c r="K138"/>
  <c r="K142" s="1"/>
  <c r="K144"/>
  <c r="Q187"/>
  <c r="Q178"/>
  <c r="Q185" s="1"/>
  <c r="U187"/>
  <c r="U178"/>
  <c r="U185" s="1"/>
  <c r="P187"/>
  <c r="P178"/>
  <c r="P185" s="1"/>
  <c r="AG121"/>
  <c r="AG112"/>
  <c r="AG119" s="1"/>
  <c r="Y143"/>
  <c r="Y134"/>
  <c r="Y141" s="1"/>
  <c r="AI134"/>
  <c r="AI141" s="1"/>
  <c r="AI143"/>
  <c r="L143"/>
  <c r="L134"/>
  <c r="L141" s="1"/>
  <c r="U90"/>
  <c r="U97" s="1"/>
  <c r="U99"/>
  <c r="AJ200"/>
  <c r="AJ207" s="1"/>
  <c r="AJ209"/>
  <c r="X156"/>
  <c r="X163" s="1"/>
  <c r="X165"/>
  <c r="AA112"/>
  <c r="AA119" s="1"/>
  <c r="AA121"/>
  <c r="AJ210"/>
  <c r="AJ204"/>
  <c r="AJ208" s="1"/>
  <c r="AD94"/>
  <c r="AD98" s="1"/>
  <c r="AD100"/>
  <c r="AA144"/>
  <c r="AA138"/>
  <c r="AA142" s="1"/>
  <c r="U116"/>
  <c r="U120" s="1"/>
  <c r="U122"/>
  <c r="L94"/>
  <c r="L98" s="1"/>
  <c r="L100"/>
  <c r="M100"/>
  <c r="M94"/>
  <c r="M98" s="1"/>
  <c r="O121"/>
  <c r="O112"/>
  <c r="O119" s="1"/>
  <c r="J121"/>
  <c r="J112"/>
  <c r="J119" s="1"/>
  <c r="W121"/>
  <c r="W112"/>
  <c r="W119" s="1"/>
  <c r="AI165"/>
  <c r="AI156"/>
  <c r="AI163" s="1"/>
  <c r="X166"/>
  <c r="X160"/>
  <c r="X164" s="1"/>
  <c r="S187"/>
  <c r="S178"/>
  <c r="S185" s="1"/>
  <c r="J200"/>
  <c r="J207" s="1"/>
  <c r="J209"/>
  <c r="Y112"/>
  <c r="Y119" s="1"/>
  <c r="Y121"/>
  <c r="J178"/>
  <c r="J185" s="1"/>
  <c r="J187"/>
  <c r="P121"/>
  <c r="P112"/>
  <c r="P119" s="1"/>
  <c r="K200"/>
  <c r="K207" s="1"/>
  <c r="K209"/>
  <c r="AJ121"/>
  <c r="AJ112"/>
  <c r="AJ119" s="1"/>
  <c r="AI138"/>
  <c r="AI142" s="1"/>
  <c r="AI144"/>
  <c r="AD200"/>
  <c r="AD207" s="1"/>
  <c r="AD209"/>
  <c r="L121"/>
  <c r="L112"/>
  <c r="L119" s="1"/>
  <c r="S209"/>
  <c r="S200"/>
  <c r="S207" s="1"/>
  <c r="W200"/>
  <c r="W207" s="1"/>
  <c r="W209"/>
  <c r="AI94"/>
  <c r="AI98" s="1"/>
  <c r="AI100"/>
  <c r="W204"/>
  <c r="W208" s="1"/>
  <c r="W210"/>
  <c r="M122"/>
  <c r="M116"/>
  <c r="M120" s="1"/>
  <c r="K204"/>
  <c r="K208" s="1"/>
  <c r="K210"/>
  <c r="AH143"/>
  <c r="AH134"/>
  <c r="AH141" s="1"/>
  <c r="AA134"/>
  <c r="AA141" s="1"/>
  <c r="AA143"/>
  <c r="L187"/>
  <c r="L178"/>
  <c r="L185" s="1"/>
  <c r="AI200"/>
  <c r="AI207" s="1"/>
  <c r="AI209"/>
  <c r="AE143"/>
  <c r="AE134"/>
  <c r="AE141" s="1"/>
  <c r="K182"/>
  <c r="K186" s="1"/>
  <c r="K188"/>
  <c r="AJ187"/>
  <c r="AJ178"/>
  <c r="AJ185" s="1"/>
  <c r="AK178"/>
  <c r="AK185" s="1"/>
  <c r="AK187"/>
  <c r="I200"/>
  <c r="I209"/>
  <c r="G199"/>
  <c r="F199"/>
  <c r="X99"/>
  <c r="X90"/>
  <c r="X97" s="1"/>
  <c r="M156"/>
  <c r="M163" s="1"/>
  <c r="M165"/>
  <c r="J182"/>
  <c r="J186" s="1"/>
  <c r="J188"/>
  <c r="M166"/>
  <c r="M160"/>
  <c r="M164" s="1"/>
  <c r="Q200"/>
  <c r="Q207" s="1"/>
  <c r="Q209"/>
  <c r="U200"/>
  <c r="U207" s="1"/>
  <c r="U209"/>
  <c r="AC90"/>
  <c r="AC97" s="1"/>
  <c r="AC99"/>
  <c r="Y156"/>
  <c r="Y163" s="1"/>
  <c r="Y165"/>
  <c r="AC165"/>
  <c r="AC156"/>
  <c r="AC163" s="1"/>
  <c r="Q204"/>
  <c r="Q208" s="1"/>
  <c r="Q210"/>
  <c r="Y182"/>
  <c r="Y186" s="1"/>
  <c r="Y188"/>
  <c r="L188"/>
  <c r="L182"/>
  <c r="L186" s="1"/>
  <c r="AI116"/>
  <c r="AI120" s="1"/>
  <c r="AI122"/>
  <c r="Q100"/>
  <c r="Q94"/>
  <c r="Q98" s="1"/>
  <c r="W100"/>
  <c r="W94"/>
  <c r="W98" s="1"/>
  <c r="AE210"/>
  <c r="AE204"/>
  <c r="AE208" s="1"/>
  <c r="AK182"/>
  <c r="AK186" s="1"/>
  <c r="AK188"/>
  <c r="O209"/>
  <c r="O200"/>
  <c r="O207" s="1"/>
  <c r="AD178"/>
  <c r="AD185" s="1"/>
  <c r="AD187"/>
  <c r="AH178"/>
  <c r="AH185" s="1"/>
  <c r="AH187"/>
  <c r="V134"/>
  <c r="V141" s="1"/>
  <c r="V143"/>
  <c r="M134"/>
  <c r="M141" s="1"/>
  <c r="M143"/>
  <c r="AD134"/>
  <c r="AD141" s="1"/>
  <c r="AD143"/>
  <c r="W134"/>
  <c r="W141" s="1"/>
  <c r="W143"/>
  <c r="U121"/>
  <c r="U112"/>
  <c r="U119" s="1"/>
  <c r="S99"/>
  <c r="S90"/>
  <c r="S97" s="1"/>
  <c r="AD90"/>
  <c r="AD97" s="1"/>
  <c r="AD99"/>
  <c r="AG204"/>
  <c r="AG208" s="1"/>
  <c r="AG210"/>
  <c r="M144"/>
  <c r="M138"/>
  <c r="M142" s="1"/>
  <c r="AJ188"/>
  <c r="AJ182"/>
  <c r="AJ186" s="1"/>
  <c r="U100"/>
  <c r="U94"/>
  <c r="U98" s="1"/>
  <c r="V188"/>
  <c r="V182"/>
  <c r="V186" s="1"/>
  <c r="U144"/>
  <c r="U138"/>
  <c r="U142" s="1"/>
  <c r="R138"/>
  <c r="R142" s="1"/>
  <c r="R144"/>
  <c r="Y122"/>
  <c r="Y116"/>
  <c r="Y120" s="1"/>
  <c r="J94"/>
  <c r="J98" s="1"/>
  <c r="J100"/>
  <c r="AC143"/>
  <c r="AC134"/>
  <c r="AC141" s="1"/>
  <c r="AE99"/>
  <c r="AE90"/>
  <c r="AE97" s="1"/>
  <c r="P144"/>
  <c r="P138"/>
  <c r="P142" s="1"/>
  <c r="L122"/>
  <c r="L116"/>
  <c r="L120" s="1"/>
  <c r="AK204"/>
  <c r="AK208" s="1"/>
  <c r="AK210"/>
  <c r="P204"/>
  <c r="P208" s="1"/>
  <c r="P210"/>
  <c r="Q116"/>
  <c r="Q120" s="1"/>
  <c r="Q122"/>
  <c r="P116"/>
  <c r="P120" s="1"/>
  <c r="P122"/>
  <c r="AI182"/>
  <c r="AI186" s="1"/>
  <c r="AI188"/>
  <c r="R160"/>
  <c r="R164" s="1"/>
  <c r="R166"/>
  <c r="R116"/>
  <c r="R120" s="1"/>
  <c r="R122"/>
  <c r="M121"/>
  <c r="M112"/>
  <c r="M119" s="1"/>
  <c r="V121"/>
  <c r="V112"/>
  <c r="V119" s="1"/>
  <c r="O187"/>
  <c r="O178"/>
  <c r="O185" s="1"/>
  <c r="AG90"/>
  <c r="AG97" s="1"/>
  <c r="AG99"/>
  <c r="V90"/>
  <c r="V97" s="1"/>
  <c r="V99"/>
  <c r="AE144"/>
  <c r="AE138"/>
  <c r="AE142" s="1"/>
  <c r="R204"/>
  <c r="R208" s="1"/>
  <c r="R210"/>
  <c r="AA100"/>
  <c r="AA94"/>
  <c r="AA98" s="1"/>
  <c r="J144"/>
  <c r="J138"/>
  <c r="J142" s="1"/>
  <c r="AE116"/>
  <c r="AE120" s="1"/>
  <c r="AE122"/>
  <c r="AD188"/>
  <c r="AD182"/>
  <c r="AD186" s="1"/>
  <c r="O204"/>
  <c r="O208" s="1"/>
  <c r="O210"/>
  <c r="AA122"/>
  <c r="AA116"/>
  <c r="AA120" s="1"/>
  <c r="AD116"/>
  <c r="AD120" s="1"/>
  <c r="AD122"/>
  <c r="R187"/>
  <c r="R178"/>
  <c r="R185" s="1"/>
  <c r="AB188"/>
  <c r="AB182"/>
  <c r="AB186" s="1"/>
  <c r="AB100"/>
  <c r="AB94"/>
  <c r="AB98" s="1"/>
  <c r="G137"/>
  <c r="F137"/>
  <c r="I144"/>
  <c r="I138"/>
  <c r="AE188"/>
  <c r="AE182"/>
  <c r="AE186" s="1"/>
  <c r="W144"/>
  <c r="W138"/>
  <c r="W142" s="1"/>
  <c r="R165"/>
  <c r="R156"/>
  <c r="R163" s="1"/>
  <c r="O134"/>
  <c r="O141" s="1"/>
  <c r="O143"/>
  <c r="F177"/>
  <c r="G177"/>
  <c r="I187"/>
  <c r="I178"/>
  <c r="L166"/>
  <c r="L160"/>
  <c r="L164" s="1"/>
  <c r="AB204"/>
  <c r="AB208" s="1"/>
  <c r="AB210"/>
  <c r="J90"/>
  <c r="J97" s="1"/>
  <c r="J99"/>
  <c r="Y90"/>
  <c r="Y97" s="1"/>
  <c r="Y99"/>
  <c r="X187"/>
  <c r="X178"/>
  <c r="X185" s="1"/>
  <c r="K121"/>
  <c r="K112"/>
  <c r="K119" s="1"/>
  <c r="J204"/>
  <c r="J208" s="1"/>
  <c r="J210"/>
  <c r="AJ166"/>
  <c r="AJ160"/>
  <c r="AJ164" s="1"/>
  <c r="S122"/>
  <c r="S116"/>
  <c r="S120" s="1"/>
  <c r="Y210"/>
  <c r="Y204"/>
  <c r="Y208" s="1"/>
  <c r="AG178"/>
  <c r="AG185" s="1"/>
  <c r="AG187"/>
  <c r="AB165"/>
  <c r="AB156"/>
  <c r="AB163" s="1"/>
  <c r="L90"/>
  <c r="L97" s="1"/>
  <c r="L99"/>
  <c r="AK134"/>
  <c r="AK141" s="1"/>
  <c r="AK143"/>
  <c r="AC121"/>
  <c r="AC112"/>
  <c r="AC119" s="1"/>
  <c r="I156"/>
  <c r="I165"/>
  <c r="F155"/>
  <c r="G155"/>
  <c r="AE156"/>
  <c r="AE163" s="1"/>
  <c r="AE165"/>
  <c r="Y166"/>
  <c r="Y160"/>
  <c r="Y164" s="1"/>
  <c r="AJ144"/>
  <c r="AJ138"/>
  <c r="AJ142" s="1"/>
  <c r="AK160"/>
  <c r="AK164" s="1"/>
  <c r="AK166"/>
  <c r="AG138"/>
  <c r="AG142" s="1"/>
  <c r="AG144"/>
  <c r="AI121"/>
  <c r="AI112"/>
  <c r="AI119" s="1"/>
  <c r="AD160"/>
  <c r="AD164" s="1"/>
  <c r="AD166"/>
  <c r="X116"/>
  <c r="X120" s="1"/>
  <c r="X122"/>
  <c r="W122"/>
  <c r="W116"/>
  <c r="W120" s="1"/>
  <c r="AI178"/>
  <c r="AI185" s="1"/>
  <c r="AI187"/>
  <c r="R99"/>
  <c r="R90"/>
  <c r="R97" s="1"/>
  <c r="AK156"/>
  <c r="AK163" s="1"/>
  <c r="AK165"/>
  <c r="R134"/>
  <c r="R141" s="1"/>
  <c r="R143"/>
  <c r="Q99"/>
  <c r="Q90"/>
  <c r="Q97" s="1"/>
  <c r="AI204"/>
  <c r="AI208" s="1"/>
  <c r="AI210"/>
  <c r="U210"/>
  <c r="U204"/>
  <c r="U208" s="1"/>
  <c r="AC182"/>
  <c r="AC186" s="1"/>
  <c r="AC188"/>
  <c r="V122"/>
  <c r="V116"/>
  <c r="V120" s="1"/>
  <c r="Y144"/>
  <c r="Y138"/>
  <c r="Y142" s="1"/>
  <c r="P182"/>
  <c r="P186" s="1"/>
  <c r="P188"/>
  <c r="AH166"/>
  <c r="AH160"/>
  <c r="AH164" s="1"/>
  <c r="S182"/>
  <c r="S186" s="1"/>
  <c r="S188"/>
  <c r="AC94"/>
  <c r="AC98" s="1"/>
  <c r="AC100"/>
  <c r="Q134"/>
  <c r="Q141" s="1"/>
  <c r="Q143"/>
  <c r="U143"/>
  <c r="U134"/>
  <c r="U141" s="1"/>
  <c r="L165"/>
  <c r="L156"/>
  <c r="L163" s="1"/>
  <c r="AB209"/>
  <c r="AB200"/>
  <c r="AB207" s="1"/>
  <c r="P156"/>
  <c r="P163" s="1"/>
  <c r="P165"/>
  <c r="AH121"/>
  <c r="AH112"/>
  <c r="AH119" s="1"/>
  <c r="S165"/>
  <c r="S156"/>
  <c r="S163" s="1"/>
  <c r="AB178"/>
  <c r="AB185" s="1"/>
  <c r="AB187"/>
  <c r="P143"/>
  <c r="P134"/>
  <c r="P141" s="1"/>
  <c r="O144"/>
  <c r="O138"/>
  <c r="O142" s="1"/>
  <c r="P100"/>
  <c r="P94"/>
  <c r="P98" s="1"/>
  <c r="W156"/>
  <c r="W163" s="1"/>
  <c r="W165"/>
  <c r="AJ165"/>
  <c r="AJ156"/>
  <c r="AJ163" s="1"/>
  <c r="AJ90"/>
  <c r="AJ97" s="1"/>
  <c r="AJ99"/>
  <c r="X182"/>
  <c r="X186" s="1"/>
  <c r="X188"/>
  <c r="O160"/>
  <c r="O164" s="1"/>
  <c r="O166"/>
  <c r="R209"/>
  <c r="R200"/>
  <c r="R207" s="1"/>
  <c r="AB121"/>
  <c r="AB112"/>
  <c r="AB119" s="1"/>
  <c r="V200"/>
  <c r="V207" s="1"/>
  <c r="V209"/>
  <c r="AE178"/>
  <c r="AE185" s="1"/>
  <c r="AE187"/>
  <c r="AD121"/>
  <c r="AD112"/>
  <c r="AD119" s="1"/>
  <c r="M90"/>
  <c r="M97" s="1"/>
  <c r="M99"/>
  <c r="AE160"/>
  <c r="AE164" s="1"/>
  <c r="AE166"/>
  <c r="V187"/>
  <c r="V178"/>
  <c r="V185" s="1"/>
  <c r="I99"/>
  <c r="I90"/>
  <c r="F89"/>
  <c r="G89"/>
  <c r="P90"/>
  <c r="P97" s="1"/>
  <c r="P99"/>
  <c r="I134"/>
  <c r="I143"/>
  <c r="G133"/>
  <c r="F133"/>
  <c r="S143"/>
  <c r="S134"/>
  <c r="S141" s="1"/>
  <c r="AH122"/>
  <c r="AH116"/>
  <c r="AH120" s="1"/>
  <c r="P209"/>
  <c r="P200"/>
  <c r="P207" s="1"/>
  <c r="S121"/>
  <c r="S112"/>
  <c r="S119" s="1"/>
  <c r="Y178"/>
  <c r="Y185" s="1"/>
  <c r="Y187"/>
  <c r="O156"/>
  <c r="O163" s="1"/>
  <c r="O165"/>
  <c r="X121"/>
  <c r="X112"/>
  <c r="X119" s="1"/>
  <c r="F159"/>
  <c r="G159"/>
  <c r="I166"/>
  <c r="I160"/>
  <c r="AC144"/>
  <c r="AC138"/>
  <c r="AC142" s="1"/>
  <c r="F115"/>
  <c r="G115"/>
  <c r="I122"/>
  <c r="I116"/>
  <c r="V94"/>
  <c r="V98" s="1"/>
  <c r="V100"/>
  <c r="Y94"/>
  <c r="Y98" s="1"/>
  <c r="Y100"/>
  <c r="I94"/>
  <c r="I100"/>
  <c r="F93"/>
  <c r="G93"/>
  <c r="R94"/>
  <c r="R98" s="1"/>
  <c r="R100"/>
  <c r="I121"/>
  <c r="I112"/>
  <c r="F111"/>
  <c r="G111"/>
  <c r="M200"/>
  <c r="M207" s="1"/>
  <c r="M209"/>
  <c r="AH210"/>
  <c r="AH204"/>
  <c r="AH208" s="1"/>
  <c r="I188"/>
  <c r="I182"/>
  <c r="F181"/>
  <c r="G181"/>
  <c r="V160"/>
  <c r="V164" s="1"/>
  <c r="V166"/>
  <c r="O182"/>
  <c r="O186" s="1"/>
  <c r="O188"/>
  <c r="W187"/>
  <c r="W178"/>
  <c r="W185" s="1"/>
  <c r="Y200"/>
  <c r="Y207" s="1"/>
  <c r="Y209"/>
  <c r="AC209"/>
  <c r="AC200"/>
  <c r="AC207" s="1"/>
  <c r="AH184"/>
  <c r="AI162"/>
  <c r="AG118"/>
  <c r="AC118"/>
  <c r="S162"/>
  <c r="K96"/>
  <c r="AI95"/>
  <c r="I161"/>
  <c r="D100" i="10" a="1"/>
  <c r="G153" i="6"/>
  <c r="F153"/>
  <c r="F202"/>
  <c r="O16" i="10" s="1"/>
  <c r="G202" i="6"/>
  <c r="AB162"/>
  <c r="K161"/>
  <c r="X205"/>
  <c r="AB140"/>
  <c r="V140"/>
  <c r="S96"/>
  <c r="AA206"/>
  <c r="AG184"/>
  <c r="U162"/>
  <c r="I140"/>
  <c r="F135"/>
  <c r="N13" i="10" s="1"/>
  <c r="G135" i="6"/>
  <c r="AG139"/>
  <c r="X139"/>
  <c r="AA161"/>
  <c r="I183"/>
  <c r="F175"/>
  <c r="N15" i="10" s="1"/>
  <c r="G175" i="6"/>
  <c r="I71"/>
  <c r="F167"/>
  <c r="G167"/>
  <c r="K183"/>
  <c r="F123"/>
  <c r="I69"/>
  <c r="G123"/>
  <c r="AA184"/>
  <c r="S140"/>
  <c r="L140"/>
  <c r="M206"/>
  <c r="U184"/>
  <c r="Q161"/>
  <c r="U161"/>
  <c r="AH95"/>
  <c r="AA183"/>
  <c r="X80"/>
  <c r="X56" s="1"/>
  <c r="R74"/>
  <c r="AK74"/>
  <c r="U117"/>
  <c r="AK117"/>
  <c r="J80"/>
  <c r="J56" s="1"/>
  <c r="M80"/>
  <c r="M56" s="1"/>
  <c r="S74"/>
  <c r="AH74"/>
  <c r="X74"/>
  <c r="J118"/>
  <c r="V206"/>
  <c r="M184"/>
  <c r="Q162"/>
  <c r="AC206"/>
  <c r="AG161"/>
  <c r="AK161"/>
  <c r="O205"/>
  <c r="U80"/>
  <c r="U56" s="1"/>
  <c r="O74"/>
  <c r="J74"/>
  <c r="W74"/>
  <c r="AA162"/>
  <c r="AK96"/>
  <c r="P184"/>
  <c r="V118"/>
  <c r="L96"/>
  <c r="R162"/>
  <c r="AC96"/>
  <c r="AH205"/>
  <c r="AH117"/>
  <c r="U95"/>
  <c r="AD161"/>
  <c r="AA117"/>
  <c r="W139"/>
  <c r="AC139"/>
  <c r="AB74"/>
  <c r="AD74"/>
  <c r="G157"/>
  <c r="I162"/>
  <c r="F157"/>
  <c r="N14" i="10" s="1"/>
  <c r="G146" i="6"/>
  <c r="F146"/>
  <c r="I76"/>
  <c r="AI140"/>
  <c r="AD205"/>
  <c r="L117"/>
  <c r="S205"/>
  <c r="F145"/>
  <c r="G145"/>
  <c r="I70"/>
  <c r="W205"/>
  <c r="D132" i="10" a="1"/>
  <c r="G179" i="6"/>
  <c r="I184"/>
  <c r="F179"/>
  <c r="AI96"/>
  <c r="W206"/>
  <c r="M118"/>
  <c r="K206"/>
  <c r="I96"/>
  <c r="G91"/>
  <c r="F91"/>
  <c r="AH139"/>
  <c r="AA139"/>
  <c r="L183"/>
  <c r="AI205"/>
  <c r="AE139"/>
  <c r="K184"/>
  <c r="G102"/>
  <c r="F102"/>
  <c r="AJ183"/>
  <c r="AK183"/>
  <c r="G198"/>
  <c r="F198"/>
  <c r="X95"/>
  <c r="M161"/>
  <c r="J184"/>
  <c r="M162"/>
  <c r="Q205"/>
  <c r="U205"/>
  <c r="AC95"/>
  <c r="Y161"/>
  <c r="AC161"/>
  <c r="AI80"/>
  <c r="AI56" s="1"/>
  <c r="X206"/>
  <c r="AJ80"/>
  <c r="AJ56" s="1"/>
  <c r="K74"/>
  <c r="R184"/>
  <c r="AD162"/>
  <c r="X140"/>
  <c r="W118"/>
  <c r="AJ96"/>
  <c r="AG205"/>
  <c r="AK205"/>
  <c r="AE95"/>
  <c r="R117"/>
  <c r="M139"/>
  <c r="L80"/>
  <c r="L56" s="1"/>
  <c r="S80"/>
  <c r="S56" s="1"/>
  <c r="Q80"/>
  <c r="Q56" s="1"/>
  <c r="P80"/>
  <c r="P56" s="1"/>
  <c r="AG206"/>
  <c r="AJ184"/>
  <c r="S206"/>
  <c r="L118"/>
  <c r="Q96"/>
  <c r="Q184"/>
  <c r="J96"/>
  <c r="Q139"/>
  <c r="AA205"/>
  <c r="S95"/>
  <c r="AH183"/>
  <c r="K139"/>
  <c r="W95"/>
  <c r="AD139"/>
  <c r="AC183"/>
  <c r="AE80"/>
  <c r="AE56" s="1"/>
  <c r="AA80"/>
  <c r="AA56" s="1"/>
  <c r="AD80"/>
  <c r="AD56" s="1"/>
  <c r="AI74"/>
  <c r="AB184"/>
  <c r="AB96"/>
  <c r="G136"/>
  <c r="F136"/>
  <c r="O13" i="10" s="1"/>
  <c r="AE184" i="6"/>
  <c r="W140"/>
  <c r="R161"/>
  <c r="O139"/>
  <c r="F101"/>
  <c r="G101"/>
  <c r="I205"/>
  <c r="F197"/>
  <c r="G197"/>
  <c r="F176"/>
  <c r="O15" i="10" s="1"/>
  <c r="G176" i="6"/>
  <c r="L162"/>
  <c r="AB206"/>
  <c r="J95"/>
  <c r="Y95"/>
  <c r="X183"/>
  <c r="K117"/>
  <c r="J206"/>
  <c r="AJ162"/>
  <c r="G168"/>
  <c r="I77"/>
  <c r="F168"/>
  <c r="I75"/>
  <c r="G124"/>
  <c r="F124"/>
  <c r="S118"/>
  <c r="Y206"/>
  <c r="AG183"/>
  <c r="AB161"/>
  <c r="L95"/>
  <c r="AK139"/>
  <c r="AC117"/>
  <c r="G211"/>
  <c r="I73"/>
  <c r="F211"/>
  <c r="F154"/>
  <c r="G154"/>
  <c r="D68" i="10" a="1"/>
  <c r="G131" i="6"/>
  <c r="I139"/>
  <c r="F131"/>
  <c r="AE161"/>
  <c r="Y162"/>
  <c r="I78"/>
  <c r="G190"/>
  <c r="F190"/>
  <c r="AJ140"/>
  <c r="AK162"/>
  <c r="AG140"/>
  <c r="AI117"/>
  <c r="F87"/>
  <c r="N11" i="10" s="1"/>
  <c r="D4" a="1"/>
  <c r="I95" i="6"/>
  <c r="G87"/>
  <c r="V80"/>
  <c r="V56" s="1"/>
  <c r="AH80"/>
  <c r="AH56" s="1"/>
  <c r="AG74"/>
  <c r="AA74"/>
  <c r="Q206"/>
  <c r="Y184"/>
  <c r="X118"/>
  <c r="AH140"/>
  <c r="U140"/>
  <c r="M140"/>
  <c r="Y35"/>
  <c r="M183"/>
  <c r="AE206"/>
  <c r="L206"/>
  <c r="V184"/>
  <c r="AH162"/>
  <c r="W96"/>
  <c r="AG162"/>
  <c r="Y118"/>
  <c r="Q183"/>
  <c r="V161"/>
  <c r="Q95"/>
  <c r="U139"/>
  <c r="AE205"/>
  <c r="AG95"/>
  <c r="AH161"/>
  <c r="J117"/>
  <c r="Y74"/>
  <c r="P74"/>
  <c r="AJ74"/>
  <c r="AA35"/>
  <c r="AE162"/>
  <c r="V183"/>
  <c r="D36" i="10" a="1"/>
  <c r="F109" i="6"/>
  <c r="N12" i="10" s="1"/>
  <c r="I117" i="6"/>
  <c r="G109"/>
  <c r="G88"/>
  <c r="F88"/>
  <c r="O11" i="10" s="1"/>
  <c r="P95" i="6"/>
  <c r="F189"/>
  <c r="G189"/>
  <c r="I72"/>
  <c r="F132"/>
  <c r="G132"/>
  <c r="S139"/>
  <c r="F212"/>
  <c r="I79"/>
  <c r="G212"/>
  <c r="AH118"/>
  <c r="P205"/>
  <c r="S117"/>
  <c r="Y183"/>
  <c r="O161"/>
  <c r="X117"/>
  <c r="F158"/>
  <c r="O14" i="10" s="1"/>
  <c r="G158" i="6"/>
  <c r="AC140"/>
  <c r="F114"/>
  <c r="G114"/>
  <c r="V96"/>
  <c r="Y96"/>
  <c r="G92"/>
  <c r="F92"/>
  <c r="R96"/>
  <c r="G110"/>
  <c r="F110"/>
  <c r="O12" i="10" s="1"/>
  <c r="M205" i="6"/>
  <c r="AH206"/>
  <c r="G180"/>
  <c r="F180"/>
  <c r="V162"/>
  <c r="D164" i="10" a="1"/>
  <c r="I206" i="6"/>
  <c r="G201"/>
  <c r="F201"/>
  <c r="N16" i="10" s="1"/>
  <c r="O184" i="6"/>
  <c r="G113"/>
  <c r="I118"/>
  <c r="F113"/>
  <c r="W183"/>
  <c r="Y205"/>
  <c r="AC205"/>
  <c r="R95"/>
  <c r="Y80"/>
  <c r="Y56" s="1"/>
  <c r="L184"/>
  <c r="AC162"/>
  <c r="J162"/>
  <c r="R140"/>
  <c r="AK184"/>
  <c r="J139"/>
  <c r="R139"/>
  <c r="AI183"/>
  <c r="AA95"/>
  <c r="AB80"/>
  <c r="AB56" s="1"/>
  <c r="R80"/>
  <c r="R56" s="1"/>
  <c r="M74"/>
  <c r="AC74"/>
  <c r="V74"/>
  <c r="Q140"/>
  <c r="Y140"/>
  <c r="U206"/>
  <c r="AC184"/>
  <c r="AH96"/>
  <c r="AD206"/>
  <c r="AJ118"/>
  <c r="AD183"/>
  <c r="W117"/>
  <c r="U183"/>
  <c r="V139"/>
  <c r="V117"/>
  <c r="Y139"/>
  <c r="L205"/>
  <c r="AD95"/>
  <c r="K80"/>
  <c r="K56" s="1"/>
  <c r="AK80"/>
  <c r="AK56" s="1"/>
  <c r="O80"/>
  <c r="O56" s="1"/>
  <c r="Q74"/>
  <c r="Z35"/>
  <c r="Q15" i="10"/>
  <c r="P14"/>
  <c r="Q16"/>
  <c r="Q11"/>
  <c r="P13"/>
  <c r="Q12"/>
  <c r="AO72" i="6" l="1"/>
  <c r="AP72"/>
  <c r="AO79"/>
  <c r="AP79"/>
  <c r="AO73"/>
  <c r="AP73"/>
  <c r="AO70"/>
  <c r="AP70"/>
  <c r="AO75"/>
  <c r="AP75"/>
  <c r="AO76"/>
  <c r="AP76"/>
  <c r="AO78"/>
  <c r="AP78"/>
  <c r="AO71"/>
  <c r="AP71"/>
  <c r="AO77"/>
  <c r="AP77"/>
  <c r="AO69"/>
  <c r="AP69"/>
  <c r="AL55"/>
  <c r="T55"/>
  <c r="N55"/>
  <c r="AM55"/>
  <c r="AF55"/>
  <c r="Z55"/>
  <c r="AN55"/>
  <c r="AJ55"/>
  <c r="X55"/>
  <c r="G118"/>
  <c r="F43" s="1"/>
  <c r="F118"/>
  <c r="E43" s="1"/>
  <c r="G95"/>
  <c r="F40" s="1"/>
  <c r="F95"/>
  <c r="E40" s="1"/>
  <c r="I74"/>
  <c r="AP40" s="1"/>
  <c r="A69"/>
  <c r="G183"/>
  <c r="F48" s="1"/>
  <c r="F183"/>
  <c r="E48" s="1"/>
  <c r="D120" i="10"/>
  <c r="D115"/>
  <c r="E107"/>
  <c r="D102"/>
  <c r="E112"/>
  <c r="D125"/>
  <c r="D128"/>
  <c r="E123"/>
  <c r="E106"/>
  <c r="D119"/>
  <c r="D130"/>
  <c r="E127"/>
  <c r="E108"/>
  <c r="D121"/>
  <c r="E101"/>
  <c r="D100"/>
  <c r="H100" s="1"/>
  <c r="E110"/>
  <c r="D123"/>
  <c r="D101"/>
  <c r="H101" s="1"/>
  <c r="D110"/>
  <c r="E120"/>
  <c r="E105"/>
  <c r="E115"/>
  <c r="D104"/>
  <c r="I104" s="1"/>
  <c r="E114"/>
  <c r="D127"/>
  <c r="E121"/>
  <c r="D106"/>
  <c r="E116"/>
  <c r="D129"/>
  <c r="E129"/>
  <c r="D108"/>
  <c r="E118"/>
  <c r="D131"/>
  <c r="D126"/>
  <c r="F126" s="1"/>
  <c r="E104"/>
  <c r="E130"/>
  <c r="D111"/>
  <c r="E103"/>
  <c r="D113"/>
  <c r="E111"/>
  <c r="D118"/>
  <c r="E128"/>
  <c r="E125"/>
  <c r="D109"/>
  <c r="D112"/>
  <c r="E122"/>
  <c r="E109"/>
  <c r="D103"/>
  <c r="D114"/>
  <c r="E124"/>
  <c r="E113"/>
  <c r="D105"/>
  <c r="D116"/>
  <c r="E126"/>
  <c r="E119"/>
  <c r="D107"/>
  <c r="H107" s="1"/>
  <c r="E117"/>
  <c r="D117"/>
  <c r="E131"/>
  <c r="D122"/>
  <c r="E100"/>
  <c r="D124"/>
  <c r="E102"/>
  <c r="I98" i="6"/>
  <c r="G94"/>
  <c r="F94"/>
  <c r="F166"/>
  <c r="W47" s="1"/>
  <c r="G166"/>
  <c r="X47" s="1"/>
  <c r="F134"/>
  <c r="G134"/>
  <c r="I141"/>
  <c r="G156"/>
  <c r="F156"/>
  <c r="I163"/>
  <c r="G187"/>
  <c r="X48" s="1"/>
  <c r="F187"/>
  <c r="W48" s="1"/>
  <c r="F144"/>
  <c r="W45" s="1"/>
  <c r="G144"/>
  <c r="X45" s="1"/>
  <c r="G210"/>
  <c r="X51" s="1"/>
  <c r="F210"/>
  <c r="W51" s="1"/>
  <c r="V55"/>
  <c r="J55"/>
  <c r="Y55"/>
  <c r="K55"/>
  <c r="Q55"/>
  <c r="AA55"/>
  <c r="AB55"/>
  <c r="F206"/>
  <c r="E51" s="1"/>
  <c r="G206"/>
  <c r="F51" s="1"/>
  <c r="I55"/>
  <c r="G117"/>
  <c r="F42" s="1"/>
  <c r="F117"/>
  <c r="E42" s="1"/>
  <c r="E75" i="10"/>
  <c r="D70"/>
  <c r="E80"/>
  <c r="D91"/>
  <c r="D96"/>
  <c r="E89"/>
  <c r="E74"/>
  <c r="D85"/>
  <c r="D90"/>
  <c r="E73"/>
  <c r="E68"/>
  <c r="D79"/>
  <c r="D92"/>
  <c r="E79"/>
  <c r="E70"/>
  <c r="D81"/>
  <c r="E99"/>
  <c r="D78"/>
  <c r="E88"/>
  <c r="D99"/>
  <c r="E81"/>
  <c r="D72"/>
  <c r="I72" s="1"/>
  <c r="E82"/>
  <c r="D93"/>
  <c r="D98"/>
  <c r="E95"/>
  <c r="E76"/>
  <c r="D87"/>
  <c r="E69"/>
  <c r="D68"/>
  <c r="F68" s="1"/>
  <c r="E78"/>
  <c r="D89"/>
  <c r="D69"/>
  <c r="H69" s="1"/>
  <c r="D86"/>
  <c r="E96"/>
  <c r="E91"/>
  <c r="D75"/>
  <c r="G75" s="1"/>
  <c r="D80"/>
  <c r="E90"/>
  <c r="E71"/>
  <c r="E87"/>
  <c r="D74"/>
  <c r="E84"/>
  <c r="D95"/>
  <c r="E93"/>
  <c r="D76"/>
  <c r="E86"/>
  <c r="D97"/>
  <c r="D94"/>
  <c r="G94" s="1"/>
  <c r="E85"/>
  <c r="E72"/>
  <c r="D83"/>
  <c r="D88"/>
  <c r="E98"/>
  <c r="E97"/>
  <c r="D77"/>
  <c r="D82"/>
  <c r="E92"/>
  <c r="E77"/>
  <c r="D71"/>
  <c r="D84"/>
  <c r="E94"/>
  <c r="E83"/>
  <c r="D73"/>
  <c r="F184" i="6"/>
  <c r="E49" s="1"/>
  <c r="G184"/>
  <c r="F49" s="1"/>
  <c r="G100"/>
  <c r="X41" s="1"/>
  <c r="F100"/>
  <c r="W41" s="1"/>
  <c r="G160"/>
  <c r="F160"/>
  <c r="I164"/>
  <c r="F143"/>
  <c r="W44" s="1"/>
  <c r="G143"/>
  <c r="X44" s="1"/>
  <c r="F165"/>
  <c r="W46" s="1"/>
  <c r="G165"/>
  <c r="X46" s="1"/>
  <c r="G178"/>
  <c r="F178"/>
  <c r="I185"/>
  <c r="F138"/>
  <c r="I142"/>
  <c r="G138"/>
  <c r="I208"/>
  <c r="G204"/>
  <c r="F204"/>
  <c r="W55"/>
  <c r="S55"/>
  <c r="AI55"/>
  <c r="M55"/>
  <c r="L55"/>
  <c r="AH55"/>
  <c r="D184" i="10"/>
  <c r="D185"/>
  <c r="D186"/>
  <c r="E181"/>
  <c r="E175"/>
  <c r="E193"/>
  <c r="D192"/>
  <c r="E192"/>
  <c r="D193"/>
  <c r="E195"/>
  <c r="D194"/>
  <c r="E194"/>
  <c r="D195"/>
  <c r="E189"/>
  <c r="D188"/>
  <c r="E188"/>
  <c r="D189"/>
  <c r="E183"/>
  <c r="D182"/>
  <c r="E182"/>
  <c r="D183"/>
  <c r="D165"/>
  <c r="H165" s="1"/>
  <c r="E169"/>
  <c r="D168"/>
  <c r="G168" s="1"/>
  <c r="E168"/>
  <c r="D169"/>
  <c r="E171"/>
  <c r="D170"/>
  <c r="E170"/>
  <c r="D171"/>
  <c r="I171" s="1"/>
  <c r="E165"/>
  <c r="D164"/>
  <c r="F164" s="1"/>
  <c r="E164"/>
  <c r="E191"/>
  <c r="D190"/>
  <c r="G190" s="1"/>
  <c r="E190"/>
  <c r="D191"/>
  <c r="E184"/>
  <c r="E186"/>
  <c r="D180"/>
  <c r="D181"/>
  <c r="E174"/>
  <c r="E177"/>
  <c r="D176"/>
  <c r="E176"/>
  <c r="D177"/>
  <c r="E179"/>
  <c r="D178"/>
  <c r="E178"/>
  <c r="D179"/>
  <c r="E173"/>
  <c r="D172"/>
  <c r="E172"/>
  <c r="D173"/>
  <c r="E167"/>
  <c r="D166"/>
  <c r="E166"/>
  <c r="D167"/>
  <c r="E185"/>
  <c r="E187"/>
  <c r="D187"/>
  <c r="E180"/>
  <c r="D174"/>
  <c r="D175"/>
  <c r="I80" i="6"/>
  <c r="A75"/>
  <c r="G205"/>
  <c r="F50" s="1"/>
  <c r="F205"/>
  <c r="E50" s="1"/>
  <c r="G162"/>
  <c r="F47" s="1"/>
  <c r="F162"/>
  <c r="E47" s="1"/>
  <c r="F140"/>
  <c r="E45" s="1"/>
  <c r="G140"/>
  <c r="F45" s="1"/>
  <c r="G188"/>
  <c r="X49" s="1"/>
  <c r="F188"/>
  <c r="W49" s="1"/>
  <c r="F121"/>
  <c r="W42" s="1"/>
  <c r="G121"/>
  <c r="X42" s="1"/>
  <c r="F122"/>
  <c r="W43" s="1"/>
  <c r="G122"/>
  <c r="X43" s="1"/>
  <c r="F99"/>
  <c r="W40" s="1"/>
  <c r="G99"/>
  <c r="X40" s="1"/>
  <c r="F200"/>
  <c r="G200"/>
  <c r="I207"/>
  <c r="AD55"/>
  <c r="AE55"/>
  <c r="U55"/>
  <c r="AG55"/>
  <c r="D48" i="10"/>
  <c r="E61"/>
  <c r="D54"/>
  <c r="E48"/>
  <c r="D65"/>
  <c r="E67"/>
  <c r="D56"/>
  <c r="E50"/>
  <c r="D67"/>
  <c r="E53"/>
  <c r="D50"/>
  <c r="E44"/>
  <c r="D61"/>
  <c r="E45"/>
  <c r="D44"/>
  <c r="E38"/>
  <c r="D55"/>
  <c r="D37"/>
  <c r="F37" s="1"/>
  <c r="D62"/>
  <c r="H62" s="1"/>
  <c r="E58"/>
  <c r="E62"/>
  <c r="D41"/>
  <c r="D64"/>
  <c r="E64"/>
  <c r="E66"/>
  <c r="D43"/>
  <c r="H43" s="1"/>
  <c r="D58"/>
  <c r="E52"/>
  <c r="E56"/>
  <c r="E57"/>
  <c r="D52"/>
  <c r="E46"/>
  <c r="D63"/>
  <c r="E47"/>
  <c r="E40"/>
  <c r="E51"/>
  <c r="E42"/>
  <c r="E43"/>
  <c r="E36"/>
  <c r="E37"/>
  <c r="E55"/>
  <c r="E39"/>
  <c r="D38"/>
  <c r="E59"/>
  <c r="D49"/>
  <c r="E41"/>
  <c r="D40"/>
  <c r="H40" s="1"/>
  <c r="E65"/>
  <c r="D51"/>
  <c r="D66"/>
  <c r="E63"/>
  <c r="E49"/>
  <c r="D45"/>
  <c r="D60"/>
  <c r="E54"/>
  <c r="E60"/>
  <c r="D39"/>
  <c r="D46"/>
  <c r="D57"/>
  <c r="D59"/>
  <c r="D42"/>
  <c r="D53"/>
  <c r="D36"/>
  <c r="F36" s="1"/>
  <c r="D47"/>
  <c r="D21"/>
  <c r="D24"/>
  <c r="D32"/>
  <c r="E28"/>
  <c r="D29"/>
  <c r="E29"/>
  <c r="D28"/>
  <c r="E14"/>
  <c r="E15"/>
  <c r="E8"/>
  <c r="E9"/>
  <c r="E26"/>
  <c r="D27"/>
  <c r="E27"/>
  <c r="D26"/>
  <c r="E6"/>
  <c r="E7"/>
  <c r="E16"/>
  <c r="E17"/>
  <c r="D4"/>
  <c r="I4" s="1"/>
  <c r="E4"/>
  <c r="D5"/>
  <c r="H5" s="1"/>
  <c r="E5"/>
  <c r="E22"/>
  <c r="E31"/>
  <c r="E24"/>
  <c r="E25"/>
  <c r="E34"/>
  <c r="D35"/>
  <c r="E35"/>
  <c r="D34"/>
  <c r="E30"/>
  <c r="E23"/>
  <c r="E32"/>
  <c r="E33"/>
  <c r="E20"/>
  <c r="D20"/>
  <c r="D30"/>
  <c r="G30" s="1"/>
  <c r="D19"/>
  <c r="D18"/>
  <c r="D22"/>
  <c r="E12"/>
  <c r="D13"/>
  <c r="E13"/>
  <c r="D12"/>
  <c r="D15"/>
  <c r="D14"/>
  <c r="D9"/>
  <c r="D8"/>
  <c r="G8" s="1"/>
  <c r="E10"/>
  <c r="D11"/>
  <c r="H11" s="1"/>
  <c r="E11"/>
  <c r="D10"/>
  <c r="D7"/>
  <c r="D6"/>
  <c r="D17"/>
  <c r="D16"/>
  <c r="E21"/>
  <c r="D31"/>
  <c r="D25"/>
  <c r="E18"/>
  <c r="E19"/>
  <c r="D23"/>
  <c r="D33"/>
  <c r="F139" i="6"/>
  <c r="E44" s="1"/>
  <c r="G139"/>
  <c r="F44" s="1"/>
  <c r="G96"/>
  <c r="F41" s="1"/>
  <c r="F96"/>
  <c r="E41" s="1"/>
  <c r="D150" i="10"/>
  <c r="E149"/>
  <c r="E159"/>
  <c r="D158"/>
  <c r="H158" s="1"/>
  <c r="E158"/>
  <c r="D159"/>
  <c r="E161"/>
  <c r="D160"/>
  <c r="E160"/>
  <c r="D161"/>
  <c r="E163"/>
  <c r="D162"/>
  <c r="E162"/>
  <c r="D163"/>
  <c r="E157"/>
  <c r="D156"/>
  <c r="E156"/>
  <c r="D157"/>
  <c r="D133"/>
  <c r="I133" s="1"/>
  <c r="E135"/>
  <c r="D134"/>
  <c r="E134"/>
  <c r="D135"/>
  <c r="E137"/>
  <c r="D136"/>
  <c r="F136" s="1"/>
  <c r="E136"/>
  <c r="D137"/>
  <c r="E139"/>
  <c r="D138"/>
  <c r="E138"/>
  <c r="D139"/>
  <c r="G139" s="1"/>
  <c r="E133"/>
  <c r="D132"/>
  <c r="H132" s="1"/>
  <c r="E132"/>
  <c r="E151"/>
  <c r="D151"/>
  <c r="D152"/>
  <c r="D153"/>
  <c r="D154"/>
  <c r="D155"/>
  <c r="E148"/>
  <c r="E143"/>
  <c r="D142"/>
  <c r="E142"/>
  <c r="D143"/>
  <c r="E145"/>
  <c r="D144"/>
  <c r="E144"/>
  <c r="D145"/>
  <c r="E147"/>
  <c r="D146"/>
  <c r="E146"/>
  <c r="D147"/>
  <c r="E141"/>
  <c r="D140"/>
  <c r="E140"/>
  <c r="D141"/>
  <c r="E150"/>
  <c r="E153"/>
  <c r="E152"/>
  <c r="E155"/>
  <c r="E154"/>
  <c r="D148"/>
  <c r="D149"/>
  <c r="G161" i="6"/>
  <c r="F46" s="1"/>
  <c r="F161"/>
  <c r="E46" s="1"/>
  <c r="I186"/>
  <c r="F182"/>
  <c r="G182"/>
  <c r="I119"/>
  <c r="G112"/>
  <c r="F112"/>
  <c r="F116"/>
  <c r="G116"/>
  <c r="I120"/>
  <c r="I97"/>
  <c r="F90"/>
  <c r="G90"/>
  <c r="F209"/>
  <c r="W50" s="1"/>
  <c r="G209"/>
  <c r="X50" s="1"/>
  <c r="AC55"/>
  <c r="O55"/>
  <c r="R55"/>
  <c r="P55"/>
  <c r="AK55"/>
  <c r="H32" i="10"/>
  <c r="I54"/>
  <c r="G166"/>
  <c r="H106"/>
  <c r="G17"/>
  <c r="G153"/>
  <c r="H173"/>
  <c r="F185"/>
  <c r="F38"/>
  <c r="I142"/>
  <c r="H20"/>
  <c r="I115"/>
  <c r="G46"/>
  <c r="I77"/>
  <c r="H119"/>
  <c r="F150"/>
  <c r="H82"/>
  <c r="I13"/>
  <c r="I179"/>
  <c r="G145"/>
  <c r="H116"/>
  <c r="F50"/>
  <c r="I113"/>
  <c r="H51"/>
  <c r="H114"/>
  <c r="Q13"/>
  <c r="I102"/>
  <c r="H128"/>
  <c r="G25"/>
  <c r="I112"/>
  <c r="I83"/>
  <c r="F154"/>
  <c r="I74"/>
  <c r="F152"/>
  <c r="G93"/>
  <c r="H180"/>
  <c r="G125"/>
  <c r="H188"/>
  <c r="I95"/>
  <c r="F60"/>
  <c r="G127"/>
  <c r="I89"/>
  <c r="G170"/>
  <c r="H147"/>
  <c r="I167"/>
  <c r="H58"/>
  <c r="G19"/>
  <c r="F48"/>
  <c r="H42"/>
  <c r="H16"/>
  <c r="G141"/>
  <c r="F174"/>
  <c r="I176"/>
  <c r="P12"/>
  <c r="H78"/>
  <c r="G80"/>
  <c r="I10"/>
  <c r="F45"/>
  <c r="H178"/>
  <c r="H109"/>
  <c r="G156"/>
  <c r="I81"/>
  <c r="P16"/>
  <c r="G31"/>
  <c r="I122"/>
  <c r="G23"/>
  <c r="I86"/>
  <c r="G160"/>
  <c r="P15"/>
  <c r="G186"/>
  <c r="F87"/>
  <c r="G183"/>
  <c r="F76"/>
  <c r="Q14"/>
  <c r="I182"/>
  <c r="F64"/>
  <c r="I189"/>
  <c r="I39"/>
  <c r="F90"/>
  <c r="I57"/>
  <c r="F24"/>
  <c r="G22"/>
  <c r="I96"/>
  <c r="H120"/>
  <c r="I110"/>
  <c r="F70"/>
  <c r="H151"/>
  <c r="F18"/>
  <c r="G52"/>
  <c r="I191"/>
  <c r="G29"/>
  <c r="I44"/>
  <c r="I49"/>
  <c r="G12"/>
  <c r="G192"/>
  <c r="H157"/>
  <c r="G138"/>
  <c r="H92"/>
  <c r="G103"/>
  <c r="I108"/>
  <c r="H84"/>
  <c r="P11"/>
  <c r="I177"/>
  <c r="G63"/>
  <c r="H118"/>
  <c r="H7"/>
  <c r="I172"/>
  <c r="F88"/>
  <c r="I61"/>
  <c r="G56"/>
  <c r="F14"/>
  <c r="H55"/>
  <c r="H134"/>
  <c r="F135"/>
  <c r="I71"/>
  <c r="F121"/>
  <c r="G159"/>
  <c r="I26"/>
  <c r="I6"/>
  <c r="I184"/>
  <c r="H124"/>
  <c r="F28"/>
  <c r="F148"/>
  <c r="G146"/>
  <c r="H144"/>
  <c r="G140"/>
  <c r="H104" l="1"/>
  <c r="AO80" i="6"/>
  <c r="E77" s="1"/>
  <c r="AO74"/>
  <c r="E73" s="1"/>
  <c r="G43"/>
  <c r="Y43"/>
  <c r="Y47"/>
  <c r="G40"/>
  <c r="G44"/>
  <c r="G50"/>
  <c r="Y46"/>
  <c r="F120"/>
  <c r="N43" s="1"/>
  <c r="G120"/>
  <c r="O43" s="1"/>
  <c r="F186"/>
  <c r="N49" s="1"/>
  <c r="G186"/>
  <c r="O49" s="1"/>
  <c r="F142"/>
  <c r="N45" s="1"/>
  <c r="G142"/>
  <c r="O45" s="1"/>
  <c r="F98"/>
  <c r="N41" s="1"/>
  <c r="G98"/>
  <c r="O41" s="1"/>
  <c r="G69"/>
  <c r="AG40" s="1"/>
  <c r="F69"/>
  <c r="Y50"/>
  <c r="Y49"/>
  <c r="G47"/>
  <c r="Y44"/>
  <c r="Y41"/>
  <c r="G42"/>
  <c r="G51"/>
  <c r="Y51"/>
  <c r="Y48"/>
  <c r="G97"/>
  <c r="O40" s="1"/>
  <c r="F97"/>
  <c r="N40" s="1"/>
  <c r="G207"/>
  <c r="O50" s="1"/>
  <c r="F207"/>
  <c r="N50" s="1"/>
  <c r="G46"/>
  <c r="G41"/>
  <c r="Y40"/>
  <c r="Y42"/>
  <c r="G45"/>
  <c r="G49"/>
  <c r="Y45"/>
  <c r="G208"/>
  <c r="O51" s="1"/>
  <c r="F208"/>
  <c r="N51" s="1"/>
  <c r="F185"/>
  <c r="N48" s="1"/>
  <c r="G185"/>
  <c r="O48" s="1"/>
  <c r="F163"/>
  <c r="N46" s="1"/>
  <c r="G163"/>
  <c r="O46" s="1"/>
  <c r="G119"/>
  <c r="O42" s="1"/>
  <c r="F119"/>
  <c r="N42" s="1"/>
  <c r="I56"/>
  <c r="F76"/>
  <c r="AF47" s="1"/>
  <c r="G76"/>
  <c r="AG47" s="1"/>
  <c r="G164"/>
  <c r="O47" s="1"/>
  <c r="F164"/>
  <c r="N47" s="1"/>
  <c r="F141"/>
  <c r="N44" s="1"/>
  <c r="G141"/>
  <c r="O44" s="1"/>
  <c r="G48"/>
  <c r="F75" i="10"/>
  <c r="F171"/>
  <c r="F8"/>
  <c r="G104"/>
  <c r="H190"/>
  <c r="I158"/>
  <c r="I62"/>
  <c r="G126"/>
  <c r="H8"/>
  <c r="I75"/>
  <c r="I107"/>
  <c r="F5"/>
  <c r="I43"/>
  <c r="H94"/>
  <c r="F107"/>
  <c r="G133"/>
  <c r="F168"/>
  <c r="I8"/>
  <c r="F132"/>
  <c r="I36"/>
  <c r="H68"/>
  <c r="I100"/>
  <c r="G68"/>
  <c r="H75"/>
  <c r="I139"/>
  <c r="G165"/>
  <c r="F30"/>
  <c r="H126"/>
  <c r="H171"/>
  <c r="F165"/>
  <c r="G72"/>
  <c r="F139"/>
  <c r="I190"/>
  <c r="I11"/>
  <c r="F11"/>
  <c r="H37"/>
  <c r="I168"/>
  <c r="G37"/>
  <c r="G62"/>
  <c r="G101"/>
  <c r="F104"/>
  <c r="F100"/>
  <c r="G36"/>
  <c r="G100"/>
  <c r="I164"/>
  <c r="F190"/>
  <c r="F62"/>
  <c r="G107"/>
  <c r="F101"/>
  <c r="I136"/>
  <c r="F69"/>
  <c r="F133"/>
  <c r="F72"/>
  <c r="I37"/>
  <c r="G69"/>
  <c r="G43"/>
  <c r="F40"/>
  <c r="H72"/>
  <c r="G136"/>
  <c r="I94"/>
  <c r="I165"/>
  <c r="H136"/>
  <c r="I30"/>
  <c r="H164"/>
  <c r="G4"/>
  <c r="F158"/>
  <c r="I40"/>
  <c r="I126"/>
  <c r="I5"/>
  <c r="F94"/>
  <c r="G40"/>
  <c r="H30"/>
  <c r="G5"/>
  <c r="I101"/>
  <c r="G158"/>
  <c r="G171"/>
  <c r="H168"/>
  <c r="H133"/>
  <c r="I69"/>
  <c r="G11"/>
  <c r="H139"/>
  <c r="F43"/>
  <c r="H4"/>
  <c r="I68"/>
  <c r="F4"/>
  <c r="G164"/>
  <c r="H36"/>
  <c r="G132"/>
  <c r="I132"/>
  <c r="H138"/>
  <c r="H179"/>
  <c r="I17"/>
  <c r="I64"/>
  <c r="F108"/>
  <c r="I99"/>
  <c r="H74"/>
  <c r="F109"/>
  <c r="H154"/>
  <c r="F140"/>
  <c r="I55"/>
  <c r="I106"/>
  <c r="G129"/>
  <c r="H117"/>
  <c r="G105"/>
  <c r="G123"/>
  <c r="F89"/>
  <c r="H23"/>
  <c r="I185"/>
  <c r="H108"/>
  <c r="F78"/>
  <c r="F31"/>
  <c r="F134"/>
  <c r="H41"/>
  <c r="I181"/>
  <c r="I156"/>
  <c r="F106"/>
  <c r="H77"/>
  <c r="H146"/>
  <c r="H70"/>
  <c r="I153"/>
  <c r="I163"/>
  <c r="I25"/>
  <c r="H189"/>
  <c r="G173"/>
  <c r="F52"/>
  <c r="H80"/>
  <c r="H143"/>
  <c r="G161"/>
  <c r="F34"/>
  <c r="F9"/>
  <c r="F194"/>
  <c r="H156"/>
  <c r="F113"/>
  <c r="I50"/>
  <c r="H38"/>
  <c r="G176"/>
  <c r="H145"/>
  <c r="H131"/>
  <c r="H182"/>
  <c r="H160"/>
  <c r="H95"/>
  <c r="G6"/>
  <c r="G49"/>
  <c r="F46"/>
  <c r="H47"/>
  <c r="H163"/>
  <c r="I105"/>
  <c r="I91"/>
  <c r="F145"/>
  <c r="F188"/>
  <c r="G122"/>
  <c r="I29"/>
  <c r="H169"/>
  <c r="G98"/>
  <c r="I120"/>
  <c r="F127"/>
  <c r="F57"/>
  <c r="G13"/>
  <c r="I63"/>
  <c r="G7"/>
  <c r="F155"/>
  <c r="F166"/>
  <c r="F125"/>
  <c r="I173"/>
  <c r="G135"/>
  <c r="H102"/>
  <c r="F47"/>
  <c r="I97"/>
  <c r="I84"/>
  <c r="G64"/>
  <c r="F86"/>
  <c r="G60"/>
  <c r="H105"/>
  <c r="H29"/>
  <c r="I32"/>
  <c r="H159"/>
  <c r="F42"/>
  <c r="I140"/>
  <c r="G70"/>
  <c r="F65"/>
  <c r="G15"/>
  <c r="H50"/>
  <c r="G120"/>
  <c r="G131"/>
  <c r="I192"/>
  <c r="I22"/>
  <c r="H33"/>
  <c r="F67"/>
  <c r="F170"/>
  <c r="H184"/>
  <c r="G157"/>
  <c r="H91"/>
  <c r="I45"/>
  <c r="F151"/>
  <c r="H148"/>
  <c r="F63"/>
  <c r="F55"/>
  <c r="F153"/>
  <c r="F193"/>
  <c r="F180"/>
  <c r="G116"/>
  <c r="G142"/>
  <c r="F120"/>
  <c r="I80"/>
  <c r="I60"/>
  <c r="F33"/>
  <c r="G27"/>
  <c r="F181"/>
  <c r="H59"/>
  <c r="F183"/>
  <c r="F192"/>
  <c r="F77"/>
  <c r="H93"/>
  <c r="I141"/>
  <c r="F131"/>
  <c r="F179"/>
  <c r="G54"/>
  <c r="G143"/>
  <c r="H162"/>
  <c r="G74"/>
  <c r="G95"/>
  <c r="I159"/>
  <c r="I154"/>
  <c r="G78"/>
  <c r="H113"/>
  <c r="G181"/>
  <c r="G61"/>
  <c r="F116"/>
  <c r="F17"/>
  <c r="G83"/>
  <c r="G152"/>
  <c r="H191"/>
  <c r="H111"/>
  <c r="I131"/>
  <c r="F79"/>
  <c r="H123"/>
  <c r="G16"/>
  <c r="H88"/>
  <c r="F71"/>
  <c r="F26"/>
  <c r="F80"/>
  <c r="F157"/>
  <c r="G162"/>
  <c r="G48"/>
  <c r="F118"/>
  <c r="H14"/>
  <c r="H166"/>
  <c r="G184"/>
  <c r="H15"/>
  <c r="I66"/>
  <c r="F149"/>
  <c r="F21"/>
  <c r="G84"/>
  <c r="G110"/>
  <c r="G14"/>
  <c r="G102"/>
  <c r="H187"/>
  <c r="I53"/>
  <c r="H176"/>
  <c r="I92"/>
  <c r="G77"/>
  <c r="H19"/>
  <c r="F176"/>
  <c r="I124"/>
  <c r="I65"/>
  <c r="G114"/>
  <c r="F96"/>
  <c r="F32"/>
  <c r="H31"/>
  <c r="F128"/>
  <c r="H86"/>
  <c r="F15"/>
  <c r="H53"/>
  <c r="I117"/>
  <c r="G187"/>
  <c r="I116"/>
  <c r="G151"/>
  <c r="F95"/>
  <c r="F142"/>
  <c r="F39"/>
  <c r="G59"/>
  <c r="F115"/>
  <c r="I56"/>
  <c r="F49"/>
  <c r="F98"/>
  <c r="I59"/>
  <c r="G174"/>
  <c r="I109"/>
  <c r="I28"/>
  <c r="I70"/>
  <c r="F7"/>
  <c r="I155"/>
  <c r="I170"/>
  <c r="I160"/>
  <c r="I93"/>
  <c r="F177"/>
  <c r="G42"/>
  <c r="F102"/>
  <c r="G9"/>
  <c r="I123"/>
  <c r="F73"/>
  <c r="H27"/>
  <c r="I166"/>
  <c r="H192"/>
  <c r="H64"/>
  <c r="H44"/>
  <c r="I152"/>
  <c r="I7"/>
  <c r="H130"/>
  <c r="H63"/>
  <c r="I114"/>
  <c r="I87"/>
  <c r="H152"/>
  <c r="F172"/>
  <c r="I178"/>
  <c r="I79"/>
  <c r="I194"/>
  <c r="H155"/>
  <c r="G85"/>
  <c r="F22"/>
  <c r="I195"/>
  <c r="I18"/>
  <c r="F83"/>
  <c r="I16"/>
  <c r="H194"/>
  <c r="H66"/>
  <c r="I73"/>
  <c r="G193"/>
  <c r="F119"/>
  <c r="H150"/>
  <c r="F169"/>
  <c r="I157"/>
  <c r="H67"/>
  <c r="G86"/>
  <c r="H83"/>
  <c r="G10"/>
  <c r="H129"/>
  <c r="I127"/>
  <c r="G38"/>
  <c r="H45"/>
  <c r="H99"/>
  <c r="F35"/>
  <c r="I88"/>
  <c r="G154"/>
  <c r="H22"/>
  <c r="G111"/>
  <c r="H125"/>
  <c r="H54"/>
  <c r="G20"/>
  <c r="I193"/>
  <c r="I111"/>
  <c r="I47"/>
  <c r="H87"/>
  <c r="I15"/>
  <c r="I78"/>
  <c r="G115"/>
  <c r="H52"/>
  <c r="H103"/>
  <c r="I42"/>
  <c r="F141"/>
  <c r="H97"/>
  <c r="G117"/>
  <c r="H96"/>
  <c r="H89"/>
  <c r="G150"/>
  <c r="F124"/>
  <c r="H79"/>
  <c r="F117"/>
  <c r="G195"/>
  <c r="I67"/>
  <c r="H90"/>
  <c r="F82"/>
  <c r="G144"/>
  <c r="H71"/>
  <c r="I180"/>
  <c r="G21"/>
  <c r="F92"/>
  <c r="H167"/>
  <c r="G191"/>
  <c r="H149"/>
  <c r="G91"/>
  <c r="G90"/>
  <c r="I174"/>
  <c r="H177"/>
  <c r="G179"/>
  <c r="F147"/>
  <c r="H46"/>
  <c r="F161"/>
  <c r="F84"/>
  <c r="H186"/>
  <c r="H122"/>
  <c r="F56"/>
  <c r="H39"/>
  <c r="F110"/>
  <c r="I41"/>
  <c r="I35"/>
  <c r="G35"/>
  <c r="G194"/>
  <c r="F178"/>
  <c r="I121"/>
  <c r="F54"/>
  <c r="I58"/>
  <c r="I12"/>
  <c r="G108"/>
  <c r="G65"/>
  <c r="G180"/>
  <c r="H115"/>
  <c r="F159"/>
  <c r="I14"/>
  <c r="G76"/>
  <c r="I145"/>
  <c r="H73"/>
  <c r="I98"/>
  <c r="F162"/>
  <c r="I149"/>
  <c r="H10"/>
  <c r="F130"/>
  <c r="F156"/>
  <c r="G148"/>
  <c r="H170"/>
  <c r="F53"/>
  <c r="G175"/>
  <c r="G112"/>
  <c r="H18"/>
  <c r="H17"/>
  <c r="I135"/>
  <c r="F93"/>
  <c r="F16"/>
  <c r="G169"/>
  <c r="G163"/>
  <c r="G188"/>
  <c r="F10"/>
  <c r="I146"/>
  <c r="G89"/>
  <c r="F138"/>
  <c r="F91"/>
  <c r="H21"/>
  <c r="G18"/>
  <c r="F103"/>
  <c r="F173"/>
  <c r="F123"/>
  <c r="H174"/>
  <c r="G71"/>
  <c r="H61"/>
  <c r="G121"/>
  <c r="F58"/>
  <c r="I48"/>
  <c r="F105"/>
  <c r="I27"/>
  <c r="G128"/>
  <c r="I23"/>
  <c r="F189"/>
  <c r="I186"/>
  <c r="I138"/>
  <c r="F12"/>
  <c r="F137"/>
  <c r="G149"/>
  <c r="G26"/>
  <c r="I188"/>
  <c r="F111"/>
  <c r="G88"/>
  <c r="H24"/>
  <c r="I19"/>
  <c r="G167"/>
  <c r="G51"/>
  <c r="I143"/>
  <c r="F163"/>
  <c r="I119"/>
  <c r="G24"/>
  <c r="I148"/>
  <c r="F44"/>
  <c r="F29"/>
  <c r="G137"/>
  <c r="H193"/>
  <c r="I21"/>
  <c r="I175"/>
  <c r="G67"/>
  <c r="H112"/>
  <c r="G109"/>
  <c r="F143"/>
  <c r="I90"/>
  <c r="F144"/>
  <c r="I128"/>
  <c r="H161"/>
  <c r="G47"/>
  <c r="F112"/>
  <c r="G118"/>
  <c r="H141"/>
  <c r="G44"/>
  <c r="G177"/>
  <c r="G178"/>
  <c r="G73"/>
  <c r="I130"/>
  <c r="I125"/>
  <c r="H56"/>
  <c r="I38"/>
  <c r="G134"/>
  <c r="F61"/>
  <c r="G97"/>
  <c r="I85"/>
  <c r="H34"/>
  <c r="I187"/>
  <c r="G124"/>
  <c r="I118"/>
  <c r="H26"/>
  <c r="G28"/>
  <c r="F51"/>
  <c r="F20"/>
  <c r="G33"/>
  <c r="H121"/>
  <c r="G96"/>
  <c r="I52"/>
  <c r="H140"/>
  <c r="H48"/>
  <c r="H49"/>
  <c r="F175"/>
  <c r="F59"/>
  <c r="I9"/>
  <c r="F81"/>
  <c r="I129"/>
  <c r="I151"/>
  <c r="I144"/>
  <c r="H9"/>
  <c r="G79"/>
  <c r="G182"/>
  <c r="H60"/>
  <c r="G32"/>
  <c r="G50"/>
  <c r="G55"/>
  <c r="H110"/>
  <c r="G34"/>
  <c r="H25"/>
  <c r="I134"/>
  <c r="H13"/>
  <c r="H142"/>
  <c r="G39"/>
  <c r="G106"/>
  <c r="H175"/>
  <c r="G99"/>
  <c r="F41"/>
  <c r="H98"/>
  <c r="F25"/>
  <c r="G81"/>
  <c r="F23"/>
  <c r="H81"/>
  <c r="I183"/>
  <c r="F160"/>
  <c r="H57"/>
  <c r="I150"/>
  <c r="H65"/>
  <c r="I33"/>
  <c r="H76"/>
  <c r="I82"/>
  <c r="I46"/>
  <c r="H28"/>
  <c r="H135"/>
  <c r="H137"/>
  <c r="G155"/>
  <c r="I51"/>
  <c r="F146"/>
  <c r="H185"/>
  <c r="I76"/>
  <c r="I169"/>
  <c r="H85"/>
  <c r="G130"/>
  <c r="I161"/>
  <c r="G119"/>
  <c r="F114"/>
  <c r="F184"/>
  <c r="G87"/>
  <c r="G58"/>
  <c r="G45"/>
  <c r="I137"/>
  <c r="H181"/>
  <c r="F186"/>
  <c r="G185"/>
  <c r="G147"/>
  <c r="F167"/>
  <c r="H172"/>
  <c r="I24"/>
  <c r="F129"/>
  <c r="F27"/>
  <c r="G41"/>
  <c r="F85"/>
  <c r="G113"/>
  <c r="F182"/>
  <c r="I103"/>
  <c r="F97"/>
  <c r="I162"/>
  <c r="F74"/>
  <c r="H35"/>
  <c r="H195"/>
  <c r="G82"/>
  <c r="F122"/>
  <c r="H127"/>
  <c r="I147"/>
  <c r="F195"/>
  <c r="H153"/>
  <c r="H6"/>
  <c r="G172"/>
  <c r="F99"/>
  <c r="F19"/>
  <c r="G57"/>
  <c r="G189"/>
  <c r="I34"/>
  <c r="F187"/>
  <c r="I20"/>
  <c r="F13"/>
  <c r="H183"/>
  <c r="H12"/>
  <c r="F6"/>
  <c r="F191"/>
  <c r="F66"/>
  <c r="G66"/>
  <c r="G92"/>
  <c r="I31"/>
  <c r="G53"/>
  <c r="Z42" i="6" l="1"/>
  <c r="E79"/>
  <c r="E75"/>
  <c r="E76"/>
  <c r="E69"/>
  <c r="E70"/>
  <c r="E72"/>
  <c r="E78"/>
  <c r="E71"/>
  <c r="H40"/>
  <c r="Z46"/>
  <c r="H46"/>
  <c r="H42"/>
  <c r="I42" s="1"/>
  <c r="H44"/>
  <c r="H50"/>
  <c r="Z50"/>
  <c r="H48"/>
  <c r="P46"/>
  <c r="P50"/>
  <c r="Z48"/>
  <c r="P41"/>
  <c r="P49"/>
  <c r="P42"/>
  <c r="Z40"/>
  <c r="P47"/>
  <c r="P44"/>
  <c r="P51"/>
  <c r="P48"/>
  <c r="P40"/>
  <c r="P45"/>
  <c r="P43"/>
  <c r="AF40"/>
  <c r="F74"/>
  <c r="AF45" s="1"/>
  <c r="AH40" s="1"/>
  <c r="AO40" s="1"/>
  <c r="AO42" s="1"/>
  <c r="AO43" s="1"/>
  <c r="AO44" s="1"/>
  <c r="AO45" s="1"/>
  <c r="AO46" s="1"/>
  <c r="Z44"/>
  <c r="AP46"/>
  <c r="AP42"/>
  <c r="AP41"/>
  <c r="AP45"/>
  <c r="AP43"/>
  <c r="AP44"/>
  <c r="E80" l="1"/>
  <c r="E74"/>
  <c r="AA42"/>
  <c r="Q40"/>
  <c r="Q46"/>
  <c r="I44"/>
  <c r="Q48"/>
  <c r="Q42"/>
  <c r="R42" s="1"/>
  <c r="Q50"/>
  <c r="Q44"/>
  <c r="R44" l="1"/>
  <c r="AP61"/>
  <c r="AO61"/>
  <c r="AO62" s="1"/>
  <c r="A57"/>
  <c r="E58" l="1"/>
  <c r="E59"/>
  <c r="E60"/>
  <c r="E61"/>
  <c r="E57"/>
  <c r="E62" l="1"/>
</calcChain>
</file>

<file path=xl/sharedStrings.xml><?xml version="1.0" encoding="utf-8"?>
<sst xmlns="http://schemas.openxmlformats.org/spreadsheetml/2006/main" count="248" uniqueCount="130">
  <si>
    <t>#</t>
  </si>
  <si>
    <t>Label</t>
  </si>
  <si>
    <t>%FSR</t>
  </si>
  <si>
    <t>Unit</t>
  </si>
  <si>
    <t>Conditions</t>
  </si>
  <si>
    <t>Sub Label</t>
  </si>
  <si>
    <t>Mean</t>
  </si>
  <si>
    <t>LED</t>
  </si>
  <si>
    <t>No Compensation</t>
  </si>
  <si>
    <t>Max Compensation</t>
  </si>
  <si>
    <t>QTH</t>
  </si>
  <si>
    <t>Compensation</t>
  </si>
  <si>
    <t>Percentage</t>
  </si>
  <si>
    <t>Error Uncompensated</t>
  </si>
  <si>
    <t>Error Compensated</t>
  </si>
  <si>
    <t>QTH:OFF; LED=ON</t>
  </si>
  <si>
    <t>QTH:ON; LED=OFF</t>
  </si>
  <si>
    <t>LED Compensated</t>
  </si>
  <si>
    <t>QTH Compensated</t>
  </si>
  <si>
    <t>Compensation Value</t>
  </si>
  <si>
    <t>Lux</t>
  </si>
  <si>
    <t>%</t>
  </si>
  <si>
    <t>-</t>
  </si>
  <si>
    <t>DeltaComp=</t>
  </si>
  <si>
    <t>Error</t>
  </si>
  <si>
    <t>Names</t>
  </si>
  <si>
    <t>RangeN=</t>
  </si>
  <si>
    <t>Setup</t>
  </si>
  <si>
    <t>X=</t>
  </si>
  <si>
    <t>Y=</t>
  </si>
  <si>
    <t>Lux=</t>
  </si>
  <si>
    <t>Vled=</t>
  </si>
  <si>
    <t>QTH=</t>
  </si>
  <si>
    <t>Comp Range</t>
  </si>
  <si>
    <r>
      <rPr>
        <sz val="11"/>
        <color theme="1"/>
        <rFont val="Symbol"/>
        <family val="1"/>
        <charset val="2"/>
      </rPr>
      <t>3s</t>
    </r>
    <r>
      <rPr>
        <sz val="11"/>
        <color theme="1"/>
        <rFont val="Calibri"/>
        <family val="2"/>
        <scheme val="minor"/>
      </rPr>
      <t xml:space="preserve"> Min</t>
    </r>
  </si>
  <si>
    <r>
      <rPr>
        <sz val="11"/>
        <color theme="1"/>
        <rFont val="Symbol"/>
        <family val="1"/>
        <charset val="2"/>
      </rPr>
      <t>3s</t>
    </r>
    <r>
      <rPr>
        <sz val="11"/>
        <color theme="1"/>
        <rFont val="Calibri"/>
        <family val="2"/>
        <scheme val="minor"/>
      </rPr>
      <t xml:space="preserve"> Max</t>
    </r>
  </si>
  <si>
    <t>Glass Xmit</t>
  </si>
  <si>
    <t>125-trimmed</t>
  </si>
  <si>
    <t>InputN=</t>
  </si>
  <si>
    <t>Max</t>
  </si>
  <si>
    <t>mean</t>
  </si>
  <si>
    <t>std</t>
  </si>
  <si>
    <t>%/value</t>
  </si>
  <si>
    <t>LO</t>
  </si>
  <si>
    <t>HI</t>
  </si>
  <si>
    <t>A</t>
  </si>
  <si>
    <t>X</t>
  </si>
  <si>
    <t>Y</t>
  </si>
  <si>
    <t>Z</t>
  </si>
  <si>
    <t>HZ</t>
  </si>
  <si>
    <t>DUT#</t>
  </si>
  <si>
    <t>ROW\COL</t>
  </si>
  <si>
    <t>CWF</t>
  </si>
  <si>
    <t>D65</t>
  </si>
  <si>
    <t>U30</t>
  </si>
  <si>
    <t>U35</t>
  </si>
  <si>
    <t>CCT</t>
  </si>
  <si>
    <t>x</t>
  </si>
  <si>
    <t>y</t>
  </si>
  <si>
    <t>Rng0</t>
  </si>
  <si>
    <t>Rng1</t>
  </si>
  <si>
    <t>comp38=</t>
  </si>
  <si>
    <t>0/1</t>
  </si>
  <si>
    <t>#DUTs=</t>
  </si>
  <si>
    <t>MK-1</t>
  </si>
  <si>
    <t>Source</t>
  </si>
  <si>
    <t>Input</t>
  </si>
  <si>
    <t>R</t>
  </si>
  <si>
    <t>G</t>
  </si>
  <si>
    <t>B</t>
  </si>
  <si>
    <t>Range: LO</t>
  </si>
  <si>
    <t>Range: HI</t>
  </si>
  <si>
    <t>LO/HI</t>
  </si>
  <si>
    <t>LINEST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</si>
  <si>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xy</t>
    </r>
  </si>
  <si>
    <t>%/CCT</t>
  </si>
  <si>
    <t>max</t>
  </si>
  <si>
    <t>spec</t>
  </si>
  <si>
    <t>DUT AVERAGE</t>
  </si>
  <si>
    <t>Xform</t>
  </si>
  <si>
    <t>Average Error</t>
  </si>
  <si>
    <t>Stdev</t>
  </si>
  <si>
    <t>Cal</t>
  </si>
  <si>
    <r>
      <t>3</t>
    </r>
    <r>
      <rPr>
        <sz val="11"/>
        <color theme="1"/>
        <rFont val="Calibri"/>
        <family val="2"/>
      </rPr>
      <t>σ</t>
    </r>
  </si>
  <si>
    <t>Spec</t>
  </si>
  <si>
    <t>Ev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</si>
  <si>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Y</t>
    </r>
  </si>
  <si>
    <t>Comp</t>
  </si>
  <si>
    <t>Start</t>
  </si>
  <si>
    <t>Finish</t>
  </si>
  <si>
    <t>Averages</t>
  </si>
  <si>
    <t>Δxy</t>
  </si>
  <si>
    <t>seg0</t>
  </si>
  <si>
    <t>seg1</t>
  </si>
  <si>
    <t>off</t>
  </si>
  <si>
    <t>code</t>
  </si>
  <si>
    <t>Combined</t>
  </si>
  <si>
    <t>Enable</t>
  </si>
  <si>
    <t>UseEnableMask=</t>
  </si>
  <si>
    <t>Bin1 Yield=</t>
  </si>
  <si>
    <t>ΔIR Calculations</t>
  </si>
  <si>
    <t>Gain Calculations</t>
  </si>
  <si>
    <t>Gain</t>
  </si>
  <si>
    <t>ATTN</t>
  </si>
  <si>
    <t>@DUT</t>
  </si>
  <si>
    <t>AVG</t>
  </si>
  <si>
    <t>compSet=</t>
  </si>
  <si>
    <t>SQRT</t>
  </si>
  <si>
    <t xml:space="preserve">  </t>
  </si>
  <si>
    <t>u</t>
  </si>
  <si>
    <t>v</t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</si>
  <si>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uv</t>
    </r>
  </si>
  <si>
    <t>Test Points</t>
  </si>
  <si>
    <t>Transform</t>
  </si>
  <si>
    <t>xy</t>
  </si>
  <si>
    <t>inv125Comp=</t>
  </si>
  <si>
    <r>
      <t xml:space="preserve">Use
</t>
    </r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IR</t>
    </r>
  </si>
  <si>
    <t>Norm</t>
  </si>
  <si>
    <r>
      <t>Δ</t>
    </r>
    <r>
      <rPr>
        <sz val="6.6"/>
        <color theme="1"/>
        <rFont val="Calibri"/>
        <family val="2"/>
      </rPr>
      <t>IR</t>
    </r>
  </si>
  <si>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>Y
LS2LS</t>
    </r>
  </si>
  <si>
    <t>Balance</t>
  </si>
  <si>
    <t>29125B Green Channel Gain Error Vs. Compensation Setting: 80A + 82B</t>
  </si>
  <si>
    <t>Green
LS2LS</t>
  </si>
  <si>
    <t>No D65</t>
  </si>
  <si>
    <t>%/Population</t>
  </si>
  <si>
    <t>LS2LS Variation</t>
  </si>
  <si>
    <r>
      <t xml:space="preserve">RGB &amp; </t>
    </r>
    <r>
      <rPr>
        <sz val="11"/>
        <color theme="1"/>
        <rFont val="Calibri"/>
        <family val="2"/>
      </rPr>
      <t>Δ</t>
    </r>
    <r>
      <rPr>
        <sz val="11"/>
        <color theme="1"/>
        <rFont val="Calibri"/>
        <family val="2"/>
        <scheme val="minor"/>
      </rPr>
      <t xml:space="preserve">IR </t>
    </r>
    <r>
      <rPr>
        <sz val="11"/>
        <color theme="1"/>
        <rFont val="Calibri"/>
        <family val="2"/>
      </rPr>
      <t>→</t>
    </r>
    <r>
      <rPr>
        <sz val="11"/>
        <color theme="1"/>
        <rFont val="Calibri"/>
        <family val="2"/>
        <scheme val="minor"/>
      </rPr>
      <t xml:space="preserve"> XYZ Transform</t>
    </r>
  </si>
  <si>
    <t>Standard RGB → XYZ Transform</t>
  </si>
  <si>
    <t xml:space="preserve"> </t>
  </si>
  <si>
    <t>G10</t>
  </si>
</sst>
</file>

<file path=xl/styles.xml><?xml version="1.0" encoding="utf-8"?>
<styleSheet xmlns="http://schemas.openxmlformats.org/spreadsheetml/2006/main">
  <numFmts count="4">
    <numFmt numFmtId="164" formatCode="0.0%"/>
    <numFmt numFmtId="165" formatCode="0.0"/>
    <numFmt numFmtId="166" formatCode="0.0000"/>
    <numFmt numFmtId="167" formatCode="#,##0.0000"/>
  </numFmts>
  <fonts count="16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sz val="12"/>
      <color theme="1"/>
      <name val="Courier"/>
      <family val="3"/>
    </font>
    <font>
      <sz val="28"/>
      <color theme="1"/>
      <name val="Calibri"/>
      <family val="2"/>
      <scheme val="minor"/>
    </font>
    <font>
      <sz val="6.6"/>
      <color theme="1"/>
      <name val="Calibri"/>
      <family val="2"/>
    </font>
    <font>
      <b/>
      <sz val="2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</font>
    <font>
      <b/>
      <sz val="4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thin">
        <color indexed="64"/>
      </left>
      <right style="double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double">
        <color auto="1"/>
      </left>
      <right/>
      <top style="medium">
        <color indexed="64"/>
      </top>
      <bottom/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/>
      <right style="double">
        <color auto="1"/>
      </right>
      <top style="medium">
        <color indexed="64"/>
      </top>
      <bottom/>
      <diagonal/>
    </border>
    <border>
      <left style="double">
        <color auto="1"/>
      </left>
      <right style="medium">
        <color indexed="64"/>
      </right>
      <top/>
      <bottom/>
      <diagonal/>
    </border>
    <border>
      <left style="double">
        <color auto="1"/>
      </left>
      <right style="medium">
        <color indexed="64"/>
      </right>
      <top/>
      <bottom style="double">
        <color auto="1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1">
    <xf numFmtId="0" fontId="0" fillId="0" borderId="0" xfId="0"/>
    <xf numFmtId="0" fontId="0" fillId="0" borderId="0" xfId="0" applyFont="1" applyAlignment="1">
      <alignment horizontal="left"/>
    </xf>
    <xf numFmtId="0" fontId="0" fillId="0" borderId="1" xfId="0" applyBorder="1"/>
    <xf numFmtId="0" fontId="0" fillId="2" borderId="1" xfId="0" applyFill="1" applyBorder="1" applyAlignment="1">
      <alignment horizontal="right"/>
    </xf>
    <xf numFmtId="2" fontId="0" fillId="2" borderId="1" xfId="0" applyNumberFormat="1" applyFill="1" applyBorder="1"/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165" fontId="0" fillId="3" borderId="1" xfId="0" applyNumberFormat="1" applyFont="1" applyFill="1" applyBorder="1" applyAlignment="1">
      <alignment horizontal="center"/>
    </xf>
    <xf numFmtId="0" fontId="0" fillId="2" borderId="7" xfId="0" applyFill="1" applyBorder="1" applyAlignment="1"/>
    <xf numFmtId="0" fontId="0" fillId="2" borderId="8" xfId="0" applyFill="1" applyBorder="1" applyAlignment="1"/>
    <xf numFmtId="164" fontId="0" fillId="2" borderId="7" xfId="0" applyNumberFormat="1" applyFill="1" applyBorder="1" applyAlignment="1">
      <alignment horizontal="center"/>
    </xf>
    <xf numFmtId="0" fontId="0" fillId="3" borderId="1" xfId="0" quotePrefix="1" applyFill="1" applyBorder="1" applyAlignment="1">
      <alignment horizontal="center"/>
    </xf>
    <xf numFmtId="0" fontId="0" fillId="0" borderId="0" xfId="0" applyBorder="1" applyAlignment="1">
      <alignment horizontal="center"/>
    </xf>
    <xf numFmtId="10" fontId="0" fillId="0" borderId="0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1" xfId="0" applyBorder="1" applyAlignment="1">
      <alignment horizontal="right"/>
    </xf>
    <xf numFmtId="0" fontId="3" fillId="0" borderId="18" xfId="0" applyFont="1" applyBorder="1"/>
    <xf numFmtId="0" fontId="0" fillId="4" borderId="22" xfId="0" applyFill="1" applyBorder="1" applyAlignment="1">
      <alignment horizontal="left"/>
    </xf>
    <xf numFmtId="0" fontId="0" fillId="4" borderId="25" xfId="0" applyFill="1" applyBorder="1" applyAlignment="1">
      <alignment horizontal="left"/>
    </xf>
    <xf numFmtId="10" fontId="0" fillId="4" borderId="21" xfId="0" applyNumberFormat="1" applyFill="1" applyBorder="1"/>
    <xf numFmtId="0" fontId="0" fillId="4" borderId="23" xfId="0" applyFill="1" applyBorder="1"/>
    <xf numFmtId="0" fontId="0" fillId="0" borderId="0" xfId="0" applyBorder="1" applyAlignment="1">
      <alignment horizontal="left"/>
    </xf>
    <xf numFmtId="0" fontId="0" fillId="0" borderId="8" xfId="0" applyBorder="1"/>
    <xf numFmtId="0" fontId="0" fillId="0" borderId="17" xfId="0" applyFill="1" applyBorder="1"/>
    <xf numFmtId="0" fontId="0" fillId="3" borderId="8" xfId="0" applyFill="1" applyBorder="1"/>
    <xf numFmtId="0" fontId="0" fillId="4" borderId="21" xfId="0" applyFill="1" applyBorder="1"/>
    <xf numFmtId="10" fontId="0" fillId="4" borderId="22" xfId="0" applyNumberFormat="1" applyFill="1" applyBorder="1" applyAlignment="1">
      <alignment horizontal="center"/>
    </xf>
    <xf numFmtId="164" fontId="0" fillId="4" borderId="25" xfId="0" applyNumberFormat="1" applyFill="1" applyBorder="1" applyAlignment="1">
      <alignment horizontal="center"/>
    </xf>
    <xf numFmtId="0" fontId="0" fillId="0" borderId="0" xfId="0" applyBorder="1" applyAlignment="1">
      <alignment vertical="center"/>
    </xf>
    <xf numFmtId="0" fontId="0" fillId="2" borderId="6" xfId="0" applyFill="1" applyBorder="1" applyAlignment="1"/>
    <xf numFmtId="0" fontId="0" fillId="0" borderId="0" xfId="0" applyAlignment="1">
      <alignment horizontal="center"/>
    </xf>
    <xf numFmtId="166" fontId="0" fillId="4" borderId="22" xfId="0" applyNumberFormat="1" applyFill="1" applyBorder="1" applyAlignment="1">
      <alignment horizontal="left"/>
    </xf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1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5" fontId="0" fillId="0" borderId="0" xfId="0" applyNumberFormat="1" applyBorder="1" applyAlignment="1">
      <alignment horizontal="center"/>
    </xf>
    <xf numFmtId="0" fontId="0" fillId="0" borderId="2" xfId="0" applyFill="1" applyBorder="1" applyAlignment="1">
      <alignment horizontal="center" vertical="top"/>
    </xf>
    <xf numFmtId="165" fontId="0" fillId="0" borderId="4" xfId="0" applyNumberFormat="1" applyBorder="1" applyAlignment="1">
      <alignment horizontal="center"/>
    </xf>
    <xf numFmtId="0" fontId="0" fillId="0" borderId="0" xfId="0" applyBorder="1" applyAlignment="1">
      <alignment horizontal="center" vertical="top"/>
    </xf>
    <xf numFmtId="166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6" fontId="0" fillId="0" borderId="16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16" xfId="0" applyBorder="1" applyAlignment="1">
      <alignment horizontal="center" vertical="top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6" fontId="0" fillId="0" borderId="18" xfId="0" applyNumberFormat="1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6" fontId="0" fillId="0" borderId="21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166" fontId="0" fillId="0" borderId="23" xfId="0" applyNumberFormat="1" applyBorder="1" applyAlignment="1">
      <alignment horizontal="center" vertical="center"/>
    </xf>
    <xf numFmtId="165" fontId="0" fillId="0" borderId="24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 textRotation="9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top"/>
    </xf>
    <xf numFmtId="165" fontId="0" fillId="0" borderId="5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Border="1"/>
    <xf numFmtId="0" fontId="0" fillId="0" borderId="5" xfId="0" applyFill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7" borderId="16" xfId="0" applyFill="1" applyBorder="1" applyAlignment="1">
      <alignment horizontal="center" vertical="top"/>
    </xf>
    <xf numFmtId="0" fontId="0" fillId="3" borderId="0" xfId="0" applyFill="1" applyBorder="1" applyAlignment="1">
      <alignment horizontal="center" vertical="top"/>
    </xf>
    <xf numFmtId="0" fontId="0" fillId="5" borderId="0" xfId="0" applyFill="1" applyBorder="1" applyAlignment="1">
      <alignment horizontal="center"/>
    </xf>
    <xf numFmtId="0" fontId="0" fillId="7" borderId="0" xfId="0" applyFill="1" applyBorder="1" applyAlignment="1">
      <alignment horizontal="center" vertical="top"/>
    </xf>
    <xf numFmtId="0" fontId="0" fillId="0" borderId="0" xfId="0" applyFill="1" applyBorder="1" applyAlignment="1">
      <alignment horizontal="center" vertical="top"/>
    </xf>
    <xf numFmtId="164" fontId="0" fillId="0" borderId="0" xfId="0" applyNumberFormat="1" applyAlignment="1">
      <alignment horizontal="center" vertical="center"/>
    </xf>
    <xf numFmtId="0" fontId="0" fillId="4" borderId="16" xfId="0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2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6" fontId="0" fillId="0" borderId="14" xfId="0" applyNumberFormat="1" applyBorder="1" applyAlignment="1">
      <alignment horizontal="center" vertical="center"/>
    </xf>
    <xf numFmtId="10" fontId="0" fillId="0" borderId="0" xfId="0" applyNumberFormat="1"/>
    <xf numFmtId="0" fontId="2" fillId="0" borderId="0" xfId="0" applyFont="1" applyAlignment="1">
      <alignment horizontal="center"/>
    </xf>
    <xf numFmtId="1" fontId="0" fillId="0" borderId="0" xfId="0" applyNumberFormat="1"/>
    <xf numFmtId="1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0" fontId="0" fillId="0" borderId="0" xfId="0" applyNumberFormat="1" applyBorder="1" applyAlignment="1">
      <alignment horizontal="center"/>
    </xf>
    <xf numFmtId="0" fontId="0" fillId="0" borderId="0" xfId="0" applyAlignment="1"/>
    <xf numFmtId="0" fontId="0" fillId="0" borderId="0" xfId="0"/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9" xfId="0" applyBorder="1" applyAlignment="1">
      <alignment horizontal="center"/>
    </xf>
    <xf numFmtId="165" fontId="0" fillId="0" borderId="0" xfId="0" applyNumberFormat="1"/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0" xfId="0" applyNumberFormat="1" applyAlignment="1">
      <alignment horizontal="center" vertical="center"/>
    </xf>
    <xf numFmtId="1" fontId="0" fillId="4" borderId="0" xfId="0" applyNumberFormat="1" applyFill="1" applyAlignment="1">
      <alignment horizontal="center"/>
    </xf>
    <xf numFmtId="0" fontId="0" fillId="0" borderId="0" xfId="0" quotePrefix="1" applyAlignment="1">
      <alignment horizontal="center"/>
    </xf>
    <xf numFmtId="2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" xfId="0" applyNumberFormat="1" applyBorder="1" applyAlignment="1">
      <alignment horizontal="center" vertical="center"/>
    </xf>
    <xf numFmtId="166" fontId="0" fillId="0" borderId="11" xfId="0" applyNumberFormat="1" applyBorder="1" applyAlignment="1">
      <alignment horizontal="center" vertical="center"/>
    </xf>
    <xf numFmtId="166" fontId="0" fillId="0" borderId="12" xfId="0" applyNumberForma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166" fontId="0" fillId="0" borderId="15" xfId="0" applyNumberFormat="1" applyBorder="1" applyAlignment="1">
      <alignment horizontal="center" vertical="center"/>
    </xf>
    <xf numFmtId="166" fontId="0" fillId="0" borderId="31" xfId="0" applyNumberFormat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166" fontId="0" fillId="0" borderId="28" xfId="0" applyNumberForma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34" xfId="0" applyNumberFormat="1" applyBorder="1" applyAlignment="1">
      <alignment horizontal="center" vertical="center"/>
    </xf>
    <xf numFmtId="0" fontId="0" fillId="0" borderId="13" xfId="0" applyBorder="1" applyAlignment="1">
      <alignment horizontal="center"/>
    </xf>
    <xf numFmtId="166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4" xfId="0" applyBorder="1" applyAlignment="1">
      <alignment horizontal="center"/>
    </xf>
    <xf numFmtId="0" fontId="0" fillId="4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2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164" fontId="0" fillId="0" borderId="14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6" fontId="0" fillId="0" borderId="14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24" xfId="0" applyBorder="1" applyAlignment="1">
      <alignment vertical="center"/>
    </xf>
    <xf numFmtId="0" fontId="0" fillId="0" borderId="0" xfId="0"/>
    <xf numFmtId="165" fontId="0" fillId="0" borderId="0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/>
    </xf>
    <xf numFmtId="10" fontId="0" fillId="0" borderId="0" xfId="0" applyNumberFormat="1" applyBorder="1" applyAlignment="1">
      <alignment horizontal="center"/>
    </xf>
    <xf numFmtId="165" fontId="0" fillId="0" borderId="0" xfId="0" applyNumberFormat="1"/>
    <xf numFmtId="165" fontId="0" fillId="0" borderId="58" xfId="0" applyNumberFormat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10" fontId="0" fillId="0" borderId="58" xfId="0" applyNumberFormat="1" applyBorder="1" applyAlignment="1">
      <alignment horizontal="center"/>
    </xf>
    <xf numFmtId="10" fontId="0" fillId="0" borderId="59" xfId="0" applyNumberFormat="1" applyBorder="1" applyAlignment="1">
      <alignment horizontal="center"/>
    </xf>
    <xf numFmtId="10" fontId="0" fillId="0" borderId="5" xfId="0" applyNumberFormat="1" applyBorder="1" applyAlignment="1">
      <alignment horizontal="center"/>
    </xf>
    <xf numFmtId="164" fontId="0" fillId="0" borderId="60" xfId="0" applyNumberFormat="1" applyBorder="1" applyAlignment="1">
      <alignment horizontal="center"/>
    </xf>
    <xf numFmtId="164" fontId="0" fillId="0" borderId="0" xfId="0" applyNumberFormat="1"/>
    <xf numFmtId="0" fontId="0" fillId="4" borderId="0" xfId="0" applyFill="1"/>
    <xf numFmtId="164" fontId="0" fillId="4" borderId="0" xfId="0" applyNumberFormat="1" applyFill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65" fontId="0" fillId="0" borderId="0" xfId="0" applyNumberFormat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16" xfId="0" applyNumberFormat="1" applyFill="1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165" fontId="0" fillId="0" borderId="5" xfId="0" applyNumberFormat="1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1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3" fillId="0" borderId="21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4" borderId="18" xfId="0" applyFon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6" fontId="0" fillId="0" borderId="14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9" fontId="0" fillId="4" borderId="12" xfId="0" applyNumberFormat="1" applyFill="1" applyBorder="1" applyAlignment="1">
      <alignment horizontal="center" vertical="center"/>
    </xf>
    <xf numFmtId="9" fontId="0" fillId="4" borderId="15" xfId="0" applyNumberFormat="1" applyFill="1" applyBorder="1" applyAlignment="1">
      <alignment horizontal="center" vertical="center"/>
    </xf>
    <xf numFmtId="0" fontId="14" fillId="0" borderId="31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2" fontId="0" fillId="4" borderId="12" xfId="0" applyNumberFormat="1" applyFill="1" applyBorder="1" applyAlignment="1">
      <alignment horizontal="center" vertical="center"/>
    </xf>
    <xf numFmtId="2" fontId="0" fillId="4" borderId="15" xfId="0" applyNumberFormat="1" applyFill="1" applyBorder="1" applyAlignment="1">
      <alignment horizontal="center" vertical="center"/>
    </xf>
    <xf numFmtId="1" fontId="0" fillId="4" borderId="12" xfId="0" applyNumberFormat="1" applyFill="1" applyBorder="1" applyAlignment="1">
      <alignment horizontal="center" vertical="center"/>
    </xf>
    <xf numFmtId="1" fontId="0" fillId="4" borderId="15" xfId="0" applyNumberFormat="1" applyFill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164" fontId="0" fillId="0" borderId="14" xfId="0" applyNumberFormat="1" applyFill="1" applyBorder="1" applyAlignment="1">
      <alignment horizontal="center" vertical="center"/>
    </xf>
    <xf numFmtId="0" fontId="5" fillId="0" borderId="0" xfId="0" applyFont="1" applyAlignment="1">
      <alignment horizontal="center" vertical="center" textRotation="90"/>
    </xf>
    <xf numFmtId="0" fontId="0" fillId="0" borderId="4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56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8" fillId="4" borderId="29" xfId="0" applyFont="1" applyFill="1" applyBorder="1" applyAlignment="1">
      <alignment horizontal="center" vertical="center"/>
    </xf>
    <xf numFmtId="0" fontId="8" fillId="4" borderId="30" xfId="0" applyFont="1" applyFill="1" applyBorder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10" fillId="0" borderId="0" xfId="0" applyFont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0" fontId="12" fillId="9" borderId="0" xfId="0" applyFont="1" applyFill="1" applyAlignment="1">
      <alignment horizontal="center" vertical="center" textRotation="90"/>
    </xf>
    <xf numFmtId="0" fontId="12" fillId="4" borderId="0" xfId="0" applyFont="1" applyFill="1" applyAlignment="1">
      <alignment horizontal="center" vertical="center" textRotation="90"/>
    </xf>
    <xf numFmtId="0" fontId="12" fillId="3" borderId="0" xfId="0" applyFont="1" applyFill="1" applyAlignment="1">
      <alignment horizontal="center" vertical="center" textRotation="90"/>
    </xf>
    <xf numFmtId="0" fontId="12" fillId="5" borderId="0" xfId="0" applyFont="1" applyFill="1" applyAlignment="1">
      <alignment horizontal="center" vertical="center" textRotation="90"/>
    </xf>
    <xf numFmtId="167" fontId="0" fillId="0" borderId="0" xfId="0" applyNumberFormat="1" applyAlignment="1">
      <alignment horizontal="center"/>
    </xf>
    <xf numFmtId="0" fontId="12" fillId="8" borderId="0" xfId="0" applyFont="1" applyFill="1" applyAlignment="1">
      <alignment horizontal="center" vertical="center" textRotation="90"/>
    </xf>
    <xf numFmtId="0" fontId="12" fillId="7" borderId="0" xfId="0" applyFont="1" applyFill="1" applyAlignment="1">
      <alignment horizontal="center" vertical="center" textRotation="90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/>
  </cellXfs>
  <cellStyles count="1">
    <cellStyle name="Normal" xfId="0" builtinId="0"/>
  </cellStyles>
  <dxfs count="218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#REF!</c:f>
          <c:strCache>
            <c:ptCount val="1"/>
            <c:pt idx="0">
              <c:v>#REF!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axId val="134155648"/>
        <c:axId val="135522176"/>
      </c:barChart>
      <c:catAx>
        <c:axId val="1341556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Diode %</a:t>
                </a:r>
              </a:p>
            </c:rich>
          </c:tx>
          <c:layout/>
        </c:title>
        <c:numFmt formatCode="0.0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35522176"/>
        <c:crosses val="autoZero"/>
        <c:auto val="1"/>
        <c:lblAlgn val="ctr"/>
        <c:lblOffset val="100"/>
      </c:catAx>
      <c:valAx>
        <c:axId val="13552217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34155648"/>
        <c:crosses val="autoZero"/>
        <c:crossBetween val="between"/>
      </c:valAx>
    </c:plotArea>
    <c:plotVisOnly val="1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#REF!</c:f>
          <c:strCache>
            <c:ptCount val="1"/>
            <c:pt idx="0">
              <c:v>#REF!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axId val="135423488"/>
        <c:axId val="135425408"/>
      </c:barChart>
      <c:catAx>
        <c:axId val="1354234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Compensation Value</a:t>
                </a:r>
              </a:p>
            </c:rich>
          </c:tx>
          <c:layout/>
        </c:title>
        <c:numFmt formatCode="0" sourceLinked="0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35425408"/>
        <c:crosses val="autoZero"/>
        <c:auto val="1"/>
        <c:lblAlgn val="ctr"/>
        <c:lblOffset val="100"/>
      </c:catAx>
      <c:valAx>
        <c:axId val="1354254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35423488"/>
        <c:crosses val="autoZero"/>
        <c:crossBetween val="between"/>
      </c:valAx>
    </c:plotArea>
    <c:plotVisOnly val="1"/>
  </c:chart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#REF!</c:f>
          <c:strCache>
            <c:ptCount val="1"/>
            <c:pt idx="0">
              <c:v>#REF!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axId val="135453696"/>
        <c:axId val="135599232"/>
      </c:barChart>
      <c:catAx>
        <c:axId val="1354536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(%/Value)</a:t>
                </a:r>
              </a:p>
            </c:rich>
          </c:tx>
          <c:layout/>
        </c:title>
        <c:numFmt formatCode="0.0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35599232"/>
        <c:crosses val="autoZero"/>
        <c:auto val="1"/>
        <c:lblAlgn val="ctr"/>
        <c:lblOffset val="100"/>
      </c:catAx>
      <c:valAx>
        <c:axId val="13559923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35453696"/>
        <c:crosses val="autoZero"/>
        <c:crossBetween val="between"/>
      </c:valAx>
    </c:plotArea>
    <c:plotVisOnly val="1"/>
  </c:chart>
  <c:printSettings>
    <c:headerFooter/>
    <c:pageMargins b="0.75000000000000666" l="0.70000000000000062" r="0.70000000000000062" t="0.750000000000006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#REF!</c:f>
          <c:strCache>
            <c:ptCount val="1"/>
            <c:pt idx="0">
              <c:v>#REF!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axId val="135627520"/>
        <c:axId val="135629440"/>
      </c:barChart>
      <c:catAx>
        <c:axId val="1356275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(%/Value)</a:t>
                </a:r>
              </a:p>
            </c:rich>
          </c:tx>
          <c:layout/>
        </c:title>
        <c:numFmt formatCode="0.0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35629440"/>
        <c:crosses val="autoZero"/>
        <c:auto val="1"/>
        <c:lblAlgn val="ctr"/>
        <c:lblOffset val="100"/>
      </c:catAx>
      <c:valAx>
        <c:axId val="13562944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35627520"/>
        <c:crosses val="autoZero"/>
        <c:crossBetween val="between"/>
      </c:valAx>
    </c:plotArea>
    <c:plotVisOnly val="1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#REF!</c:f>
          <c:strCache>
            <c:ptCount val="1"/>
            <c:pt idx="0">
              <c:v>#REF!</c:v>
            </c:pt>
          </c:strCache>
        </c:strRef>
      </c:tx>
      <c:layout/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axId val="135641344"/>
        <c:axId val="135991680"/>
      </c:barChart>
      <c:catAx>
        <c:axId val="1356413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Compensation Value</a:t>
                </a:r>
              </a:p>
            </c:rich>
          </c:tx>
          <c:layout/>
        </c:title>
        <c:numFmt formatCode="0.0%" sourceLinked="0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35991680"/>
        <c:crosses val="autoZero"/>
        <c:auto val="1"/>
        <c:lblAlgn val="ctr"/>
        <c:lblOffset val="100"/>
      </c:catAx>
      <c:valAx>
        <c:axId val="1359916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135641344"/>
        <c:crosses val="autoZero"/>
        <c:crossBetween val="between"/>
      </c:valAx>
    </c:plotArea>
    <c:plotVisOnly val="1"/>
  </c:chart>
  <c:printSettings>
    <c:headerFooter/>
    <c:pageMargins b="0.75000000000000688" l="0.70000000000000062" r="0.70000000000000062" t="0.7500000000000068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#REF!</c:f>
          <c:strCache>
            <c:ptCount val="1"/>
            <c:pt idx="0">
              <c:v>#REF!</c:v>
            </c:pt>
          </c:strCache>
        </c:strRef>
      </c:tx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#REF!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136036736"/>
        <c:axId val="136038656"/>
      </c:barChart>
      <c:catAx>
        <c:axId val="1360367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(%/Value)</a:t>
                </a:r>
              </a:p>
            </c:rich>
          </c:tx>
        </c:title>
        <c:numFmt formatCode="0.0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36038656"/>
        <c:crosses val="autoZero"/>
        <c:auto val="1"/>
        <c:lblAlgn val="ctr"/>
        <c:lblOffset val="100"/>
      </c:catAx>
      <c:valAx>
        <c:axId val="1360386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136036736"/>
        <c:crosses val="autoZero"/>
        <c:crossBetween val="between"/>
      </c:valAx>
    </c:plotArea>
    <c:plotVisOnly val="1"/>
  </c:chart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#REF!</c:f>
          <c:strCache>
            <c:ptCount val="1"/>
            <c:pt idx="0">
              <c:v>125-trimmed: %/Diode - NG</c:v>
            </c:pt>
          </c:strCache>
        </c:strRef>
      </c:tx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#REF!</c:f>
              <c:strCache>
                <c:ptCount val="1"/>
                <c:pt idx="0">
                  <c:v>%/Diode</c:v>
                </c:pt>
              </c:strCache>
            </c:strRef>
          </c:tx>
          <c:cat>
            <c:numRef>
              <c:f>#REF!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136071040"/>
        <c:axId val="136077312"/>
      </c:barChart>
      <c:catAx>
        <c:axId val="1360710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Diode %</a:t>
                </a:r>
              </a:p>
            </c:rich>
          </c:tx>
        </c:title>
        <c:numFmt formatCode="0.0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36077312"/>
        <c:crosses val="autoZero"/>
        <c:auto val="1"/>
        <c:lblAlgn val="ctr"/>
        <c:lblOffset val="100"/>
      </c:catAx>
      <c:valAx>
        <c:axId val="13607731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136071040"/>
        <c:crosses val="autoZero"/>
        <c:crossBetween val="between"/>
      </c:valAx>
    </c:plotArea>
    <c:plotVisOnly val="1"/>
  </c:chart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#REF!</c:f>
          <c:strCache>
            <c:ptCount val="1"/>
            <c:pt idx="0">
              <c:v>#REF!</c:v>
            </c:pt>
          </c:strCache>
        </c:strRef>
      </c:tx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#REF!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136092672"/>
        <c:axId val="136119424"/>
      </c:barChart>
      <c:catAx>
        <c:axId val="1360926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Compensation Value</a:t>
                </a:r>
              </a:p>
            </c:rich>
          </c:tx>
        </c:title>
        <c:numFmt formatCode="0" sourceLinked="0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36119424"/>
        <c:crosses val="autoZero"/>
        <c:auto val="1"/>
        <c:lblAlgn val="ctr"/>
        <c:lblOffset val="100"/>
      </c:catAx>
      <c:valAx>
        <c:axId val="13611942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136092672"/>
        <c:crosses val="autoZero"/>
        <c:crossBetween val="between"/>
      </c:valAx>
    </c:plotArea>
    <c:plotVisOnly val="1"/>
  </c:chart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#REF!</c:f>
          <c:strCache>
            <c:ptCount val="1"/>
            <c:pt idx="0">
              <c:v>#REF!</c:v>
            </c:pt>
          </c:strCache>
        </c:strRef>
      </c:tx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#REF!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136143616"/>
        <c:axId val="136145536"/>
      </c:barChart>
      <c:catAx>
        <c:axId val="1361436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Compensation Value</a:t>
                </a:r>
              </a:p>
            </c:rich>
          </c:tx>
        </c:title>
        <c:numFmt formatCode="0.0%" sourceLinked="0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36145536"/>
        <c:crosses val="autoZero"/>
        <c:auto val="1"/>
        <c:lblAlgn val="ctr"/>
        <c:lblOffset val="100"/>
      </c:catAx>
      <c:valAx>
        <c:axId val="1361455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136143616"/>
        <c:crosses val="autoZero"/>
        <c:crossBetween val="between"/>
      </c:valAx>
    </c:plotArea>
    <c:plotVisOnly val="1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#REF!</c:f>
          <c:strCache>
            <c:ptCount val="1"/>
            <c:pt idx="0">
              <c:v>#REF!</c:v>
            </c:pt>
          </c:strCache>
        </c:strRef>
      </c:tx>
      <c:txPr>
        <a:bodyPr/>
        <a:lstStyle/>
        <a:p>
          <a:pPr>
            <a:defRPr sz="11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cat>
            <c:numRef>
              <c:f>#REF!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136165632"/>
        <c:axId val="136176000"/>
      </c:barChart>
      <c:catAx>
        <c:axId val="1361656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Error (%/Value)</a:t>
                </a:r>
              </a:p>
            </c:rich>
          </c:tx>
        </c:title>
        <c:numFmt formatCode="0.00%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136176000"/>
        <c:crosses val="autoZero"/>
        <c:auto val="1"/>
        <c:lblAlgn val="ctr"/>
        <c:lblOffset val="100"/>
      </c:catAx>
      <c:valAx>
        <c:axId val="1361760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</c:title>
        <c:numFmt formatCode="General" sourceLinked="1"/>
        <c:tickLblPos val="nextTo"/>
        <c:crossAx val="136165632"/>
        <c:crosses val="autoZero"/>
        <c:crossBetween val="between"/>
      </c:valAx>
    </c:plotArea>
    <c:plotVisOnly val="1"/>
  </c:chart>
  <c:printSettings>
    <c:headerFooter/>
    <c:pageMargins b="0.75000000000000799" l="0.70000000000000062" r="0.70000000000000062" t="0.7500000000000079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Calculations!$AJ$37</c:f>
          <c:strCache>
            <c:ptCount val="1"/>
            <c:pt idx="0">
              <c:v>LS2LS: Standard RGB → XYZ Transform</c:v>
            </c:pt>
          </c:strCache>
        </c:strRef>
      </c:tx>
      <c:layout/>
      <c:txPr>
        <a:bodyPr/>
        <a:lstStyle/>
        <a:p>
          <a:pPr>
            <a:defRPr sz="16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cat>
            <c:numRef>
              <c:f>Calculations!$AO$41:$AO$46</c:f>
              <c:numCache>
                <c:formatCode>0%</c:formatCode>
                <c:ptCount val="6"/>
                <c:pt idx="0">
                  <c:v>0</c:v>
                </c:pt>
                <c:pt idx="1">
                  <c:v>0.48</c:v>
                </c:pt>
                <c:pt idx="2">
                  <c:v>0.96</c:v>
                </c:pt>
                <c:pt idx="3">
                  <c:v>1.44</c:v>
                </c:pt>
                <c:pt idx="4">
                  <c:v>1.92</c:v>
                </c:pt>
                <c:pt idx="5">
                  <c:v>2.4</c:v>
                </c:pt>
              </c:numCache>
            </c:numRef>
          </c:cat>
          <c:val>
            <c:numRef>
              <c:f>Calculations!$AP$41:$AP$46</c:f>
              <c:numCache>
                <c:formatCode>0%</c:formatCode>
                <c:ptCount val="6"/>
                <c:pt idx="0">
                  <c:v>0</c:v>
                </c:pt>
                <c:pt idx="1">
                  <c:v>0.70370370370370372</c:v>
                </c:pt>
                <c:pt idx="2">
                  <c:v>0.20370370370370369</c:v>
                </c:pt>
                <c:pt idx="3">
                  <c:v>5.5555555555555552E-2</c:v>
                </c:pt>
                <c:pt idx="4">
                  <c:v>0</c:v>
                </c:pt>
                <c:pt idx="5">
                  <c:v>3.7037037037037035E-2</c:v>
                </c:pt>
              </c:numCache>
            </c:numRef>
          </c:val>
        </c:ser>
        <c:axId val="136258304"/>
        <c:axId val="136260224"/>
      </c:barChart>
      <c:catAx>
        <c:axId val="136258304"/>
        <c:scaling>
          <c:orientation val="minMax"/>
        </c:scaling>
        <c:axPos val="b"/>
        <c:title>
          <c:tx>
            <c:strRef>
              <c:f>Calculations!$AJ$39</c:f>
              <c:strCache>
                <c:ptCount val="1"/>
                <c:pt idx="0">
                  <c:v>LS2LS Variation</c:v>
                </c:pt>
              </c:strCache>
            </c:strRef>
          </c:tx>
          <c:layout/>
        </c:title>
        <c:numFmt formatCode="0%" sourceLinked="1"/>
        <c:tickLblPos val="nextTo"/>
        <c:crossAx val="136260224"/>
        <c:crosses val="autoZero"/>
        <c:auto val="1"/>
        <c:lblAlgn val="ctr"/>
        <c:lblOffset val="100"/>
      </c:catAx>
      <c:valAx>
        <c:axId val="136260224"/>
        <c:scaling>
          <c:orientation val="minMax"/>
        </c:scaling>
        <c:axPos val="l"/>
        <c:majorGridlines/>
        <c:title>
          <c:tx>
            <c:strRef>
              <c:f>Calculations!$AJ$38</c:f>
              <c:strCache>
                <c:ptCount val="1"/>
                <c:pt idx="0">
                  <c:v>%/Population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%" sourceLinked="1"/>
        <c:tickLblPos val="nextTo"/>
        <c:crossAx val="136258304"/>
        <c:crosses val="autoZero"/>
        <c:crossBetween val="between"/>
      </c:valAx>
    </c:plotArea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txPr>
        <a:bodyPr/>
        <a:lstStyle/>
        <a:p>
          <a:pPr>
            <a:defRPr sz="14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data0!$C$4</c:f>
              <c:strCache>
                <c:ptCount val="1"/>
                <c:pt idx="0">
                  <c:v>G</c:v>
                </c:pt>
              </c:strCache>
            </c:strRef>
          </c:tx>
          <c:spPr>
            <a:ln w="28575">
              <a:noFill/>
            </a:ln>
          </c:spPr>
          <c:yVal>
            <c:numRef>
              <c:f>data0!$F$4:$AK$4</c:f>
              <c:numCache>
                <c:formatCode>0.0</c:formatCode>
                <c:ptCount val="32"/>
                <c:pt idx="0">
                  <c:v>31.843671798706055</c:v>
                </c:pt>
                <c:pt idx="1">
                  <c:v>29.537651062011719</c:v>
                </c:pt>
                <c:pt idx="2">
                  <c:v>27.666513442993164</c:v>
                </c:pt>
                <c:pt idx="3">
                  <c:v>32.204166412353516</c:v>
                </c:pt>
                <c:pt idx="4">
                  <c:v>32.158390045166016</c:v>
                </c:pt>
                <c:pt idx="5">
                  <c:v>33.617530822753906</c:v>
                </c:pt>
                <c:pt idx="6">
                  <c:v>31.683450698852539</c:v>
                </c:pt>
                <c:pt idx="7">
                  <c:v>30.384527206420898</c:v>
                </c:pt>
                <c:pt idx="8">
                  <c:v>29.554817199707031</c:v>
                </c:pt>
                <c:pt idx="9">
                  <c:v>28.925382614135742</c:v>
                </c:pt>
                <c:pt idx="10">
                  <c:v>29.509040832519531</c:v>
                </c:pt>
                <c:pt idx="11">
                  <c:v>31.094072341918945</c:v>
                </c:pt>
                <c:pt idx="12">
                  <c:v>29.92103385925293</c:v>
                </c:pt>
                <c:pt idx="13">
                  <c:v>31.872282028198242</c:v>
                </c:pt>
                <c:pt idx="14">
                  <c:v>31.334402084350586</c:v>
                </c:pt>
                <c:pt idx="15">
                  <c:v>33.623252868652344</c:v>
                </c:pt>
                <c:pt idx="16">
                  <c:v>31.0311279296875</c:v>
                </c:pt>
                <c:pt idx="17">
                  <c:v>30.973907470703125</c:v>
                </c:pt>
                <c:pt idx="18">
                  <c:v>31.414510726928711</c:v>
                </c:pt>
                <c:pt idx="19">
                  <c:v>33.360034942626953</c:v>
                </c:pt>
                <c:pt idx="20">
                  <c:v>37.022201538085938</c:v>
                </c:pt>
                <c:pt idx="21">
                  <c:v>31.895170211791992</c:v>
                </c:pt>
                <c:pt idx="22">
                  <c:v>28.610666275024414</c:v>
                </c:pt>
                <c:pt idx="23">
                  <c:v>30.579080581665039</c:v>
                </c:pt>
                <c:pt idx="24">
                  <c:v>33.148319244384766</c:v>
                </c:pt>
                <c:pt idx="25">
                  <c:v>30.310138702392578</c:v>
                </c:pt>
                <c:pt idx="26">
                  <c:v>29.800868988037109</c:v>
                </c:pt>
                <c:pt idx="27">
                  <c:v>31.059738159179688</c:v>
                </c:pt>
                <c:pt idx="28">
                  <c:v>31.969558715820312</c:v>
                </c:pt>
                <c:pt idx="29">
                  <c:v>34.401466369628906</c:v>
                </c:pt>
                <c:pt idx="30">
                  <c:v>31.631952285766602</c:v>
                </c:pt>
                <c:pt idx="31">
                  <c:v>29.989700317382813</c:v>
                </c:pt>
              </c:numCache>
            </c:numRef>
          </c:yVal>
        </c:ser>
        <c:axId val="138124672"/>
        <c:axId val="138126464"/>
      </c:scatterChart>
      <c:valAx>
        <c:axId val="138124672"/>
        <c:scaling>
          <c:orientation val="minMax"/>
        </c:scaling>
        <c:axPos val="b"/>
        <c:tickLblPos val="nextTo"/>
        <c:crossAx val="138126464"/>
        <c:crosses val="autoZero"/>
        <c:crossBetween val="midCat"/>
      </c:valAx>
      <c:valAx>
        <c:axId val="138126464"/>
        <c:scaling>
          <c:orientation val="minMax"/>
        </c:scaling>
        <c:axPos val="l"/>
        <c:majorGridlines/>
        <c:numFmt formatCode="0.0" sourceLinked="1"/>
        <c:tickLblPos val="nextTo"/>
        <c:crossAx val="138124672"/>
        <c:crosses val="autoZero"/>
        <c:crossBetween val="midCat"/>
      </c:valAx>
    </c:plotArea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data0!$F$174</c:f>
              <c:strCache>
                <c:ptCount val="1"/>
                <c:pt idx="0">
                  <c:v>HZ</c:v>
                </c:pt>
              </c:strCache>
            </c:strRef>
          </c:tx>
          <c:marker>
            <c:symbol val="none"/>
          </c:marker>
          <c:xVal>
            <c:numRef>
              <c:f>data0!$E$175:$E$302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data0!$F$175:$F$302</c:f>
              <c:numCache>
                <c:formatCode>General</c:formatCode>
                <c:ptCount val="128"/>
                <c:pt idx="0">
                  <c:v>26.108869197894712</c:v>
                </c:pt>
                <c:pt idx="1">
                  <c:v>26.495433744482067</c:v>
                </c:pt>
                <c:pt idx="2">
                  <c:v>26.8936171682038</c:v>
                </c:pt>
                <c:pt idx="3">
                  <c:v>27.303951300293502</c:v>
                </c:pt>
                <c:pt idx="4">
                  <c:v>27.727000932929585</c:v>
                </c:pt>
                <c:pt idx="5">
                  <c:v>28.163366412919764</c:v>
                </c:pt>
                <c:pt idx="6">
                  <c:v>28.613686484216945</c:v>
                </c:pt>
                <c:pt idx="7">
                  <c:v>29.078641407569965</c:v>
                </c:pt>
                <c:pt idx="8">
                  <c:v>29.558956389352812</c:v>
                </c:pt>
                <c:pt idx="9">
                  <c:v>30.055405355921359</c:v>
                </c:pt>
                <c:pt idx="10">
                  <c:v>30.568815114813951</c:v>
                </c:pt>
                <c:pt idx="11">
                  <c:v>31.100069949856561</c:v>
                </c:pt>
                <c:pt idx="12">
                  <c:v>31.650116703891751</c:v>
                </c:pt>
                <c:pt idx="13">
                  <c:v>32.219970410588502</c:v>
                </c:pt>
                <c:pt idx="14">
                  <c:v>32.810720545804244</c:v>
                </c:pt>
                <c:pt idx="15">
                  <c:v>33.423537979500239</c:v>
                </c:pt>
                <c:pt idx="16">
                  <c:v>34.05968272154513</c:v>
                </c:pt>
                <c:pt idx="17">
                  <c:v>34.720512569228056</c:v>
                </c:pt>
                <c:pt idx="18">
                  <c:v>35.407492781370379</c:v>
                </c:pt>
                <c:pt idx="19">
                  <c:v>36.122206924091728</c:v>
                </c:pt>
                <c:pt idx="20">
                  <c:v>36.866369057193232</c:v>
                </c:pt>
                <c:pt idx="21">
                  <c:v>37.641837458553134</c:v>
                </c:pt>
                <c:pt idx="22">
                  <c:v>38.450630117860612</c:v>
                </c:pt>
                <c:pt idx="23">
                  <c:v>39.294942271650015</c:v>
                </c:pt>
                <c:pt idx="24">
                  <c:v>40.177166300444974</c:v>
                </c:pt>
                <c:pt idx="25">
                  <c:v>41.099914367766047</c:v>
                </c:pt>
                <c:pt idx="26">
                  <c:v>42.066044252170137</c:v>
                </c:pt>
                <c:pt idx="27">
                  <c:v>43.078688910376613</c:v>
                </c:pt>
                <c:pt idx="28">
                  <c:v>44.141290415710799</c:v>
                </c:pt>
                <c:pt idx="29">
                  <c:v>45.257639046437852</c:v>
                </c:pt>
                <c:pt idx="30">
                  <c:v>46.431918459340253</c:v>
                </c:pt>
                <c:pt idx="31">
                  <c:v>47.668758083217014</c:v>
                </c:pt>
                <c:pt idx="32">
                  <c:v>48.973294115402339</c:v>
                </c:pt>
                <c:pt idx="33">
                  <c:v>50.35124081572728</c:v>
                </c:pt>
                <c:pt idx="34">
                  <c:v>51.808974184794337</c:v>
                </c:pt>
                <c:pt idx="35">
                  <c:v>53.353630611185906</c:v>
                </c:pt>
                <c:pt idx="36">
                  <c:v>54.993223707644759</c:v>
                </c:pt>
                <c:pt idx="37">
                  <c:v>56.736783372994687</c:v>
                </c:pt>
                <c:pt idx="38">
                  <c:v>58.594522173980877</c:v>
                </c:pt>
                <c:pt idx="39">
                  <c:v>60.5780355207743</c:v>
                </c:pt>
                <c:pt idx="40">
                  <c:v>62.700543924480321</c:v>
                </c:pt>
                <c:pt idx="41">
                  <c:v>64.977188032575114</c:v>
                </c:pt>
                <c:pt idx="42">
                  <c:v>67.425390362190626</c:v>
                </c:pt>
                <c:pt idx="43">
                  <c:v>70.065302011231452</c:v>
                </c:pt>
                <c:pt idx="44">
                  <c:v>72.920358586362852</c:v>
                </c:pt>
                <c:pt idx="45">
                  <c:v>76.017977824204692</c:v>
                </c:pt>
                <c:pt idx="46">
                  <c:v>79.390442908318818</c:v>
                </c:pt>
                <c:pt idx="47">
                  <c:v>83.076031826640346</c:v>
                </c:pt>
                <c:pt idx="48">
                  <c:v>87.120476616387222</c:v>
                </c:pt>
                <c:pt idx="49">
                  <c:v>91.578870670487703</c:v>
                </c:pt>
                <c:pt idx="50">
                  <c:v>96.518193269466337</c:v>
                </c:pt>
                <c:pt idx="51">
                  <c:v>102.02069765504993</c:v>
                </c:pt>
                <c:pt idx="52">
                  <c:v>108.18852809341979</c:v>
                </c:pt>
                <c:pt idx="53">
                  <c:v>115.15011949942948</c:v>
                </c:pt>
                <c:pt idx="54">
                  <c:v>123.06923775531085</c:v>
                </c:pt>
                <c:pt idx="55">
                  <c:v>132.15802584964123</c:v>
                </c:pt>
                <c:pt idx="56">
                  <c:v>142.69629180213664</c:v>
                </c:pt>
                <c:pt idx="57">
                  <c:v>155.06082429848047</c:v>
                </c:pt>
                <c:pt idx="58">
                  <c:v>169.77139531479011</c:v>
                </c:pt>
                <c:pt idx="59">
                  <c:v>187.56569285905718</c:v>
                </c:pt>
                <c:pt idx="60">
                  <c:v>209.52689488747245</c:v>
                </c:pt>
                <c:pt idx="61">
                  <c:v>237.31275048794689</c:v>
                </c:pt>
                <c:pt idx="62">
                  <c:v>273.5948023738535</c:v>
                </c:pt>
                <c:pt idx="63">
                  <c:v>322.97323504344911</c:v>
                </c:pt>
                <c:pt idx="64">
                  <c:v>-2146.2206163702108</c:v>
                </c:pt>
                <c:pt idx="65">
                  <c:v>-975.85374502458274</c:v>
                </c:pt>
                <c:pt idx="66">
                  <c:v>-631.49168652754804</c:v>
                </c:pt>
                <c:pt idx="67">
                  <c:v>-466.77484514728212</c:v>
                </c:pt>
                <c:pt idx="68">
                  <c:v>-370.21009428929574</c:v>
                </c:pt>
                <c:pt idx="69">
                  <c:v>-306.75060063100938</c:v>
                </c:pt>
                <c:pt idx="70">
                  <c:v>-261.86334467297348</c:v>
                </c:pt>
                <c:pt idx="71">
                  <c:v>-228.43597967768443</c:v>
                </c:pt>
                <c:pt idx="72">
                  <c:v>-202.57667350675581</c:v>
                </c:pt>
                <c:pt idx="73">
                  <c:v>-181.97663679817904</c:v>
                </c:pt>
                <c:pt idx="74">
                  <c:v>-165.17951941738758</c:v>
                </c:pt>
                <c:pt idx="75">
                  <c:v>-151.22123912018867</c:v>
                </c:pt>
                <c:pt idx="76">
                  <c:v>-139.43819586582038</c:v>
                </c:pt>
                <c:pt idx="77">
                  <c:v>-129.3586674677708</c:v>
                </c:pt>
                <c:pt idx="78">
                  <c:v>-120.63813370700971</c:v>
                </c:pt>
                <c:pt idx="79">
                  <c:v>-113.01910847752576</c:v>
                </c:pt>
                <c:pt idx="80">
                  <c:v>-106.30528878867366</c:v>
                </c:pt>
                <c:pt idx="81">
                  <c:v>-100.34440107107984</c:v>
                </c:pt>
                <c:pt idx="82">
                  <c:v>-95.016512240372975</c:v>
                </c:pt>
                <c:pt idx="83">
                  <c:v>-90.225876826219377</c:v>
                </c:pt>
                <c:pt idx="84">
                  <c:v>-85.895132075423518</c:v>
                </c:pt>
                <c:pt idx="85">
                  <c:v>-81.961088259659903</c:v>
                </c:pt>
                <c:pt idx="86">
                  <c:v>-78.371625157028859</c:v>
                </c:pt>
                <c:pt idx="87">
                  <c:v>-75.083369823605224</c:v>
                </c:pt>
                <c:pt idx="88">
                  <c:v>-72.059935429738388</c:v>
                </c:pt>
                <c:pt idx="89">
                  <c:v>-69.270569133410589</c:v>
                </c:pt>
                <c:pt idx="90">
                  <c:v>-66.689102287195581</c:v>
                </c:pt>
                <c:pt idx="91">
                  <c:v>-64.293126944102255</c:v>
                </c:pt>
                <c:pt idx="92">
                  <c:v>-62.063343723580843</c:v>
                </c:pt>
                <c:pt idx="93">
                  <c:v>-59.983040830910838</c:v>
                </c:pt>
                <c:pt idx="94">
                  <c:v>-58.037674455060397</c:v>
                </c:pt>
                <c:pt idx="95">
                  <c:v>-56.21452825269688</c:v>
                </c:pt>
                <c:pt idx="96">
                  <c:v>-54.502435057582119</c:v>
                </c:pt>
                <c:pt idx="97">
                  <c:v>-52.891547941313121</c:v>
                </c:pt>
                <c:pt idx="98">
                  <c:v>-51.37315070804631</c:v>
                </c:pt>
                <c:pt idx="99">
                  <c:v>-49.93950011992294</c:v>
                </c:pt>
                <c:pt idx="100">
                  <c:v>-48.583693823003635</c:v>
                </c:pt>
                <c:pt idx="101">
                  <c:v>-47.299559218610256</c:v>
                </c:pt>
                <c:pt idx="102">
                  <c:v>-46.081559504554093</c:v>
                </c:pt>
                <c:pt idx="103">
                  <c:v>-44.924713868983197</c:v>
                </c:pt>
                <c:pt idx="104">
                  <c:v>-43.824529410713673</c:v>
                </c:pt>
                <c:pt idx="105">
                  <c:v>-42.776942823866328</c:v>
                </c:pt>
                <c:pt idx="106">
                  <c:v>-41.778270251103017</c:v>
                </c:pt>
                <c:pt idx="107">
                  <c:v>-40.82516400098546</c:v>
                </c:pt>
                <c:pt idx="108">
                  <c:v>-39.914575057746013</c:v>
                </c:pt>
                <c:pt idx="109">
                  <c:v>-39.043720498820079</c:v>
                </c:pt>
                <c:pt idx="110">
                  <c:v>-38.210055086603148</c:v>
                </c:pt>
                <c:pt idx="111">
                  <c:v>-37.41124642357623</c:v>
                </c:pt>
                <c:pt idx="112">
                  <c:v>-36.645153160014523</c:v>
                </c:pt>
                <c:pt idx="113">
                  <c:v>-35.909805825492619</c:v>
                </c:pt>
                <c:pt idx="114">
                  <c:v>-35.20338992287958</c:v>
                </c:pt>
                <c:pt idx="115">
                  <c:v>-34.524230979281597</c:v>
                </c:pt>
                <c:pt idx="116">
                  <c:v>-33.87078129465435</c:v>
                </c:pt>
                <c:pt idx="117">
                  <c:v>-33.24160816733734</c:v>
                </c:pt>
                <c:pt idx="118">
                  <c:v>-32.635383407968661</c:v>
                </c:pt>
                <c:pt idx="119">
                  <c:v>-32.050873980253108</c:v>
                </c:pt>
                <c:pt idx="120">
                  <c:v>-31.486933629793665</c:v>
                </c:pt>
                <c:pt idx="121">
                  <c:v>-30.942495381394448</c:v>
                </c:pt>
                <c:pt idx="122">
                  <c:v>-30.416564801505157</c:v>
                </c:pt>
                <c:pt idx="123">
                  <c:v>-29.908213936292608</c:v>
                </c:pt>
                <c:pt idx="124">
                  <c:v>-29.416575847596398</c:v>
                </c:pt>
                <c:pt idx="125">
                  <c:v>-28.940839679084416</c:v>
                </c:pt>
                <c:pt idx="126">
                  <c:v>-28.48024619354112</c:v>
                </c:pt>
                <c:pt idx="127">
                  <c:v>-28.034083729624356</c:v>
                </c:pt>
              </c:numCache>
            </c:numRef>
          </c:yVal>
        </c:ser>
        <c:ser>
          <c:idx val="1"/>
          <c:order val="1"/>
          <c:tx>
            <c:strRef>
              <c:f>data0!$G$174</c:f>
              <c:strCache>
                <c:ptCount val="1"/>
                <c:pt idx="0">
                  <c:v>A</c:v>
                </c:pt>
              </c:strCache>
            </c:strRef>
          </c:tx>
          <c:marker>
            <c:symbol val="none"/>
          </c:marker>
          <c:xVal>
            <c:numRef>
              <c:f>data0!$E$175:$E$302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data0!$G$175:$G$302</c:f>
              <c:numCache>
                <c:formatCode>General</c:formatCode>
                <c:ptCount val="128"/>
                <c:pt idx="0">
                  <c:v>45.130680520680571</c:v>
                </c:pt>
                <c:pt idx="1">
                  <c:v>45.71738626693918</c:v>
                </c:pt>
                <c:pt idx="2">
                  <c:v>46.31954746522856</c:v>
                </c:pt>
                <c:pt idx="3">
                  <c:v>46.937782975822643</c:v>
                </c:pt>
                <c:pt idx="4">
                  <c:v>47.572745146121335</c:v>
                </c:pt>
                <c:pt idx="5">
                  <c:v>48.225122106737174</c:v>
                </c:pt>
                <c:pt idx="6">
                  <c:v>48.895640259129671</c:v>
                </c:pt>
                <c:pt idx="7">
                  <c:v>49.585066973692911</c:v>
                </c:pt>
                <c:pt idx="8">
                  <c:v>50.294213519365222</c:v>
                </c:pt>
                <c:pt idx="9">
                  <c:v>51.023938248275222</c:v>
                </c:pt>
                <c:pt idx="10">
                  <c:v>51.775150061707926</c:v>
                </c:pt>
                <c:pt idx="11">
                  <c:v>52.548812186816981</c:v>
                </c:pt>
                <c:pt idx="12">
                  <c:v>53.345946297079564</c:v>
                </c:pt>
                <c:pt idx="13">
                  <c:v>54.167637013557098</c:v>
                </c:pt>
                <c:pt idx="14">
                  <c:v>55.015036828662758</c:v>
                </c:pt>
                <c:pt idx="15">
                  <c:v>55.889371499439385</c:v>
                </c:pt>
                <c:pt idx="16">
                  <c:v>56.791945963423458</c:v>
                </c:pt>
                <c:pt idx="17">
                  <c:v>57.724150837140641</c:v>
                </c:pt>
                <c:pt idx="18">
                  <c:v>58.687469565295018</c:v>
                </c:pt>
                <c:pt idx="19">
                  <c:v>59.683486297954715</c:v>
                </c:pt>
                <c:pt idx="20">
                  <c:v>60.713894583713838</c:v>
                </c:pt>
                <c:pt idx="21">
                  <c:v>61.780506979175108</c:v>
                </c:pt>
                <c:pt idx="22">
                  <c:v>62.885265689452915</c:v>
                </c:pt>
                <c:pt idx="23">
                  <c:v>64.030254371103297</c:v>
                </c:pt>
                <c:pt idx="24">
                  <c:v>65.217711248383665</c:v>
                </c:pt>
                <c:pt idx="25">
                  <c:v>66.450043716555385</c:v>
                </c:pt>
                <c:pt idx="26">
                  <c:v>67.729844632708833</c:v>
                </c:pt>
                <c:pt idx="27">
                  <c:v>69.05991052608519</c:v>
                </c:pt>
                <c:pt idx="28">
                  <c:v>70.443261997043635</c:v>
                </c:pt>
                <c:pt idx="29">
                  <c:v>71.883166617834746</c:v>
                </c:pt>
                <c:pt idx="30">
                  <c:v>73.383164700619901</c:v>
                </c:pt>
                <c:pt idx="31">
                  <c:v>74.947098360480979</c:v>
                </c:pt>
                <c:pt idx="32">
                  <c:v>76.579144375682034</c:v>
                </c:pt>
                <c:pt idx="33">
                  <c:v>78.283851436890089</c:v>
                </c:pt>
                <c:pt idx="34">
                  <c:v>80.066182484835494</c:v>
                </c:pt>
                <c:pt idx="35">
                  <c:v>81.931562966264579</c:v>
                </c:pt>
                <c:pt idx="36">
                  <c:v>83.885935996397819</c:v>
                </c:pt>
                <c:pt idx="37">
                  <c:v>85.935825609295762</c:v>
                </c:pt>
                <c:pt idx="38">
                  <c:v>88.088409514275625</c:v>
                </c:pt>
                <c:pt idx="39">
                  <c:v>90.351603068004337</c:v>
                </c:pt>
                <c:pt idx="40">
                  <c:v>92.734156532554479</c:v>
                </c:pt>
                <c:pt idx="41">
                  <c:v>95.245768138281036</c:v>
                </c:pt>
                <c:pt idx="42">
                  <c:v>97.89721603133772</c:v>
                </c:pt>
                <c:pt idx="43">
                  <c:v>100.70051289117713</c:v>
                </c:pt>
                <c:pt idx="44">
                  <c:v>103.66908789609361</c:v>
                </c:pt>
                <c:pt idx="45">
                  <c:v>106.81800185162149</c:v>
                </c:pt>
                <c:pt idx="46">
                  <c:v>110.16420275385086</c:v>
                </c:pt>
                <c:pt idx="47">
                  <c:v>113.72683094110562</c:v>
                </c:pt>
                <c:pt idx="48">
                  <c:v>117.52758543469727</c:v>
                </c:pt>
                <c:pt idx="49">
                  <c:v>121.59116627827616</c:v>
                </c:pt>
                <c:pt idx="50">
                  <c:v>125.94581192838652</c:v>
                </c:pt>
                <c:pt idx="51">
                  <c:v>130.62395641036977</c:v>
                </c:pt>
                <c:pt idx="52">
                  <c:v>135.66303858094145</c:v>
                </c:pt>
                <c:pt idx="53">
                  <c:v>141.1065062203123</c:v>
                </c:pt>
                <c:pt idx="54">
                  <c:v>147.00507196401</c:v>
                </c:pt>
                <c:pt idx="55">
                  <c:v>153.4182979815063</c:v>
                </c:pt>
                <c:pt idx="56">
                  <c:v>160.41661437426009</c:v>
                </c:pt>
                <c:pt idx="57">
                  <c:v>168.08391640410599</c:v>
                </c:pt>
                <c:pt idx="58">
                  <c:v>176.52094393404877</c:v>
                </c:pt>
                <c:pt idx="59">
                  <c:v>185.84973245029084</c:v>
                </c:pt>
                <c:pt idx="60">
                  <c:v>196.21955420117584</c:v>
                </c:pt>
                <c:pt idx="61">
                  <c:v>207.81496585254058</c:v>
                </c:pt>
                <c:pt idx="62">
                  <c:v>220.8668887651919</c:v>
                </c:pt>
                <c:pt idx="63">
                  <c:v>235.66814449937229</c:v>
                </c:pt>
                <c:pt idx="64">
                  <c:v>-3414.579184474238</c:v>
                </c:pt>
                <c:pt idx="65">
                  <c:v>-1732.438958827342</c:v>
                </c:pt>
                <c:pt idx="66">
                  <c:v>-1160.6583629926508</c:v>
                </c:pt>
                <c:pt idx="67">
                  <c:v>-872.64677615851986</c:v>
                </c:pt>
                <c:pt idx="68">
                  <c:v>-699.1549585245865</c:v>
                </c:pt>
                <c:pt idx="69">
                  <c:v>-583.20697105718932</c:v>
                </c:pt>
                <c:pt idx="70">
                  <c:v>-500.24607034698425</c:v>
                </c:pt>
                <c:pt idx="71">
                  <c:v>-437.94816267001676</c:v>
                </c:pt>
                <c:pt idx="72">
                  <c:v>-389.44839150341016</c:v>
                </c:pt>
                <c:pt idx="73">
                  <c:v>-350.61965659616698</c:v>
                </c:pt>
                <c:pt idx="74">
                  <c:v>-318.83155291353626</c:v>
                </c:pt>
                <c:pt idx="75">
                  <c:v>-292.32829771306444</c:v>
                </c:pt>
                <c:pt idx="76">
                  <c:v>-269.89310932611488</c:v>
                </c:pt>
                <c:pt idx="77">
                  <c:v>-250.65611704630871</c:v>
                </c:pt>
                <c:pt idx="78">
                  <c:v>-233.97895419912012</c:v>
                </c:pt>
                <c:pt idx="79">
                  <c:v>-219.38254808182657</c:v>
                </c:pt>
                <c:pt idx="80">
                  <c:v>-206.50035105806313</c:v>
                </c:pt>
                <c:pt idx="81">
                  <c:v>-195.04713543295011</c:v>
                </c:pt>
                <c:pt idx="82">
                  <c:v>-184.79762709422431</c:v>
                </c:pt>
                <c:pt idx="83">
                  <c:v>-175.57153949200551</c:v>
                </c:pt>
                <c:pt idx="84">
                  <c:v>-167.22287754444963</c:v>
                </c:pt>
                <c:pt idx="85">
                  <c:v>-159.63215470058117</c:v>
                </c:pt>
                <c:pt idx="86">
                  <c:v>-152.70063769841423</c:v>
                </c:pt>
                <c:pt idx="87">
                  <c:v>-146.34602834315689</c:v>
                </c:pt>
                <c:pt idx="88">
                  <c:v>-140.49918042055833</c:v>
                </c:pt>
                <c:pt idx="89">
                  <c:v>-135.10157337530927</c:v>
                </c:pt>
                <c:pt idx="90">
                  <c:v>-130.10334677319369</c:v>
                </c:pt>
                <c:pt idx="91">
                  <c:v>-125.46175550060931</c:v>
                </c:pt>
                <c:pt idx="92">
                  <c:v>-121.13994424876913</c:v>
                </c:pt>
                <c:pt idx="93">
                  <c:v>-117.10596685700705</c:v>
                </c:pt>
                <c:pt idx="94">
                  <c:v>-113.33199527770141</c:v>
                </c:pt>
                <c:pt idx="95">
                  <c:v>-109.79367672181134</c:v>
                </c:pt>
                <c:pt idx="96">
                  <c:v>-106.46960758123102</c:v>
                </c:pt>
                <c:pt idx="97">
                  <c:v>-103.34090010679986</c:v>
                </c:pt>
                <c:pt idx="98">
                  <c:v>-100.39082330667411</c:v>
                </c:pt>
                <c:pt idx="99">
                  <c:v>-97.604503645298877</c:v>
                </c:pt>
                <c:pt idx="100">
                  <c:v>-94.968674238490408</c:v>
                </c:pt>
                <c:pt idx="101">
                  <c:v>-92.471463618157557</c:v>
                </c:pt>
                <c:pt idx="102">
                  <c:v>-90.102216969861374</c:v>
                </c:pt>
                <c:pt idx="103">
                  <c:v>-87.85134416471108</c:v>
                </c:pt>
                <c:pt idx="104">
                  <c:v>-85.710190014287065</c:v>
                </c:pt>
                <c:pt idx="105">
                  <c:v>-83.670923047388627</c:v>
                </c:pt>
                <c:pt idx="106">
                  <c:v>-81.726439795520434</c:v>
                </c:pt>
                <c:pt idx="107">
                  <c:v>-79.870282121494611</c:v>
                </c:pt>
                <c:pt idx="108">
                  <c:v>-78.096565563566003</c:v>
                </c:pt>
                <c:pt idx="109">
                  <c:v>-76.39991701991292</c:v>
                </c:pt>
                <c:pt idx="110">
                  <c:v>-74.775420383233083</c:v>
                </c:pt>
                <c:pt idx="111">
                  <c:v>-73.218568966783906</c:v>
                </c:pt>
                <c:pt idx="112">
                  <c:v>-71.725223752253143</c:v>
                </c:pt>
                <c:pt idx="113">
                  <c:v>-70.29157664489037</c:v>
                </c:pt>
                <c:pt idx="114">
                  <c:v>-68.914118049031359</c:v>
                </c:pt>
                <c:pt idx="115">
                  <c:v>-67.589608182757829</c:v>
                </c:pt>
                <c:pt idx="116">
                  <c:v>-66.315051638122952</c:v>
                </c:pt>
                <c:pt idx="117">
                  <c:v>-65.087674766454469</c:v>
                </c:pt>
                <c:pt idx="118">
                  <c:v>-63.904905529374943</c:v>
                </c:pt>
                <c:pt idx="119">
                  <c:v>-62.764355507489036</c:v>
                </c:pt>
                <c:pt idx="120">
                  <c:v>-61.663803801900528</c:v>
                </c:pt>
                <c:pt idx="121">
                  <c:v>-60.601182600231262</c:v>
                </c:pt>
                <c:pt idx="122">
                  <c:v>-59.574564209759139</c:v>
                </c:pt>
                <c:pt idx="123">
                  <c:v>-58.582149386596321</c:v>
                </c:pt>
                <c:pt idx="124">
                  <c:v>-57.622256812254861</c:v>
                </c:pt>
                <c:pt idx="125">
                  <c:v>-56.693313588118109</c:v>
                </c:pt>
                <c:pt idx="126">
                  <c:v>-55.793846634771121</c:v>
                </c:pt>
                <c:pt idx="127">
                  <c:v>-54.922474897267406</c:v>
                </c:pt>
              </c:numCache>
            </c:numRef>
          </c:yVal>
        </c:ser>
        <c:ser>
          <c:idx val="2"/>
          <c:order val="2"/>
          <c:tx>
            <c:strRef>
              <c:f>data0!$H$174</c:f>
              <c:strCache>
                <c:ptCount val="1"/>
                <c:pt idx="0">
                  <c:v>U30</c:v>
                </c:pt>
              </c:strCache>
            </c:strRef>
          </c:tx>
          <c:marker>
            <c:symbol val="none"/>
          </c:marker>
          <c:xVal>
            <c:numRef>
              <c:f>data0!$E$175:$E$302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data0!$H$175:$H$302</c:f>
              <c:numCache>
                <c:formatCode>General</c:formatCode>
                <c:ptCount val="128"/>
                <c:pt idx="0">
                  <c:v>192.28388373164356</c:v>
                </c:pt>
                <c:pt idx="1">
                  <c:v>192.56754764502986</c:v>
                </c:pt>
                <c:pt idx="2">
                  <c:v>192.85204973678734</c:v>
                </c:pt>
                <c:pt idx="3">
                  <c:v>193.13739372742344</c:v>
                </c:pt>
                <c:pt idx="4">
                  <c:v>193.42358335949771</c:v>
                </c:pt>
                <c:pt idx="5">
                  <c:v>193.71062239778533</c:v>
                </c:pt>
                <c:pt idx="6">
                  <c:v>193.99851462944233</c:v>
                </c:pt>
                <c:pt idx="7">
                  <c:v>194.28726386417208</c:v>
                </c:pt>
                <c:pt idx="8">
                  <c:v>194.57687393439343</c:v>
                </c:pt>
                <c:pt idx="9">
                  <c:v>194.86734869541007</c:v>
                </c:pt>
                <c:pt idx="10">
                  <c:v>195.15869202558181</c:v>
                </c:pt>
                <c:pt idx="11">
                  <c:v>195.45090782649706</c:v>
                </c:pt>
                <c:pt idx="12">
                  <c:v>195.74400002314707</c:v>
                </c:pt>
                <c:pt idx="13">
                  <c:v>196.03797256410161</c:v>
                </c:pt>
                <c:pt idx="14">
                  <c:v>196.33282942168631</c:v>
                </c:pt>
                <c:pt idx="15">
                  <c:v>196.62857459216161</c:v>
                </c:pt>
                <c:pt idx="16">
                  <c:v>196.9252120959033</c:v>
                </c:pt>
                <c:pt idx="17">
                  <c:v>197.22274597758462</c:v>
                </c:pt>
                <c:pt idx="18">
                  <c:v>197.52118030636018</c:v>
                </c:pt>
                <c:pt idx="19">
                  <c:v>197.82051917605145</c:v>
                </c:pt>
                <c:pt idx="20">
                  <c:v>198.12076670533395</c:v>
                </c:pt>
                <c:pt idx="21">
                  <c:v>198.42192703792605</c:v>
                </c:pt>
                <c:pt idx="22">
                  <c:v>198.72400434277981</c:v>
                </c:pt>
                <c:pt idx="23">
                  <c:v>199.02700281427317</c:v>
                </c:pt>
                <c:pt idx="24">
                  <c:v>199.33092667240413</c:v>
                </c:pt>
                <c:pt idx="25">
                  <c:v>199.63578016298669</c:v>
                </c:pt>
                <c:pt idx="26">
                  <c:v>199.9415675578486</c:v>
                </c:pt>
                <c:pt idx="27">
                  <c:v>200.24829315503078</c:v>
                </c:pt>
                <c:pt idx="28">
                  <c:v>200.55596127898878</c:v>
                </c:pt>
                <c:pt idx="29">
                  <c:v>200.86457628079594</c:v>
                </c:pt>
                <c:pt idx="30">
                  <c:v>201.17414253834872</c:v>
                </c:pt>
                <c:pt idx="31">
                  <c:v>201.48466445657337</c:v>
                </c:pt>
                <c:pt idx="32">
                  <c:v>201.79614646763514</c:v>
                </c:pt>
                <c:pt idx="33">
                  <c:v>202.10859303114904</c:v>
                </c:pt>
                <c:pt idx="34">
                  <c:v>202.42200863439268</c:v>
                </c:pt>
                <c:pt idx="35">
                  <c:v>202.73639779252113</c:v>
                </c:pt>
                <c:pt idx="36">
                  <c:v>203.05176504878369</c:v>
                </c:pt>
                <c:pt idx="37">
                  <c:v>203.36811497474275</c:v>
                </c:pt>
                <c:pt idx="38">
                  <c:v>203.68545217049473</c:v>
                </c:pt>
                <c:pt idx="39">
                  <c:v>204.00378126489306</c:v>
                </c:pt>
                <c:pt idx="40">
                  <c:v>204.32310691577314</c:v>
                </c:pt>
                <c:pt idx="41">
                  <c:v>204.64343381017969</c:v>
                </c:pt>
                <c:pt idx="42">
                  <c:v>204.96476666459589</c:v>
                </c:pt>
                <c:pt idx="43">
                  <c:v>205.28711022517501</c:v>
                </c:pt>
                <c:pt idx="44">
                  <c:v>205.61046926797397</c:v>
                </c:pt>
                <c:pt idx="45">
                  <c:v>205.93484859918937</c:v>
                </c:pt>
                <c:pt idx="46">
                  <c:v>206.26025305539548</c:v>
                </c:pt>
                <c:pt idx="47">
                  <c:v>206.5866875037847</c:v>
                </c:pt>
                <c:pt idx="48">
                  <c:v>206.91415684241016</c:v>
                </c:pt>
                <c:pt idx="49">
                  <c:v>207.24266600043077</c:v>
                </c:pt>
                <c:pt idx="50">
                  <c:v>207.57221993835856</c:v>
                </c:pt>
                <c:pt idx="51">
                  <c:v>207.90282364830827</c:v>
                </c:pt>
                <c:pt idx="52">
                  <c:v>208.23448215424941</c:v>
                </c:pt>
                <c:pt idx="53">
                  <c:v>208.56720051226094</c:v>
                </c:pt>
                <c:pt idx="54">
                  <c:v>208.90098381078801</c:v>
                </c:pt>
                <c:pt idx="55">
                  <c:v>209.23583717090139</c:v>
                </c:pt>
                <c:pt idx="56">
                  <c:v>209.57176574655946</c:v>
                </c:pt>
                <c:pt idx="57">
                  <c:v>209.90877472487261</c:v>
                </c:pt>
                <c:pt idx="58">
                  <c:v>210.24686932637019</c:v>
                </c:pt>
                <c:pt idx="59">
                  <c:v>210.58605480526998</c:v>
                </c:pt>
                <c:pt idx="60">
                  <c:v>210.92633644975064</c:v>
                </c:pt>
                <c:pt idx="61">
                  <c:v>211.26771958222631</c:v>
                </c:pt>
                <c:pt idx="62">
                  <c:v>211.61020955962422</c:v>
                </c:pt>
                <c:pt idx="63">
                  <c:v>211.95381177366485</c:v>
                </c:pt>
                <c:pt idx="64">
                  <c:v>240.25157523968693</c:v>
                </c:pt>
                <c:pt idx="65">
                  <c:v>240.69458231649227</c:v>
                </c:pt>
                <c:pt idx="66">
                  <c:v>241.13922615941985</c:v>
                </c:pt>
                <c:pt idx="67">
                  <c:v>241.58551585623036</c:v>
                </c:pt>
                <c:pt idx="68">
                  <c:v>242.03346056208608</c:v>
                </c:pt>
                <c:pt idx="69">
                  <c:v>242.4830695001769</c:v>
                </c:pt>
                <c:pt idx="70">
                  <c:v>242.93435196235347</c:v>
                </c:pt>
                <c:pt idx="71">
                  <c:v>243.38731730976724</c:v>
                </c:pt>
                <c:pt idx="72">
                  <c:v>243.84197497351772</c:v>
                </c:pt>
                <c:pt idx="73">
                  <c:v>244.29833445530707</c:v>
                </c:pt>
                <c:pt idx="74">
                  <c:v>244.75640532810198</c:v>
                </c:pt>
                <c:pt idx="75">
                  <c:v>245.21619723680311</c:v>
                </c:pt>
                <c:pt idx="76">
                  <c:v>245.67771989892194</c:v>
                </c:pt>
                <c:pt idx="77">
                  <c:v>246.14098310526549</c:v>
                </c:pt>
                <c:pt idx="78">
                  <c:v>246.60599672062855</c:v>
                </c:pt>
                <c:pt idx="79">
                  <c:v>247.07277068449389</c:v>
                </c:pt>
                <c:pt idx="80">
                  <c:v>247.54131501174058</c:v>
                </c:pt>
                <c:pt idx="81">
                  <c:v>248.01163979336019</c:v>
                </c:pt>
                <c:pt idx="82">
                  <c:v>248.4837551971811</c:v>
                </c:pt>
                <c:pt idx="83">
                  <c:v>248.95767146860143</c:v>
                </c:pt>
                <c:pt idx="84">
                  <c:v>249.43339893133009</c:v>
                </c:pt>
                <c:pt idx="85">
                  <c:v>249.91094798813631</c:v>
                </c:pt>
                <c:pt idx="86">
                  <c:v>250.39032912160809</c:v>
                </c:pt>
                <c:pt idx="87">
                  <c:v>250.87155289491918</c:v>
                </c:pt>
                <c:pt idx="88">
                  <c:v>251.35462995260482</c:v>
                </c:pt>
                <c:pt idx="89">
                  <c:v>251.8395710213467</c:v>
                </c:pt>
                <c:pt idx="90">
                  <c:v>252.32638691076701</c:v>
                </c:pt>
                <c:pt idx="91">
                  <c:v>252.81508851423143</c:v>
                </c:pt>
                <c:pt idx="92">
                  <c:v>253.30568680966186</c:v>
                </c:pt>
                <c:pt idx="93">
                  <c:v>253.79819286035831</c:v>
                </c:pt>
                <c:pt idx="94">
                  <c:v>254.2926178158306</c:v>
                </c:pt>
                <c:pt idx="95">
                  <c:v>254.78897291263959</c:v>
                </c:pt>
                <c:pt idx="96">
                  <c:v>255.28726947524865</c:v>
                </c:pt>
                <c:pt idx="97">
                  <c:v>255.78751891688478</c:v>
                </c:pt>
                <c:pt idx="98">
                  <c:v>256.28973274040993</c:v>
                </c:pt>
                <c:pt idx="99">
                  <c:v>256.79392253920281</c:v>
                </c:pt>
                <c:pt idx="100">
                  <c:v>257.30009999805094</c:v>
                </c:pt>
                <c:pt idx="101">
                  <c:v>257.80827689405328</c:v>
                </c:pt>
                <c:pt idx="102">
                  <c:v>258.31846509753376</c:v>
                </c:pt>
                <c:pt idx="103">
                  <c:v>258.8306765729655</c:v>
                </c:pt>
                <c:pt idx="104">
                  <c:v>259.34492337990582</c:v>
                </c:pt>
                <c:pt idx="105">
                  <c:v>259.86121767394326</c:v>
                </c:pt>
                <c:pt idx="106">
                  <c:v>260.37957170765469</c:v>
                </c:pt>
                <c:pt idx="107">
                  <c:v>260.89999783157521</c:v>
                </c:pt>
                <c:pt idx="108">
                  <c:v>261.42250849517853</c:v>
                </c:pt>
                <c:pt idx="109">
                  <c:v>261.9471162478701</c:v>
                </c:pt>
                <c:pt idx="110">
                  <c:v>262.47383373999151</c:v>
                </c:pt>
                <c:pt idx="111">
                  <c:v>263.00267372383752</c:v>
                </c:pt>
                <c:pt idx="112">
                  <c:v>263.53364905468533</c:v>
                </c:pt>
                <c:pt idx="113">
                  <c:v>264.06677269183575</c:v>
                </c:pt>
                <c:pt idx="114">
                  <c:v>264.60205769966819</c:v>
                </c:pt>
                <c:pt idx="115">
                  <c:v>265.13951724870725</c:v>
                </c:pt>
                <c:pt idx="116">
                  <c:v>265.6791646167033</c:v>
                </c:pt>
                <c:pt idx="117">
                  <c:v>266.2210131897258</c:v>
                </c:pt>
                <c:pt idx="118">
                  <c:v>266.76507646327002</c:v>
                </c:pt>
                <c:pt idx="119">
                  <c:v>267.31136804337768</c:v>
                </c:pt>
                <c:pt idx="120">
                  <c:v>267.85990164777093</c:v>
                </c:pt>
                <c:pt idx="121">
                  <c:v>268.41069110700073</c:v>
                </c:pt>
                <c:pt idx="122">
                  <c:v>268.96375036560937</c:v>
                </c:pt>
                <c:pt idx="123">
                  <c:v>269.51909348330707</c:v>
                </c:pt>
                <c:pt idx="124">
                  <c:v>270.07673463616351</c:v>
                </c:pt>
                <c:pt idx="125">
                  <c:v>270.636688117814</c:v>
                </c:pt>
                <c:pt idx="126">
                  <c:v>271.19896834068084</c:v>
                </c:pt>
                <c:pt idx="127">
                  <c:v>271.76358983720996</c:v>
                </c:pt>
              </c:numCache>
            </c:numRef>
          </c:yVal>
        </c:ser>
        <c:ser>
          <c:idx val="3"/>
          <c:order val="3"/>
          <c:tx>
            <c:strRef>
              <c:f>data0!$I$174</c:f>
              <c:strCache>
                <c:ptCount val="1"/>
                <c:pt idx="0">
                  <c:v>U35</c:v>
                </c:pt>
              </c:strCache>
            </c:strRef>
          </c:tx>
          <c:marker>
            <c:symbol val="none"/>
          </c:marker>
          <c:xVal>
            <c:numRef>
              <c:f>data0!$E$175:$E$302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data0!$I$175:$I$302</c:f>
              <c:numCache>
                <c:formatCode>General</c:formatCode>
                <c:ptCount val="128"/>
                <c:pt idx="0">
                  <c:v>172.7048059898579</c:v>
                </c:pt>
                <c:pt idx="1">
                  <c:v>172.9596959444043</c:v>
                </c:pt>
                <c:pt idx="2">
                  <c:v>173.21533938019815</c:v>
                </c:pt>
                <c:pt idx="3">
                  <c:v>173.47173964323852</c:v>
                </c:pt>
                <c:pt idx="4">
                  <c:v>173.72890009936549</c:v>
                </c:pt>
                <c:pt idx="5">
                  <c:v>173.98682413440716</c:v>
                </c:pt>
                <c:pt idx="6">
                  <c:v>174.24551515432853</c:v>
                </c:pt>
                <c:pt idx="7">
                  <c:v>174.5049765853812</c:v>
                </c:pt>
                <c:pt idx="8">
                  <c:v>174.76521187425482</c:v>
                </c:pt>
                <c:pt idx="9">
                  <c:v>175.02622448822956</c:v>
                </c:pt>
                <c:pt idx="10">
                  <c:v>175.28801791533024</c:v>
                </c:pt>
                <c:pt idx="11">
                  <c:v>175.55059566448151</c:v>
                </c:pt>
                <c:pt idx="12">
                  <c:v>175.81396126566486</c:v>
                </c:pt>
                <c:pt idx="13">
                  <c:v>176.07811827007663</c:v>
                </c:pt>
                <c:pt idx="14">
                  <c:v>176.34307025028772</c:v>
                </c:pt>
                <c:pt idx="15">
                  <c:v>176.60882080040454</c:v>
                </c:pt>
                <c:pt idx="16">
                  <c:v>176.87537353623171</c:v>
                </c:pt>
                <c:pt idx="17">
                  <c:v>177.14273209543583</c:v>
                </c:pt>
                <c:pt idx="18">
                  <c:v>177.41090013771114</c:v>
                </c:pt>
                <c:pt idx="19">
                  <c:v>177.67988134494638</c:v>
                </c:pt>
                <c:pt idx="20">
                  <c:v>177.94967942139343</c:v>
                </c:pt>
                <c:pt idx="21">
                  <c:v>178.22029809383721</c:v>
                </c:pt>
                <c:pt idx="22">
                  <c:v>178.49174111176737</c:v>
                </c:pt>
                <c:pt idx="23">
                  <c:v>178.76401224755139</c:v>
                </c:pt>
                <c:pt idx="24">
                  <c:v>179.03711529660944</c:v>
                </c:pt>
                <c:pt idx="25">
                  <c:v>179.31105407759065</c:v>
                </c:pt>
                <c:pt idx="26">
                  <c:v>179.58583243255111</c:v>
                </c:pt>
                <c:pt idx="27">
                  <c:v>179.86145422713349</c:v>
                </c:pt>
                <c:pt idx="28">
                  <c:v>180.13792335074839</c:v>
                </c:pt>
                <c:pt idx="29">
                  <c:v>180.41524371675717</c:v>
                </c:pt>
                <c:pt idx="30">
                  <c:v>180.69341926265668</c:v>
                </c:pt>
                <c:pt idx="31">
                  <c:v>180.97245395026556</c:v>
                </c:pt>
                <c:pt idx="32">
                  <c:v>181.25235176591244</c:v>
                </c:pt>
                <c:pt idx="33">
                  <c:v>181.53311672062554</c:v>
                </c:pt>
                <c:pt idx="34">
                  <c:v>181.8147528503246</c:v>
                </c:pt>
                <c:pt idx="35">
                  <c:v>182.09726421601388</c:v>
                </c:pt>
                <c:pt idx="36">
                  <c:v>182.38065490397776</c:v>
                </c:pt>
                <c:pt idx="37">
                  <c:v>182.66492902597739</c:v>
                </c:pt>
                <c:pt idx="38">
                  <c:v>182.95009071944978</c:v>
                </c:pt>
                <c:pt idx="39">
                  <c:v>183.23614414770847</c:v>
                </c:pt>
                <c:pt idx="40">
                  <c:v>183.52309350014613</c:v>
                </c:pt>
                <c:pt idx="41">
                  <c:v>183.81094299243912</c:v>
                </c:pt>
                <c:pt idx="42">
                  <c:v>184.09969686675382</c:v>
                </c:pt>
                <c:pt idx="43">
                  <c:v>184.38935939195514</c:v>
                </c:pt>
                <c:pt idx="44">
                  <c:v>184.67993486381695</c:v>
                </c:pt>
                <c:pt idx="45">
                  <c:v>184.97142760523425</c:v>
                </c:pt>
                <c:pt idx="46">
                  <c:v>185.26384196643772</c:v>
                </c:pt>
                <c:pt idx="47">
                  <c:v>185.55718232520999</c:v>
                </c:pt>
                <c:pt idx="48">
                  <c:v>185.85145308710426</c:v>
                </c:pt>
                <c:pt idx="49">
                  <c:v>186.1466586856647</c:v>
                </c:pt>
                <c:pt idx="50">
                  <c:v>186.44280358264922</c:v>
                </c:pt>
                <c:pt idx="51">
                  <c:v>186.73989226825418</c:v>
                </c:pt>
                <c:pt idx="52">
                  <c:v>187.03792926134142</c:v>
                </c:pt>
                <c:pt idx="53">
                  <c:v>187.33691910966726</c:v>
                </c:pt>
                <c:pt idx="54">
                  <c:v>187.63686639011397</c:v>
                </c:pt>
                <c:pt idx="55">
                  <c:v>187.93777570892308</c:v>
                </c:pt>
                <c:pt idx="56">
                  <c:v>188.23965170193145</c:v>
                </c:pt>
                <c:pt idx="57">
                  <c:v>188.54249903480917</c:v>
                </c:pt>
                <c:pt idx="58">
                  <c:v>188.84632240329989</c:v>
                </c:pt>
                <c:pt idx="59">
                  <c:v>189.15112653346364</c:v>
                </c:pt>
                <c:pt idx="60">
                  <c:v>189.45691618192194</c:v>
                </c:pt>
                <c:pt idx="61">
                  <c:v>189.76369613610495</c:v>
                </c:pt>
                <c:pt idx="62">
                  <c:v>190.07147121450166</c:v>
                </c:pt>
                <c:pt idx="63">
                  <c:v>190.38024626691183</c:v>
                </c:pt>
                <c:pt idx="64">
                  <c:v>217.29809302481189</c:v>
                </c:pt>
                <c:pt idx="65">
                  <c:v>217.70175815463617</c:v>
                </c:pt>
                <c:pt idx="66">
                  <c:v>218.10692581763865</c:v>
                </c:pt>
                <c:pt idx="67">
                  <c:v>218.51360441861556</c:v>
                </c:pt>
                <c:pt idx="68">
                  <c:v>218.92180242516599</c:v>
                </c:pt>
                <c:pt idx="69">
                  <c:v>219.33152836827972</c:v>
                </c:pt>
                <c:pt idx="70">
                  <c:v>219.7427908429313</c:v>
                </c:pt>
                <c:pt idx="71">
                  <c:v>220.15559850868127</c:v>
                </c:pt>
                <c:pt idx="72">
                  <c:v>220.56996009028381</c:v>
                </c:pt>
                <c:pt idx="73">
                  <c:v>220.98588437830148</c:v>
                </c:pt>
                <c:pt idx="74">
                  <c:v>221.40338022972688</c:v>
                </c:pt>
                <c:pt idx="75">
                  <c:v>221.82245656861124</c:v>
                </c:pt>
                <c:pt idx="76">
                  <c:v>222.24312238670041</c:v>
                </c:pt>
                <c:pt idx="77">
                  <c:v>222.66538674407792</c:v>
                </c:pt>
                <c:pt idx="78">
                  <c:v>223.08925876981533</c:v>
                </c:pt>
                <c:pt idx="79">
                  <c:v>223.51474766263027</c:v>
                </c:pt>
                <c:pt idx="80">
                  <c:v>223.94186269155176</c:v>
                </c:pt>
                <c:pt idx="81">
                  <c:v>224.3706131965933</c:v>
                </c:pt>
                <c:pt idx="82">
                  <c:v>224.80100858943385</c:v>
                </c:pt>
                <c:pt idx="83">
                  <c:v>225.23305835410628</c:v>
                </c:pt>
                <c:pt idx="84">
                  <c:v>225.66677204769408</c:v>
                </c:pt>
                <c:pt idx="85">
                  <c:v>226.10215930103618</c:v>
                </c:pt>
                <c:pt idx="86">
                  <c:v>226.53922981943964</c:v>
                </c:pt>
                <c:pt idx="87">
                  <c:v>226.9779933834009</c:v>
                </c:pt>
                <c:pt idx="88">
                  <c:v>227.41845984933533</c:v>
                </c:pt>
                <c:pt idx="89">
                  <c:v>227.86063915031525</c:v>
                </c:pt>
                <c:pt idx="90">
                  <c:v>228.30454129681667</c:v>
                </c:pt>
                <c:pt idx="91">
                  <c:v>228.7501763774747</c:v>
                </c:pt>
                <c:pt idx="92">
                  <c:v>229.19755455984782</c:v>
                </c:pt>
                <c:pt idx="93">
                  <c:v>229.64668609119124</c:v>
                </c:pt>
                <c:pt idx="94">
                  <c:v>230.09758129923918</c:v>
                </c:pt>
                <c:pt idx="95">
                  <c:v>230.5502505929966</c:v>
                </c:pt>
                <c:pt idx="96">
                  <c:v>231.00470446354021</c:v>
                </c:pt>
                <c:pt idx="97">
                  <c:v>231.46095348482876</c:v>
                </c:pt>
                <c:pt idx="98">
                  <c:v>231.91900831452341</c:v>
                </c:pt>
                <c:pt idx="99">
                  <c:v>232.3788796948175</c:v>
                </c:pt>
                <c:pt idx="100">
                  <c:v>232.84057845327612</c:v>
                </c:pt>
                <c:pt idx="101">
                  <c:v>233.30411550368623</c:v>
                </c:pt>
                <c:pt idx="102">
                  <c:v>233.7695018469164</c:v>
                </c:pt>
                <c:pt idx="103">
                  <c:v>234.23674857178707</c:v>
                </c:pt>
                <c:pt idx="104">
                  <c:v>234.7058668559514</c:v>
                </c:pt>
                <c:pt idx="105">
                  <c:v>235.17686796678655</c:v>
                </c:pt>
                <c:pt idx="106">
                  <c:v>235.64976326229566</c:v>
                </c:pt>
                <c:pt idx="107">
                  <c:v>236.12456419202113</c:v>
                </c:pt>
                <c:pt idx="108">
                  <c:v>236.60128229796831</c:v>
                </c:pt>
                <c:pt idx="109">
                  <c:v>237.07992921554114</c:v>
                </c:pt>
                <c:pt idx="110">
                  <c:v>237.56051667448841</c:v>
                </c:pt>
                <c:pt idx="111">
                  <c:v>238.04305649986227</c:v>
                </c:pt>
                <c:pt idx="112">
                  <c:v>238.52756061298791</c:v>
                </c:pt>
                <c:pt idx="113">
                  <c:v>239.01404103244545</c:v>
                </c:pt>
                <c:pt idx="114">
                  <c:v>239.50250987506351</c:v>
                </c:pt>
                <c:pt idx="115">
                  <c:v>239.99297935692562</c:v>
                </c:pt>
                <c:pt idx="116">
                  <c:v>240.4854617943881</c:v>
                </c:pt>
                <c:pt idx="117">
                  <c:v>240.97996960511145</c:v>
                </c:pt>
                <c:pt idx="118">
                  <c:v>241.47651530910375</c:v>
                </c:pt>
                <c:pt idx="119">
                  <c:v>241.97511152977745</c:v>
                </c:pt>
                <c:pt idx="120">
                  <c:v>242.47577099501905</c:v>
                </c:pt>
                <c:pt idx="121">
                  <c:v>242.97850653827211</c:v>
                </c:pt>
                <c:pt idx="122">
                  <c:v>243.48333109963397</c:v>
                </c:pt>
                <c:pt idx="123">
                  <c:v>243.99025772696589</c:v>
                </c:pt>
                <c:pt idx="124">
                  <c:v>244.49929957701707</c:v>
                </c:pt>
                <c:pt idx="125">
                  <c:v>245.01046991656321</c:v>
                </c:pt>
                <c:pt idx="126">
                  <c:v>245.52378212355879</c:v>
                </c:pt>
                <c:pt idx="127">
                  <c:v>246.0392496883043</c:v>
                </c:pt>
              </c:numCache>
            </c:numRef>
          </c:yVal>
        </c:ser>
        <c:ser>
          <c:idx val="4"/>
          <c:order val="4"/>
          <c:tx>
            <c:strRef>
              <c:f>data0!$J$174</c:f>
              <c:strCache>
                <c:ptCount val="1"/>
                <c:pt idx="0">
                  <c:v>CWF</c:v>
                </c:pt>
              </c:strCache>
            </c:strRef>
          </c:tx>
          <c:marker>
            <c:symbol val="none"/>
          </c:marker>
          <c:xVal>
            <c:numRef>
              <c:f>data0!$E$175:$E$302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data0!$J$175:$J$302</c:f>
              <c:numCache>
                <c:formatCode>General</c:formatCode>
                <c:ptCount val="128"/>
                <c:pt idx="0">
                  <c:v>188.64606473346836</c:v>
                </c:pt>
                <c:pt idx="1">
                  <c:v>188.958727240602</c:v>
                </c:pt>
                <c:pt idx="2">
                  <c:v>189.27242788374565</c:v>
                </c:pt>
                <c:pt idx="3">
                  <c:v>189.58717184189507</c:v>
                </c:pt>
                <c:pt idx="4">
                  <c:v>189.90296432855237</c:v>
                </c:pt>
                <c:pt idx="5">
                  <c:v>190.21981059201389</c:v>
                </c:pt>
                <c:pt idx="6">
                  <c:v>190.53771591566073</c:v>
                </c:pt>
                <c:pt idx="7">
                  <c:v>190.8566856182527</c:v>
                </c:pt>
                <c:pt idx="8">
                  <c:v>191.17672505422479</c:v>
                </c:pt>
                <c:pt idx="9">
                  <c:v>191.49783961398671</c:v>
                </c:pt>
                <c:pt idx="10">
                  <c:v>191.82003472422579</c:v>
                </c:pt>
                <c:pt idx="11">
                  <c:v>192.14331584821241</c:v>
                </c:pt>
                <c:pt idx="12">
                  <c:v>192.4676884861089</c:v>
                </c:pt>
                <c:pt idx="13">
                  <c:v>192.79315817528149</c:v>
                </c:pt>
                <c:pt idx="14">
                  <c:v>193.11973049061541</c:v>
                </c:pt>
                <c:pt idx="15">
                  <c:v>193.44741104483316</c:v>
                </c:pt>
                <c:pt idx="16">
                  <c:v>193.77620548881603</c:v>
                </c:pt>
                <c:pt idx="17">
                  <c:v>194.10611951192905</c:v>
                </c:pt>
                <c:pt idx="18">
                  <c:v>194.43715884234905</c:v>
                </c:pt>
                <c:pt idx="19">
                  <c:v>194.7693292473962</c:v>
                </c:pt>
                <c:pt idx="20">
                  <c:v>195.102636533869</c:v>
                </c:pt>
                <c:pt idx="21">
                  <c:v>195.43708654838258</c:v>
                </c:pt>
                <c:pt idx="22">
                  <c:v>195.77268517771057</c:v>
                </c:pt>
                <c:pt idx="23">
                  <c:v>196.10943834913058</c:v>
                </c:pt>
                <c:pt idx="24">
                  <c:v>196.447352030773</c:v>
                </c:pt>
                <c:pt idx="25">
                  <c:v>196.78643223197375</c:v>
                </c:pt>
                <c:pt idx="26">
                  <c:v>197.12668500363031</c:v>
                </c:pt>
                <c:pt idx="27">
                  <c:v>197.46811643856185</c:v>
                </c:pt>
                <c:pt idx="28">
                  <c:v>197.81073267187281</c:v>
                </c:pt>
                <c:pt idx="29">
                  <c:v>198.15453988132035</c:v>
                </c:pt>
                <c:pt idx="30">
                  <c:v>198.49954428768569</c:v>
                </c:pt>
                <c:pt idx="31">
                  <c:v>198.8457521551494</c:v>
                </c:pt>
                <c:pt idx="32">
                  <c:v>199.1931697916703</c:v>
                </c:pt>
                <c:pt idx="33">
                  <c:v>199.54180354936884</c:v>
                </c:pt>
                <c:pt idx="34">
                  <c:v>199.89165982491406</c:v>
                </c:pt>
                <c:pt idx="35">
                  <c:v>200.24274505991485</c:v>
                </c:pt>
                <c:pt idx="36">
                  <c:v>200.59506574131532</c:v>
                </c:pt>
                <c:pt idx="37">
                  <c:v>200.94862840179439</c:v>
                </c:pt>
                <c:pt idx="38">
                  <c:v>201.3034396201694</c:v>
                </c:pt>
                <c:pt idx="39">
                  <c:v>201.65950602180433</c:v>
                </c:pt>
                <c:pt idx="40">
                  <c:v>202.01683427902205</c:v>
                </c:pt>
                <c:pt idx="41">
                  <c:v>202.37543111152124</c:v>
                </c:pt>
                <c:pt idx="42">
                  <c:v>202.73530328679743</c:v>
                </c:pt>
                <c:pt idx="43">
                  <c:v>203.09645762056897</c:v>
                </c:pt>
                <c:pt idx="44">
                  <c:v>203.45890097720707</c:v>
                </c:pt>
                <c:pt idx="45">
                  <c:v>203.82264027017087</c:v>
                </c:pt>
                <c:pt idx="46">
                  <c:v>204.18768246244699</c:v>
                </c:pt>
                <c:pt idx="47">
                  <c:v>204.55403456699378</c:v>
                </c:pt>
                <c:pt idx="48">
                  <c:v>204.92170364719047</c:v>
                </c:pt>
                <c:pt idx="49">
                  <c:v>205.29069681729112</c:v>
                </c:pt>
                <c:pt idx="50">
                  <c:v>205.66102124288341</c:v>
                </c:pt>
                <c:pt idx="51">
                  <c:v>206.03268414135272</c:v>
                </c:pt>
                <c:pt idx="52">
                  <c:v>206.4056927823506</c:v>
                </c:pt>
                <c:pt idx="53">
                  <c:v>206.7800544882692</c:v>
                </c:pt>
                <c:pt idx="54">
                  <c:v>207.15577663472001</c:v>
                </c:pt>
                <c:pt idx="55">
                  <c:v>207.53286665101868</c:v>
                </c:pt>
                <c:pt idx="56">
                  <c:v>207.91133202067431</c:v>
                </c:pt>
                <c:pt idx="57">
                  <c:v>208.29118028188464</c:v>
                </c:pt>
                <c:pt idx="58">
                  <c:v>208.67241902803664</c:v>
                </c:pt>
                <c:pt idx="59">
                  <c:v>209.05505590821238</c:v>
                </c:pt>
                <c:pt idx="60">
                  <c:v>209.43909862770064</c:v>
                </c:pt>
                <c:pt idx="61">
                  <c:v>209.82455494851416</c:v>
                </c:pt>
                <c:pt idx="62">
                  <c:v>210.21143268991253</c:v>
                </c:pt>
                <c:pt idx="63">
                  <c:v>210.59973972893093</c:v>
                </c:pt>
                <c:pt idx="64">
                  <c:v>244.94480949903814</c:v>
                </c:pt>
                <c:pt idx="65">
                  <c:v>245.47219921335915</c:v>
                </c:pt>
                <c:pt idx="66">
                  <c:v>246.00186486947698</c:v>
                </c:pt>
                <c:pt idx="67">
                  <c:v>246.53382123193467</c:v>
                </c:pt>
                <c:pt idx="68">
                  <c:v>247.06808319326012</c:v>
                </c:pt>
                <c:pt idx="69">
                  <c:v>247.60466577535553</c:v>
                </c:pt>
                <c:pt idx="70">
                  <c:v>248.14358413090542</c:v>
                </c:pt>
                <c:pt idx="71">
                  <c:v>248.68485354480296</c:v>
                </c:pt>
                <c:pt idx="72">
                  <c:v>249.22848943559518</c:v>
                </c:pt>
                <c:pt idx="73">
                  <c:v>249.77450735694686</c:v>
                </c:pt>
                <c:pt idx="74">
                  <c:v>250.32292299912399</c:v>
                </c:pt>
                <c:pt idx="75">
                  <c:v>250.87375219049667</c:v>
                </c:pt>
                <c:pt idx="76">
                  <c:v>251.42701089906194</c:v>
                </c:pt>
                <c:pt idx="77">
                  <c:v>251.98271523398682</c:v>
                </c:pt>
                <c:pt idx="78">
                  <c:v>252.54088144717176</c:v>
                </c:pt>
                <c:pt idx="79">
                  <c:v>253.10152593483514</c:v>
                </c:pt>
                <c:pt idx="80">
                  <c:v>253.66466523911856</c:v>
                </c:pt>
                <c:pt idx="81">
                  <c:v>254.23031604971402</c:v>
                </c:pt>
                <c:pt idx="82">
                  <c:v>254.79849520551267</c:v>
                </c:pt>
                <c:pt idx="83">
                  <c:v>255.36921969627565</c:v>
                </c:pt>
                <c:pt idx="84">
                  <c:v>255.94250666432774</c:v>
                </c:pt>
                <c:pt idx="85">
                  <c:v>256.5183734062735</c:v>
                </c:pt>
                <c:pt idx="86">
                  <c:v>257.09683737473711</c:v>
                </c:pt>
                <c:pt idx="87">
                  <c:v>257.67791618012501</c:v>
                </c:pt>
                <c:pt idx="88">
                  <c:v>258.26162759241362</c:v>
                </c:pt>
                <c:pt idx="89">
                  <c:v>258.84798954296036</c:v>
                </c:pt>
                <c:pt idx="90">
                  <c:v>259.43702012633986</c:v>
                </c:pt>
                <c:pt idx="91">
                  <c:v>260.02873760220558</c:v>
                </c:pt>
                <c:pt idx="92">
                  <c:v>260.62316039717621</c:v>
                </c:pt>
                <c:pt idx="93">
                  <c:v>261.22030710674886</c:v>
                </c:pt>
                <c:pt idx="94">
                  <c:v>261.82019649723787</c:v>
                </c:pt>
                <c:pt idx="95">
                  <c:v>262.42284750774104</c:v>
                </c:pt>
                <c:pt idx="96">
                  <c:v>263.02827925213234</c:v>
                </c:pt>
                <c:pt idx="97">
                  <c:v>263.63651102108309</c:v>
                </c:pt>
                <c:pt idx="98">
                  <c:v>264.2475622841107</c:v>
                </c:pt>
                <c:pt idx="99">
                  <c:v>264.86145269165604</c:v>
                </c:pt>
                <c:pt idx="100">
                  <c:v>265.47820207718996</c:v>
                </c:pt>
                <c:pt idx="101">
                  <c:v>266.09783045934938</c:v>
                </c:pt>
                <c:pt idx="102">
                  <c:v>266.72035804410297</c:v>
                </c:pt>
                <c:pt idx="103">
                  <c:v>267.3458052269479</c:v>
                </c:pt>
                <c:pt idx="104">
                  <c:v>267.97419259513686</c:v>
                </c:pt>
                <c:pt idx="105">
                  <c:v>268.60554092993749</c:v>
                </c:pt>
                <c:pt idx="106">
                  <c:v>269.23987120892252</c:v>
                </c:pt>
                <c:pt idx="107">
                  <c:v>269.87720460829399</c:v>
                </c:pt>
                <c:pt idx="108">
                  <c:v>270.5175625052392</c:v>
                </c:pt>
                <c:pt idx="109">
                  <c:v>271.16096648032112</c:v>
                </c:pt>
                <c:pt idx="110">
                  <c:v>271.80743831990259</c:v>
                </c:pt>
                <c:pt idx="111">
                  <c:v>272.45700001860547</c:v>
                </c:pt>
                <c:pt idx="112">
                  <c:v>273.10967378180516</c:v>
                </c:pt>
                <c:pt idx="113">
                  <c:v>273.76548202816065</c:v>
                </c:pt>
                <c:pt idx="114">
                  <c:v>274.42444739218183</c:v>
                </c:pt>
                <c:pt idx="115">
                  <c:v>275.08659272683349</c:v>
                </c:pt>
                <c:pt idx="116">
                  <c:v>275.75194110617679</c:v>
                </c:pt>
                <c:pt idx="117">
                  <c:v>276.42051582805021</c:v>
                </c:pt>
                <c:pt idx="118">
                  <c:v>277.09234041678837</c:v>
                </c:pt>
                <c:pt idx="119">
                  <c:v>277.76743862598147</c:v>
                </c:pt>
                <c:pt idx="120">
                  <c:v>278.44583444127477</c:v>
                </c:pt>
                <c:pt idx="121">
                  <c:v>279.12755208320937</c:v>
                </c:pt>
                <c:pt idx="122">
                  <c:v>279.81261601010465</c:v>
                </c:pt>
                <c:pt idx="123">
                  <c:v>280.50105092098318</c:v>
                </c:pt>
                <c:pt idx="124">
                  <c:v>281.19288175853973</c:v>
                </c:pt>
                <c:pt idx="125">
                  <c:v>281.88813371215269</c:v>
                </c:pt>
                <c:pt idx="126">
                  <c:v>282.58683222094226</c:v>
                </c:pt>
                <c:pt idx="127">
                  <c:v>283.28900297687238</c:v>
                </c:pt>
              </c:numCache>
            </c:numRef>
          </c:yVal>
        </c:ser>
        <c:ser>
          <c:idx val="5"/>
          <c:order val="5"/>
          <c:tx>
            <c:strRef>
              <c:f>data0!$K$174</c:f>
              <c:strCache>
                <c:ptCount val="1"/>
                <c:pt idx="0">
                  <c:v>D65</c:v>
                </c:pt>
              </c:strCache>
            </c:strRef>
          </c:tx>
          <c:marker>
            <c:symbol val="none"/>
          </c:marker>
          <c:xVal>
            <c:numRef>
              <c:f>data0!$E$175:$E$302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data0!$K$175:$K$302</c:f>
              <c:numCache>
                <c:formatCode>General</c:formatCode>
                <c:ptCount val="128"/>
                <c:pt idx="0">
                  <c:v>69.215150888917393</c:v>
                </c:pt>
                <c:pt idx="1">
                  <c:v>69.704802255870803</c:v>
                </c:pt>
                <c:pt idx="2">
                  <c:v>70.201430900918282</c:v>
                </c:pt>
                <c:pt idx="3">
                  <c:v>70.705187028117479</c:v>
                </c:pt>
                <c:pt idx="4">
                  <c:v>71.216225184064811</c:v>
                </c:pt>
                <c:pt idx="5">
                  <c:v>71.734704415971621</c:v>
                </c:pt>
                <c:pt idx="6">
                  <c:v>72.260788436695904</c:v>
                </c:pt>
                <c:pt idx="7">
                  <c:v>72.794645797089601</c:v>
                </c:pt>
                <c:pt idx="8">
                  <c:v>73.33645006604246</c:v>
                </c:pt>
                <c:pt idx="9">
                  <c:v>73.886380018626497</c:v>
                </c:pt>
                <c:pt idx="10">
                  <c:v>74.444619832769462</c:v>
                </c:pt>
                <c:pt idx="11">
                  <c:v>75.011359294911813</c:v>
                </c:pt>
                <c:pt idx="12">
                  <c:v>75.58679401512974</c:v>
                </c:pt>
                <c:pt idx="13">
                  <c:v>76.171125652236228</c:v>
                </c:pt>
                <c:pt idx="14">
                  <c:v>76.764562149404583</c:v>
                </c:pt>
                <c:pt idx="15">
                  <c:v>77.367317980892608</c:v>
                </c:pt>
                <c:pt idx="16">
                  <c:v>77.979614410482398</c:v>
                </c:pt>
                <c:pt idx="17">
                  <c:v>78.601679762290217</c:v>
                </c:pt>
                <c:pt idx="18">
                  <c:v>79.233749704642292</c:v>
                </c:pt>
                <c:pt idx="19">
                  <c:v>79.876067547758467</c:v>
                </c:pt>
                <c:pt idx="20">
                  <c:v>80.528884556033304</c:v>
                </c:pt>
                <c:pt idx="21">
                  <c:v>81.192460275756901</c:v>
                </c:pt>
                <c:pt idx="22">
                  <c:v>81.867062879173105</c:v>
                </c:pt>
                <c:pt idx="23">
                  <c:v>82.552969525833674</c:v>
                </c:pt>
                <c:pt idx="24">
                  <c:v>83.250466742270959</c:v>
                </c:pt>
                <c:pt idx="25">
                  <c:v>83.959850821081929</c:v>
                </c:pt>
                <c:pt idx="26">
                  <c:v>84.68142824059143</c:v>
                </c:pt>
                <c:pt idx="27">
                  <c:v>85.415516106343233</c:v>
                </c:pt>
                <c:pt idx="28">
                  <c:v>86.162442615755154</c:v>
                </c:pt>
                <c:pt idx="29">
                  <c:v>86.922547547368708</c:v>
                </c:pt>
                <c:pt idx="30">
                  <c:v>87.696182776225427</c:v>
                </c:pt>
                <c:pt idx="31">
                  <c:v>88.483712817012318</c:v>
                </c:pt>
                <c:pt idx="32">
                  <c:v>89.285515396737992</c:v>
                </c:pt>
                <c:pt idx="33">
                  <c:v>90.101982058829449</c:v>
                </c:pt>
                <c:pt idx="34">
                  <c:v>90.933518800679693</c:v>
                </c:pt>
                <c:pt idx="35">
                  <c:v>91.780546746826985</c:v>
                </c:pt>
                <c:pt idx="36">
                  <c:v>92.643502860111184</c:v>
                </c:pt>
                <c:pt idx="37">
                  <c:v>93.522840693330224</c:v>
                </c:pt>
                <c:pt idx="38">
                  <c:v>94.41903118411345</c:v>
                </c:pt>
                <c:pt idx="39">
                  <c:v>95.332563495938743</c:v>
                </c:pt>
                <c:pt idx="40">
                  <c:v>96.26394590844933</c:v>
                </c:pt>
                <c:pt idx="41">
                  <c:v>97.213706760474736</c:v>
                </c:pt>
                <c:pt idx="42">
                  <c:v>98.182395449432391</c:v>
                </c:pt>
                <c:pt idx="43">
                  <c:v>99.170583491082084</c:v>
                </c:pt>
                <c:pt idx="44">
                  <c:v>100.17886564392842</c:v>
                </c:pt>
                <c:pt idx="45">
                  <c:v>101.20786110291954</c:v>
                </c:pt>
                <c:pt idx="46">
                  <c:v>102.25821476747662</c:v>
                </c:pt>
                <c:pt idx="47">
                  <c:v>103.3305985893103</c:v>
                </c:pt>
                <c:pt idx="48">
                  <c:v>104.42571300594331</c:v>
                </c:pt>
                <c:pt idx="49">
                  <c:v>105.544288466366</c:v>
                </c:pt>
                <c:pt idx="50">
                  <c:v>106.68708705580744</c:v>
                </c:pt>
                <c:pt idx="51">
                  <c:v>107.85490422721676</c:v>
                </c:pt>
                <c:pt idx="52">
                  <c:v>109.04857064772217</c:v>
                </c:pt>
                <c:pt idx="53">
                  <c:v>110.26895416907399</c:v>
                </c:pt>
                <c:pt idx="54">
                  <c:v>111.51696193189508</c:v>
                </c:pt>
                <c:pt idx="55">
                  <c:v>112.79354261446056</c:v>
                </c:pt>
                <c:pt idx="56">
                  <c:v>114.09968883772234</c:v>
                </c:pt>
                <c:pt idx="57">
                  <c:v>115.43643973939194</c:v>
                </c:pt>
                <c:pt idx="58">
                  <c:v>116.80488373111082</c:v>
                </c:pt>
                <c:pt idx="59">
                  <c:v>118.20616145408269</c:v>
                </c:pt>
                <c:pt idx="60">
                  <c:v>119.64146895003682</c:v>
                </c:pt>
                <c:pt idx="61">
                  <c:v>121.11206106605002</c:v>
                </c:pt>
                <c:pt idx="62">
                  <c:v>122.61925511359867</c:v>
                </c:pt>
                <c:pt idx="63">
                  <c:v>124.16443480426686</c:v>
                </c:pt>
                <c:pt idx="64">
                  <c:v>1076.0209191143222</c:v>
                </c:pt>
                <c:pt idx="65">
                  <c:v>1207.9337130386677</c:v>
                </c:pt>
                <c:pt idx="66">
                  <c:v>1376.7087788504077</c:v>
                </c:pt>
                <c:pt idx="67">
                  <c:v>1600.3070863601722</c:v>
                </c:pt>
                <c:pt idx="68">
                  <c:v>1910.6207682661254</c:v>
                </c:pt>
                <c:pt idx="69">
                  <c:v>2370.2291377968795</c:v>
                </c:pt>
                <c:pt idx="70">
                  <c:v>3120.9995312039623</c:v>
                </c:pt>
                <c:pt idx="71">
                  <c:v>4567.8743305667949</c:v>
                </c:pt>
                <c:pt idx="72">
                  <c:v>8515.693826838633</c:v>
                </c:pt>
                <c:pt idx="73">
                  <c:v>62734.160088942117</c:v>
                </c:pt>
                <c:pt idx="74">
                  <c:v>-11689.113621235943</c:v>
                </c:pt>
                <c:pt idx="75">
                  <c:v>-5346.459939506145</c:v>
                </c:pt>
                <c:pt idx="76">
                  <c:v>-3465.8487243229933</c:v>
                </c:pt>
                <c:pt idx="77">
                  <c:v>-2563.9738373072651</c:v>
                </c:pt>
                <c:pt idx="78">
                  <c:v>-2034.5484842859087</c:v>
                </c:pt>
                <c:pt idx="79">
                  <c:v>-1686.3420345978773</c:v>
                </c:pt>
                <c:pt idx="80">
                  <c:v>-1439.9066314203885</c:v>
                </c:pt>
                <c:pt idx="81">
                  <c:v>-1256.3138574585607</c:v>
                </c:pt>
                <c:pt idx="82">
                  <c:v>-1114.2441127497807</c:v>
                </c:pt>
                <c:pt idx="83">
                  <c:v>-1001.0417150698632</c:v>
                </c:pt>
                <c:pt idx="84">
                  <c:v>-908.71971051762307</c:v>
                </c:pt>
                <c:pt idx="85">
                  <c:v>-831.98877117374479</c:v>
                </c:pt>
                <c:pt idx="86">
                  <c:v>-767.20695795489655</c:v>
                </c:pt>
                <c:pt idx="87">
                  <c:v>-711.78469197580296</c:v>
                </c:pt>
                <c:pt idx="88">
                  <c:v>-663.83025591786782</c:v>
                </c:pt>
                <c:pt idx="89">
                  <c:v>-621.92955028602307</c:v>
                </c:pt>
                <c:pt idx="90">
                  <c:v>-585.00430762264898</c:v>
                </c:pt>
                <c:pt idx="91">
                  <c:v>-552.21798467372389</c:v>
                </c:pt>
                <c:pt idx="92">
                  <c:v>-522.91162053063795</c:v>
                </c:pt>
                <c:pt idx="93">
                  <c:v>-496.55908963988213</c:v>
                </c:pt>
                <c:pt idx="94">
                  <c:v>-472.73523600778566</c:v>
                </c:pt>
                <c:pt idx="95">
                  <c:v>-451.09276056735257</c:v>
                </c:pt>
                <c:pt idx="96">
                  <c:v>-431.34517938425881</c:v>
                </c:pt>
                <c:pt idx="97">
                  <c:v>-413.25407037656521</c:v>
                </c:pt>
                <c:pt idx="98">
                  <c:v>-396.61940017268637</c:v>
                </c:pt>
                <c:pt idx="99">
                  <c:v>-381.27209679966836</c:v>
                </c:pt>
                <c:pt idx="100">
                  <c:v>-367.06828254262081</c:v>
                </c:pt>
                <c:pt idx="101">
                  <c:v>-353.88474959125193</c:v>
                </c:pt>
                <c:pt idx="102">
                  <c:v>-341.61537685686505</c:v>
                </c:pt>
                <c:pt idx="103">
                  <c:v>-330.16826719759592</c:v>
                </c:pt>
                <c:pt idx="104">
                  <c:v>-319.4634415506805</c:v>
                </c:pt>
                <c:pt idx="105">
                  <c:v>-309.43096754744897</c:v>
                </c:pt>
                <c:pt idx="106">
                  <c:v>-300.00943000730723</c:v>
                </c:pt>
                <c:pt idx="107">
                  <c:v>-291.14467259718799</c:v>
                </c:pt>
                <c:pt idx="108">
                  <c:v>-282.78875617891265</c:v>
                </c:pt>
                <c:pt idx="109">
                  <c:v>-274.89909152607606</c:v>
                </c:pt>
                <c:pt idx="110">
                  <c:v>-267.43771328098956</c:v>
                </c:pt>
                <c:pt idx="111">
                  <c:v>-260.37066902579437</c:v>
                </c:pt>
                <c:pt idx="112">
                  <c:v>-253.66750272268385</c:v>
                </c:pt>
                <c:pt idx="113">
                  <c:v>-247.30081594353607</c:v>
                </c:pt>
                <c:pt idx="114">
                  <c:v>-241.24589355676611</c:v>
                </c:pt>
                <c:pt idx="115">
                  <c:v>-235.48038308820588</c:v>
                </c:pt>
                <c:pt idx="116">
                  <c:v>-229.98401898634287</c:v>
                </c:pt>
                <c:pt idx="117">
                  <c:v>-224.73838462245249</c:v>
                </c:pt>
                <c:pt idx="118">
                  <c:v>-219.7267061351935</c:v>
                </c:pt>
                <c:pt idx="119">
                  <c:v>-214.93367325716488</c:v>
                </c:pt>
                <c:pt idx="120">
                  <c:v>-210.34528309136121</c:v>
                </c:pt>
                <c:pt idx="121">
                  <c:v>-205.94870347968009</c:v>
                </c:pt>
                <c:pt idx="122">
                  <c:v>-201.73215315561481</c:v>
                </c:pt>
                <c:pt idx="123">
                  <c:v>-197.68479632394255</c:v>
                </c:pt>
                <c:pt idx="124">
                  <c:v>-193.79664968111658</c:v>
                </c:pt>
                <c:pt idx="125">
                  <c:v>-190.05850019657609</c:v>
                </c:pt>
                <c:pt idx="126">
                  <c:v>-186.46183222949765</c:v>
                </c:pt>
                <c:pt idx="127">
                  <c:v>-182.99876276730888</c:v>
                </c:pt>
              </c:numCache>
            </c:numRef>
          </c:yVal>
        </c:ser>
        <c:axId val="138252288"/>
        <c:axId val="138253824"/>
      </c:scatterChart>
      <c:valAx>
        <c:axId val="138252288"/>
        <c:scaling>
          <c:orientation val="minMax"/>
          <c:max val="63"/>
          <c:min val="40"/>
        </c:scaling>
        <c:axPos val="b"/>
        <c:minorGridlines/>
        <c:numFmt formatCode="General" sourceLinked="1"/>
        <c:tickLblPos val="nextTo"/>
        <c:crossAx val="138253824"/>
        <c:crosses val="autoZero"/>
        <c:crossBetween val="midCat"/>
        <c:minorUnit val="5"/>
      </c:valAx>
      <c:valAx>
        <c:axId val="138253824"/>
        <c:scaling>
          <c:orientation val="minMax"/>
          <c:max val="300"/>
          <c:min val="0"/>
        </c:scaling>
        <c:axPos val="l"/>
        <c:majorGridlines/>
        <c:numFmt formatCode="General" sourceLinked="1"/>
        <c:tickLblPos val="nextTo"/>
        <c:crossAx val="138252288"/>
        <c:crosses val="autoZero"/>
        <c:crossBetween val="midCat"/>
      </c:valAx>
    </c:plotArea>
    <c:legend>
      <c:legendPos val="r"/>
      <c:layout/>
    </c:legend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data0!$AD$184</c:f>
          <c:strCache>
            <c:ptCount val="1"/>
            <c:pt idx="0">
              <c:v>29125B Green Channel Gain Error Vs. Compensation Setting: 80A + 82B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5.1797788708161714E-2"/>
          <c:y val="7.9018890244353338E-2"/>
          <c:w val="0.81274645064032203"/>
          <c:h val="0.90013130753022053"/>
        </c:manualLayout>
      </c:layout>
      <c:scatterChart>
        <c:scatterStyle val="lineMarker"/>
        <c:ser>
          <c:idx val="0"/>
          <c:order val="0"/>
          <c:tx>
            <c:strRef>
              <c:f>data0!$W$174</c:f>
              <c:strCache>
                <c:ptCount val="1"/>
                <c:pt idx="0">
                  <c:v>HZ</c:v>
                </c:pt>
              </c:strCache>
            </c:strRef>
          </c:tx>
          <c:marker>
            <c:symbol val="none"/>
          </c:marker>
          <c:xVal>
            <c:numRef>
              <c:f>data0!$O$175:$O$302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data0!$W$175:$W$302</c:f>
              <c:numCache>
                <c:formatCode>0.0%</c:formatCode>
                <c:ptCount val="128"/>
                <c:pt idx="0">
                  <c:v>7.7394468953542788</c:v>
                </c:pt>
                <c:pt idx="1">
                  <c:v>7.6337193899455311</c:v>
                </c:pt>
                <c:pt idx="2">
                  <c:v>7.5279918845367835</c:v>
                </c:pt>
                <c:pt idx="3">
                  <c:v>7.4222643791280358</c:v>
                </c:pt>
                <c:pt idx="4">
                  <c:v>7.3165368737192882</c:v>
                </c:pt>
                <c:pt idx="5">
                  <c:v>7.2108093683105423</c:v>
                </c:pt>
                <c:pt idx="6">
                  <c:v>7.1050818629017947</c:v>
                </c:pt>
                <c:pt idx="7">
                  <c:v>6.999354357493047</c:v>
                </c:pt>
                <c:pt idx="8">
                  <c:v>6.8936268520842994</c:v>
                </c:pt>
                <c:pt idx="9">
                  <c:v>6.7878993466755517</c:v>
                </c:pt>
                <c:pt idx="10">
                  <c:v>6.6821718412668041</c:v>
                </c:pt>
                <c:pt idx="11">
                  <c:v>6.5764443358580564</c:v>
                </c:pt>
                <c:pt idx="12">
                  <c:v>6.4707168304493088</c:v>
                </c:pt>
                <c:pt idx="13">
                  <c:v>6.3649893250405611</c:v>
                </c:pt>
                <c:pt idx="14">
                  <c:v>6.2592618196318117</c:v>
                </c:pt>
                <c:pt idx="15">
                  <c:v>6.1535343142230658</c:v>
                </c:pt>
                <c:pt idx="16">
                  <c:v>6.0478068088143182</c:v>
                </c:pt>
                <c:pt idx="17">
                  <c:v>5.9420793034055706</c:v>
                </c:pt>
                <c:pt idx="18">
                  <c:v>5.8363517979968229</c:v>
                </c:pt>
                <c:pt idx="19">
                  <c:v>5.7306242925880753</c:v>
                </c:pt>
                <c:pt idx="20">
                  <c:v>5.6248967871793276</c:v>
                </c:pt>
                <c:pt idx="21">
                  <c:v>5.51916928177058</c:v>
                </c:pt>
                <c:pt idx="22">
                  <c:v>5.4134417763618323</c:v>
                </c:pt>
                <c:pt idx="23">
                  <c:v>5.3077142709530847</c:v>
                </c:pt>
                <c:pt idx="24">
                  <c:v>5.201986765544337</c:v>
                </c:pt>
                <c:pt idx="25">
                  <c:v>5.0962592601355894</c:v>
                </c:pt>
                <c:pt idx="26">
                  <c:v>4.9905317547268417</c:v>
                </c:pt>
                <c:pt idx="27">
                  <c:v>4.8848042493180959</c:v>
                </c:pt>
                <c:pt idx="28">
                  <c:v>4.7790767439093464</c:v>
                </c:pt>
                <c:pt idx="29">
                  <c:v>4.6733492385006006</c:v>
                </c:pt>
                <c:pt idx="30">
                  <c:v>4.5676217330918529</c:v>
                </c:pt>
                <c:pt idx="31">
                  <c:v>4.4618942276831053</c:v>
                </c:pt>
                <c:pt idx="32">
                  <c:v>4.3561667222743576</c:v>
                </c:pt>
                <c:pt idx="33">
                  <c:v>4.25043921686561</c:v>
                </c:pt>
                <c:pt idx="34">
                  <c:v>4.1447117114568615</c:v>
                </c:pt>
                <c:pt idx="35">
                  <c:v>4.0389842060481147</c:v>
                </c:pt>
                <c:pt idx="36">
                  <c:v>3.9332567006393671</c:v>
                </c:pt>
                <c:pt idx="37">
                  <c:v>3.8275291952306194</c:v>
                </c:pt>
                <c:pt idx="38">
                  <c:v>3.7218016898218718</c:v>
                </c:pt>
                <c:pt idx="39">
                  <c:v>3.6160741844131241</c:v>
                </c:pt>
                <c:pt idx="40">
                  <c:v>3.5103466790043769</c:v>
                </c:pt>
                <c:pt idx="41">
                  <c:v>3.4046191735956293</c:v>
                </c:pt>
                <c:pt idx="42">
                  <c:v>3.2988916681868816</c:v>
                </c:pt>
                <c:pt idx="43">
                  <c:v>3.193164162778134</c:v>
                </c:pt>
                <c:pt idx="44">
                  <c:v>3.0874366573693863</c:v>
                </c:pt>
                <c:pt idx="45">
                  <c:v>2.9817091519606382</c:v>
                </c:pt>
                <c:pt idx="46">
                  <c:v>2.8759816465518915</c:v>
                </c:pt>
                <c:pt idx="47">
                  <c:v>2.7702541411431438</c:v>
                </c:pt>
                <c:pt idx="48">
                  <c:v>2.6645266357343957</c:v>
                </c:pt>
                <c:pt idx="49">
                  <c:v>2.5587991303256485</c:v>
                </c:pt>
                <c:pt idx="50">
                  <c:v>2.4530716249169009</c:v>
                </c:pt>
                <c:pt idx="51">
                  <c:v>2.3473441195081537</c:v>
                </c:pt>
                <c:pt idx="52">
                  <c:v>2.2416166140994056</c:v>
                </c:pt>
                <c:pt idx="53">
                  <c:v>2.135889108690658</c:v>
                </c:pt>
                <c:pt idx="54">
                  <c:v>2.0301616032819103</c:v>
                </c:pt>
                <c:pt idx="55">
                  <c:v>1.9244340978731629</c:v>
                </c:pt>
                <c:pt idx="56">
                  <c:v>1.818706592464415</c:v>
                </c:pt>
                <c:pt idx="57">
                  <c:v>1.7129790870556683</c:v>
                </c:pt>
                <c:pt idx="58">
                  <c:v>1.6072515816469204</c:v>
                </c:pt>
                <c:pt idx="59">
                  <c:v>1.5015240762381727</c:v>
                </c:pt>
                <c:pt idx="60">
                  <c:v>1.3957965708294249</c:v>
                </c:pt>
                <c:pt idx="61">
                  <c:v>1.2900690654206772</c:v>
                </c:pt>
                <c:pt idx="62">
                  <c:v>1.1843415600119305</c:v>
                </c:pt>
                <c:pt idx="63">
                  <c:v>1.0786140546031826</c:v>
                </c:pt>
                <c:pt idx="64">
                  <c:v>0.40464593828495832</c:v>
                </c:pt>
                <c:pt idx="65">
                  <c:v>0.29891843287621045</c:v>
                </c:pt>
                <c:pt idx="66">
                  <c:v>0.1931909274674628</c:v>
                </c:pt>
                <c:pt idx="67">
                  <c:v>8.7463422058715157E-2</c:v>
                </c:pt>
                <c:pt idx="68">
                  <c:v>-1.8264083350031157E-2</c:v>
                </c:pt>
                <c:pt idx="69">
                  <c:v>-0.1239915887587788</c:v>
                </c:pt>
                <c:pt idx="70">
                  <c:v>-0.22971909416752645</c:v>
                </c:pt>
                <c:pt idx="71">
                  <c:v>-0.3354465995762741</c:v>
                </c:pt>
                <c:pt idx="72">
                  <c:v>-0.44117410498502174</c:v>
                </c:pt>
                <c:pt idx="73">
                  <c:v>-0.54690161039376983</c:v>
                </c:pt>
                <c:pt idx="74">
                  <c:v>-0.65262911580251748</c:v>
                </c:pt>
                <c:pt idx="75">
                  <c:v>-0.75835662121126513</c:v>
                </c:pt>
                <c:pt idx="76">
                  <c:v>-0.86408412662001277</c:v>
                </c:pt>
                <c:pt idx="77">
                  <c:v>-0.96981163202876042</c:v>
                </c:pt>
                <c:pt idx="78">
                  <c:v>-1.0755391374375081</c:v>
                </c:pt>
                <c:pt idx="79">
                  <c:v>-1.1812666428462544</c:v>
                </c:pt>
                <c:pt idx="80">
                  <c:v>-1.286994148255002</c:v>
                </c:pt>
                <c:pt idx="81">
                  <c:v>-1.3927216536637497</c:v>
                </c:pt>
                <c:pt idx="82">
                  <c:v>-1.4984491590724978</c:v>
                </c:pt>
                <c:pt idx="83">
                  <c:v>-1.604176664481245</c:v>
                </c:pt>
                <c:pt idx="84">
                  <c:v>-1.7099041698899931</c:v>
                </c:pt>
                <c:pt idx="85">
                  <c:v>-1.8156316752987407</c:v>
                </c:pt>
                <c:pt idx="86">
                  <c:v>-1.9213591807074883</c:v>
                </c:pt>
                <c:pt idx="87">
                  <c:v>-2.027086686116236</c:v>
                </c:pt>
                <c:pt idx="88">
                  <c:v>-2.1328141915249836</c:v>
                </c:pt>
                <c:pt idx="89">
                  <c:v>-2.2385416969337295</c:v>
                </c:pt>
                <c:pt idx="90">
                  <c:v>-2.3442692023424776</c:v>
                </c:pt>
                <c:pt idx="91">
                  <c:v>-2.4499967077512257</c:v>
                </c:pt>
                <c:pt idx="92">
                  <c:v>-2.5557242131599733</c:v>
                </c:pt>
                <c:pt idx="93">
                  <c:v>-2.661451718568721</c:v>
                </c:pt>
                <c:pt idx="94">
                  <c:v>-2.7671792239774686</c:v>
                </c:pt>
                <c:pt idx="95">
                  <c:v>-2.8729067293862163</c:v>
                </c:pt>
                <c:pt idx="96">
                  <c:v>-2.9786342347949639</c:v>
                </c:pt>
                <c:pt idx="97">
                  <c:v>-3.0843617402037116</c:v>
                </c:pt>
                <c:pt idx="98">
                  <c:v>-3.1900892456124592</c:v>
                </c:pt>
                <c:pt idx="99">
                  <c:v>-3.2958167510212069</c:v>
                </c:pt>
                <c:pt idx="100">
                  <c:v>-3.4015442564299527</c:v>
                </c:pt>
                <c:pt idx="101">
                  <c:v>-3.5072717618387004</c:v>
                </c:pt>
                <c:pt idx="102">
                  <c:v>-3.612999267247448</c:v>
                </c:pt>
                <c:pt idx="103">
                  <c:v>-3.7187267726561957</c:v>
                </c:pt>
                <c:pt idx="104">
                  <c:v>-3.8244542780649442</c:v>
                </c:pt>
                <c:pt idx="105">
                  <c:v>-3.9301817834736918</c:v>
                </c:pt>
                <c:pt idx="106">
                  <c:v>-4.0359092888824399</c:v>
                </c:pt>
                <c:pt idx="107">
                  <c:v>-4.1416367942911876</c:v>
                </c:pt>
                <c:pt idx="108">
                  <c:v>-4.2473642996999352</c:v>
                </c:pt>
                <c:pt idx="109">
                  <c:v>-4.3530918051086829</c:v>
                </c:pt>
                <c:pt idx="110">
                  <c:v>-4.4588193105174305</c:v>
                </c:pt>
                <c:pt idx="111">
                  <c:v>-4.5645468159261764</c:v>
                </c:pt>
                <c:pt idx="112">
                  <c:v>-4.670274321334924</c:v>
                </c:pt>
                <c:pt idx="113">
                  <c:v>-4.7760018267436717</c:v>
                </c:pt>
                <c:pt idx="114">
                  <c:v>-4.8817293321524193</c:v>
                </c:pt>
                <c:pt idx="115">
                  <c:v>-4.987456837561167</c:v>
                </c:pt>
                <c:pt idx="116">
                  <c:v>-5.0931843429699146</c:v>
                </c:pt>
                <c:pt idx="117">
                  <c:v>-5.198911848378664</c:v>
                </c:pt>
                <c:pt idx="118">
                  <c:v>-5.3046393537874099</c:v>
                </c:pt>
                <c:pt idx="119">
                  <c:v>-5.4103668591961593</c:v>
                </c:pt>
                <c:pt idx="120">
                  <c:v>-5.5160943646049052</c:v>
                </c:pt>
                <c:pt idx="121">
                  <c:v>-5.6218218700136511</c:v>
                </c:pt>
                <c:pt idx="122">
                  <c:v>-5.7275493754223987</c:v>
                </c:pt>
                <c:pt idx="123">
                  <c:v>-5.8332768808311464</c:v>
                </c:pt>
                <c:pt idx="124">
                  <c:v>-5.939004386239894</c:v>
                </c:pt>
                <c:pt idx="125">
                  <c:v>-6.0447318916486417</c:v>
                </c:pt>
                <c:pt idx="126">
                  <c:v>-6.1504593970573893</c:v>
                </c:pt>
                <c:pt idx="127">
                  <c:v>-6.256186902466137</c:v>
                </c:pt>
              </c:numCache>
            </c:numRef>
          </c:yVal>
        </c:ser>
        <c:ser>
          <c:idx val="1"/>
          <c:order val="1"/>
          <c:tx>
            <c:strRef>
              <c:f>data0!$X$174</c:f>
              <c:strCache>
                <c:ptCount val="1"/>
                <c:pt idx="0">
                  <c:v>A</c:v>
                </c:pt>
              </c:strCache>
            </c:strRef>
          </c:tx>
          <c:marker>
            <c:symbol val="none"/>
          </c:marker>
          <c:xVal>
            <c:numRef>
              <c:f>data0!$O$175:$O$302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data0!$X$175:$X$302</c:f>
              <c:numCache>
                <c:formatCode>0.0%</c:formatCode>
                <c:ptCount val="128"/>
                <c:pt idx="0">
                  <c:v>4.6851096672449284</c:v>
                </c:pt>
                <c:pt idx="1">
                  <c:v>4.6313084468389754</c:v>
                </c:pt>
                <c:pt idx="2">
                  <c:v>4.5775072264330223</c:v>
                </c:pt>
                <c:pt idx="3">
                  <c:v>4.5237060060270693</c:v>
                </c:pt>
                <c:pt idx="4">
                  <c:v>4.4699047856211145</c:v>
                </c:pt>
                <c:pt idx="5">
                  <c:v>4.4161035652151615</c:v>
                </c:pt>
                <c:pt idx="6">
                  <c:v>4.3623023448092084</c:v>
                </c:pt>
                <c:pt idx="7">
                  <c:v>4.3085011244032545</c:v>
                </c:pt>
                <c:pt idx="8">
                  <c:v>4.2546999039973006</c:v>
                </c:pt>
                <c:pt idx="9">
                  <c:v>4.2008986835913475</c:v>
                </c:pt>
                <c:pt idx="10">
                  <c:v>4.1470974631853936</c:v>
                </c:pt>
                <c:pt idx="11">
                  <c:v>4.0932962427794397</c:v>
                </c:pt>
                <c:pt idx="12">
                  <c:v>4.0394950223734867</c:v>
                </c:pt>
                <c:pt idx="13">
                  <c:v>3.9856938019675332</c:v>
                </c:pt>
                <c:pt idx="14">
                  <c:v>3.9318925815615793</c:v>
                </c:pt>
                <c:pt idx="15">
                  <c:v>3.8780913611556262</c:v>
                </c:pt>
                <c:pt idx="16">
                  <c:v>3.8242901407496723</c:v>
                </c:pt>
                <c:pt idx="17">
                  <c:v>3.7704889203437189</c:v>
                </c:pt>
                <c:pt idx="18">
                  <c:v>3.7166876999377649</c:v>
                </c:pt>
                <c:pt idx="19">
                  <c:v>3.6628864795318119</c:v>
                </c:pt>
                <c:pt idx="20">
                  <c:v>3.6090852591258584</c:v>
                </c:pt>
                <c:pt idx="21">
                  <c:v>3.5552840387199045</c:v>
                </c:pt>
                <c:pt idx="22">
                  <c:v>3.5014828183139506</c:v>
                </c:pt>
                <c:pt idx="23">
                  <c:v>3.447681597907998</c:v>
                </c:pt>
                <c:pt idx="24">
                  <c:v>3.3938803775020441</c:v>
                </c:pt>
                <c:pt idx="25">
                  <c:v>3.3400791570960902</c:v>
                </c:pt>
                <c:pt idx="26">
                  <c:v>3.2862779366901367</c:v>
                </c:pt>
                <c:pt idx="27">
                  <c:v>3.2324767162841836</c:v>
                </c:pt>
                <c:pt idx="28">
                  <c:v>3.1786754958782293</c:v>
                </c:pt>
                <c:pt idx="29">
                  <c:v>3.1248742754722763</c:v>
                </c:pt>
                <c:pt idx="30">
                  <c:v>3.0710730550663232</c:v>
                </c:pt>
                <c:pt idx="31">
                  <c:v>3.0172718346603689</c:v>
                </c:pt>
                <c:pt idx="32">
                  <c:v>2.9634706142544149</c:v>
                </c:pt>
                <c:pt idx="33">
                  <c:v>2.9096693938484619</c:v>
                </c:pt>
                <c:pt idx="34">
                  <c:v>2.8558681734425084</c:v>
                </c:pt>
                <c:pt idx="35">
                  <c:v>2.8020669530365545</c:v>
                </c:pt>
                <c:pt idx="36">
                  <c:v>2.748265732630601</c:v>
                </c:pt>
                <c:pt idx="37">
                  <c:v>2.694464512224648</c:v>
                </c:pt>
                <c:pt idx="38">
                  <c:v>2.6406632918186941</c:v>
                </c:pt>
                <c:pt idx="39">
                  <c:v>2.586862071412741</c:v>
                </c:pt>
                <c:pt idx="40">
                  <c:v>2.5330608510067871</c:v>
                </c:pt>
                <c:pt idx="41">
                  <c:v>2.4792596306008337</c:v>
                </c:pt>
                <c:pt idx="42">
                  <c:v>2.4254584101948797</c:v>
                </c:pt>
                <c:pt idx="43">
                  <c:v>2.3716571897889267</c:v>
                </c:pt>
                <c:pt idx="44">
                  <c:v>2.3178559693829728</c:v>
                </c:pt>
                <c:pt idx="45">
                  <c:v>2.2640547489770193</c:v>
                </c:pt>
                <c:pt idx="46">
                  <c:v>2.2102535285710658</c:v>
                </c:pt>
                <c:pt idx="47">
                  <c:v>2.1564523081651119</c:v>
                </c:pt>
                <c:pt idx="48">
                  <c:v>2.1026510877591589</c:v>
                </c:pt>
                <c:pt idx="49">
                  <c:v>2.048849867353205</c:v>
                </c:pt>
                <c:pt idx="50">
                  <c:v>1.9950486469472515</c:v>
                </c:pt>
                <c:pt idx="51">
                  <c:v>1.9412474265412976</c:v>
                </c:pt>
                <c:pt idx="52">
                  <c:v>1.8874462061353443</c:v>
                </c:pt>
                <c:pt idx="53">
                  <c:v>1.8336449857293911</c:v>
                </c:pt>
                <c:pt idx="54">
                  <c:v>1.7798437653234371</c:v>
                </c:pt>
                <c:pt idx="55">
                  <c:v>1.7260425449174839</c:v>
                </c:pt>
                <c:pt idx="56">
                  <c:v>1.6722413245115302</c:v>
                </c:pt>
                <c:pt idx="57">
                  <c:v>1.6184401041055767</c:v>
                </c:pt>
                <c:pt idx="58">
                  <c:v>1.5646388836996235</c:v>
                </c:pt>
                <c:pt idx="59">
                  <c:v>1.5108376632936695</c:v>
                </c:pt>
                <c:pt idx="60">
                  <c:v>1.4570364428877163</c:v>
                </c:pt>
                <c:pt idx="61">
                  <c:v>1.4032352224817624</c:v>
                </c:pt>
                <c:pt idx="62">
                  <c:v>1.3494340020758089</c:v>
                </c:pt>
                <c:pt idx="63">
                  <c:v>1.295632781669855</c:v>
                </c:pt>
                <c:pt idx="64">
                  <c:v>0.4373917346647096</c:v>
                </c:pt>
                <c:pt idx="65">
                  <c:v>0.3835905142587559</c:v>
                </c:pt>
                <c:pt idx="66">
                  <c:v>0.32978929385280198</c:v>
                </c:pt>
                <c:pt idx="67">
                  <c:v>0.27598807344684917</c:v>
                </c:pt>
                <c:pt idx="68">
                  <c:v>0.22218685304089525</c:v>
                </c:pt>
                <c:pt idx="69">
                  <c:v>0.16838563263494155</c:v>
                </c:pt>
                <c:pt idx="70">
                  <c:v>0.11458441222898852</c:v>
                </c:pt>
                <c:pt idx="71">
                  <c:v>6.0783191823034821E-2</c:v>
                </c:pt>
                <c:pt idx="72">
                  <c:v>6.9819714170811231E-3</c:v>
                </c:pt>
                <c:pt idx="73">
                  <c:v>-4.6819248988872797E-2</c:v>
                </c:pt>
                <c:pt idx="74">
                  <c:v>-0.10062046939482583</c:v>
                </c:pt>
                <c:pt idx="75">
                  <c:v>-0.15442168980077953</c:v>
                </c:pt>
                <c:pt idx="76">
                  <c:v>-0.20822291020673345</c:v>
                </c:pt>
                <c:pt idx="77">
                  <c:v>-0.26202413061268626</c:v>
                </c:pt>
                <c:pt idx="78">
                  <c:v>-0.31582535101864018</c:v>
                </c:pt>
                <c:pt idx="79">
                  <c:v>-0.36962657142459387</c:v>
                </c:pt>
                <c:pt idx="80">
                  <c:v>-0.4234277918305478</c:v>
                </c:pt>
                <c:pt idx="81">
                  <c:v>-0.4772290122365006</c:v>
                </c:pt>
                <c:pt idx="82">
                  <c:v>-0.53103023264245452</c:v>
                </c:pt>
                <c:pt idx="83">
                  <c:v>-0.58483145304840845</c:v>
                </c:pt>
                <c:pt idx="84">
                  <c:v>-0.63863267345436148</c:v>
                </c:pt>
                <c:pt idx="85">
                  <c:v>-0.69243389386031495</c:v>
                </c:pt>
                <c:pt idx="86">
                  <c:v>-0.74623511426626887</c:v>
                </c:pt>
                <c:pt idx="87">
                  <c:v>-0.80003633467222279</c:v>
                </c:pt>
                <c:pt idx="88">
                  <c:v>-0.85383755507817538</c:v>
                </c:pt>
                <c:pt idx="89">
                  <c:v>-0.9076387754841293</c:v>
                </c:pt>
                <c:pt idx="90">
                  <c:v>-0.96143999589008322</c:v>
                </c:pt>
                <c:pt idx="91">
                  <c:v>-1.0152412162960363</c:v>
                </c:pt>
                <c:pt idx="92">
                  <c:v>-1.0690424367019897</c:v>
                </c:pt>
                <c:pt idx="93">
                  <c:v>-1.1228436571079441</c:v>
                </c:pt>
                <c:pt idx="94">
                  <c:v>-1.1766448775138967</c:v>
                </c:pt>
                <c:pt idx="95">
                  <c:v>-1.2304460979198506</c:v>
                </c:pt>
                <c:pt idx="96">
                  <c:v>-1.2842473183258041</c:v>
                </c:pt>
                <c:pt idx="97">
                  <c:v>-1.338048538731758</c:v>
                </c:pt>
                <c:pt idx="98">
                  <c:v>-1.391849759137711</c:v>
                </c:pt>
                <c:pt idx="99">
                  <c:v>-1.4456509795436649</c:v>
                </c:pt>
                <c:pt idx="100">
                  <c:v>-1.4994521999496184</c:v>
                </c:pt>
                <c:pt idx="101">
                  <c:v>-1.5532534203555715</c:v>
                </c:pt>
                <c:pt idx="102">
                  <c:v>-1.6070546407615254</c:v>
                </c:pt>
                <c:pt idx="103">
                  <c:v>-1.6608558611674789</c:v>
                </c:pt>
                <c:pt idx="104">
                  <c:v>-1.7146570815734328</c:v>
                </c:pt>
                <c:pt idx="105">
                  <c:v>-1.7684583019793858</c:v>
                </c:pt>
                <c:pt idx="106">
                  <c:v>-1.8222595223853397</c:v>
                </c:pt>
                <c:pt idx="107">
                  <c:v>-1.8760607427912936</c:v>
                </c:pt>
                <c:pt idx="108">
                  <c:v>-1.9298619631972462</c:v>
                </c:pt>
                <c:pt idx="109">
                  <c:v>-1.9836631836032002</c:v>
                </c:pt>
                <c:pt idx="110">
                  <c:v>-2.0374644040091541</c:v>
                </c:pt>
                <c:pt idx="111">
                  <c:v>-2.091265624415108</c:v>
                </c:pt>
                <c:pt idx="112">
                  <c:v>-2.145066844821061</c:v>
                </c:pt>
                <c:pt idx="113">
                  <c:v>-2.1988680652270149</c:v>
                </c:pt>
                <c:pt idx="114">
                  <c:v>-2.2526692856329693</c:v>
                </c:pt>
                <c:pt idx="115">
                  <c:v>-2.3064705060389223</c:v>
                </c:pt>
                <c:pt idx="116">
                  <c:v>-2.3602717264448758</c:v>
                </c:pt>
                <c:pt idx="117">
                  <c:v>-2.4140729468508302</c:v>
                </c:pt>
                <c:pt idx="118">
                  <c:v>-2.4678741672567828</c:v>
                </c:pt>
                <c:pt idx="119">
                  <c:v>-2.5216753876627362</c:v>
                </c:pt>
                <c:pt idx="120">
                  <c:v>-2.5754766080686911</c:v>
                </c:pt>
                <c:pt idx="121">
                  <c:v>-2.6292778284746441</c:v>
                </c:pt>
                <c:pt idx="122">
                  <c:v>-2.6830790488805971</c:v>
                </c:pt>
                <c:pt idx="123">
                  <c:v>-2.736880269286551</c:v>
                </c:pt>
                <c:pt idx="124">
                  <c:v>-2.790681489692505</c:v>
                </c:pt>
                <c:pt idx="125">
                  <c:v>-2.844482710098458</c:v>
                </c:pt>
                <c:pt idx="126">
                  <c:v>-2.898283930504411</c:v>
                </c:pt>
                <c:pt idx="127">
                  <c:v>-2.9520851509103658</c:v>
                </c:pt>
              </c:numCache>
            </c:numRef>
          </c:yVal>
        </c:ser>
        <c:ser>
          <c:idx val="2"/>
          <c:order val="2"/>
          <c:tx>
            <c:strRef>
              <c:f>data0!$Y$174</c:f>
              <c:strCache>
                <c:ptCount val="1"/>
                <c:pt idx="0">
                  <c:v>U30</c:v>
                </c:pt>
              </c:strCache>
            </c:strRef>
          </c:tx>
          <c:marker>
            <c:symbol val="none"/>
          </c:marker>
          <c:xVal>
            <c:numRef>
              <c:f>data0!$O$175:$O$302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data0!$Y$175:$Y$302</c:f>
              <c:numCache>
                <c:formatCode>0.0%</c:formatCode>
                <c:ptCount val="128"/>
                <c:pt idx="0">
                  <c:v>1.4767724193655196</c:v>
                </c:pt>
                <c:pt idx="1">
                  <c:v>1.4753229696085373</c:v>
                </c:pt>
                <c:pt idx="2">
                  <c:v>1.4738735198515549</c:v>
                </c:pt>
                <c:pt idx="3">
                  <c:v>1.4724240700945725</c:v>
                </c:pt>
                <c:pt idx="4">
                  <c:v>1.4709746203375902</c:v>
                </c:pt>
                <c:pt idx="5">
                  <c:v>1.4695251705806078</c:v>
                </c:pt>
                <c:pt idx="6">
                  <c:v>1.4680757208236255</c:v>
                </c:pt>
                <c:pt idx="7">
                  <c:v>1.4666262710666431</c:v>
                </c:pt>
                <c:pt idx="8">
                  <c:v>1.4651768213096608</c:v>
                </c:pt>
                <c:pt idx="9">
                  <c:v>1.4637273715526784</c:v>
                </c:pt>
                <c:pt idx="10">
                  <c:v>1.462277921795696</c:v>
                </c:pt>
                <c:pt idx="11">
                  <c:v>1.4608284720387137</c:v>
                </c:pt>
                <c:pt idx="12">
                  <c:v>1.4593790222817313</c:v>
                </c:pt>
                <c:pt idx="13">
                  <c:v>1.457929572524749</c:v>
                </c:pt>
                <c:pt idx="14">
                  <c:v>1.4564801227677666</c:v>
                </c:pt>
                <c:pt idx="15">
                  <c:v>1.4550306730107843</c:v>
                </c:pt>
                <c:pt idx="16">
                  <c:v>1.4535812232538019</c:v>
                </c:pt>
                <c:pt idx="17">
                  <c:v>1.4521317734968195</c:v>
                </c:pt>
                <c:pt idx="18">
                  <c:v>1.4506823237398372</c:v>
                </c:pt>
                <c:pt idx="19">
                  <c:v>1.4492328739828548</c:v>
                </c:pt>
                <c:pt idx="20">
                  <c:v>1.4477834242258723</c:v>
                </c:pt>
                <c:pt idx="21">
                  <c:v>1.4463339744688901</c:v>
                </c:pt>
                <c:pt idx="22">
                  <c:v>1.4448845247119078</c:v>
                </c:pt>
                <c:pt idx="23">
                  <c:v>1.4434350749549254</c:v>
                </c:pt>
                <c:pt idx="24">
                  <c:v>1.441985625197943</c:v>
                </c:pt>
                <c:pt idx="25">
                  <c:v>1.4405361754409607</c:v>
                </c:pt>
                <c:pt idx="26">
                  <c:v>1.4390867256839783</c:v>
                </c:pt>
                <c:pt idx="27">
                  <c:v>1.437637275926996</c:v>
                </c:pt>
                <c:pt idx="28">
                  <c:v>1.4361878261700134</c:v>
                </c:pt>
                <c:pt idx="29">
                  <c:v>1.4347383764130313</c:v>
                </c:pt>
                <c:pt idx="30">
                  <c:v>1.4332889266560487</c:v>
                </c:pt>
                <c:pt idx="31">
                  <c:v>1.4318394768990663</c:v>
                </c:pt>
                <c:pt idx="32">
                  <c:v>1.430390027142084</c:v>
                </c:pt>
                <c:pt idx="33">
                  <c:v>1.4289405773851016</c:v>
                </c:pt>
                <c:pt idx="34">
                  <c:v>1.4274911276281195</c:v>
                </c:pt>
                <c:pt idx="35">
                  <c:v>1.4260416778711369</c:v>
                </c:pt>
                <c:pt idx="36">
                  <c:v>1.4245922281141545</c:v>
                </c:pt>
                <c:pt idx="37">
                  <c:v>1.4231427783571722</c:v>
                </c:pt>
                <c:pt idx="38">
                  <c:v>1.4216933286001898</c:v>
                </c:pt>
                <c:pt idx="39">
                  <c:v>1.4202438788432075</c:v>
                </c:pt>
                <c:pt idx="40">
                  <c:v>1.4187944290862253</c:v>
                </c:pt>
                <c:pt idx="41">
                  <c:v>1.4173449793292427</c:v>
                </c:pt>
                <c:pt idx="42">
                  <c:v>1.4158955295722604</c:v>
                </c:pt>
                <c:pt idx="43">
                  <c:v>1.4144460798152778</c:v>
                </c:pt>
                <c:pt idx="44">
                  <c:v>1.4129966300582957</c:v>
                </c:pt>
                <c:pt idx="45">
                  <c:v>1.4115471803013133</c:v>
                </c:pt>
                <c:pt idx="46">
                  <c:v>1.410097730544331</c:v>
                </c:pt>
                <c:pt idx="47">
                  <c:v>1.4086482807873486</c:v>
                </c:pt>
                <c:pt idx="48">
                  <c:v>1.4071988310303662</c:v>
                </c:pt>
                <c:pt idx="49">
                  <c:v>1.4057493812733839</c:v>
                </c:pt>
                <c:pt idx="50">
                  <c:v>1.4042999315164015</c:v>
                </c:pt>
                <c:pt idx="51">
                  <c:v>1.402850481759419</c:v>
                </c:pt>
                <c:pt idx="52">
                  <c:v>1.4014010320024368</c:v>
                </c:pt>
                <c:pt idx="53">
                  <c:v>1.3999515822454545</c:v>
                </c:pt>
                <c:pt idx="54">
                  <c:v>1.3985021324884719</c:v>
                </c:pt>
                <c:pt idx="55">
                  <c:v>1.3970526827314895</c:v>
                </c:pt>
                <c:pt idx="56">
                  <c:v>1.3956032329745074</c:v>
                </c:pt>
                <c:pt idx="57">
                  <c:v>1.394153783217525</c:v>
                </c:pt>
                <c:pt idx="58">
                  <c:v>1.3927043334605425</c:v>
                </c:pt>
                <c:pt idx="59">
                  <c:v>1.3912548837035601</c:v>
                </c:pt>
                <c:pt idx="60">
                  <c:v>1.3898054339465777</c:v>
                </c:pt>
                <c:pt idx="61">
                  <c:v>1.3883559841895954</c:v>
                </c:pt>
                <c:pt idx="62">
                  <c:v>1.386906534432613</c:v>
                </c:pt>
                <c:pt idx="63">
                  <c:v>1.3854570846756307</c:v>
                </c:pt>
                <c:pt idx="64">
                  <c:v>1.2803166670556041</c:v>
                </c:pt>
                <c:pt idx="65">
                  <c:v>1.2788672172986217</c:v>
                </c:pt>
                <c:pt idx="66">
                  <c:v>1.2774177675416394</c:v>
                </c:pt>
                <c:pt idx="67">
                  <c:v>1.275968317784657</c:v>
                </c:pt>
                <c:pt idx="68">
                  <c:v>1.2745188680276747</c:v>
                </c:pt>
                <c:pt idx="69">
                  <c:v>1.2730694182706923</c:v>
                </c:pt>
                <c:pt idx="70">
                  <c:v>1.27161996851371</c:v>
                </c:pt>
                <c:pt idx="71">
                  <c:v>1.2701705187567276</c:v>
                </c:pt>
                <c:pt idx="72">
                  <c:v>1.2687210689997452</c:v>
                </c:pt>
                <c:pt idx="73">
                  <c:v>1.2672716192427629</c:v>
                </c:pt>
                <c:pt idx="74">
                  <c:v>1.2658221694857805</c:v>
                </c:pt>
                <c:pt idx="75">
                  <c:v>1.2643727197287982</c:v>
                </c:pt>
                <c:pt idx="76">
                  <c:v>1.2629232699718158</c:v>
                </c:pt>
                <c:pt idx="77">
                  <c:v>1.2614738202148335</c:v>
                </c:pt>
                <c:pt idx="78">
                  <c:v>1.2600243704578509</c:v>
                </c:pt>
                <c:pt idx="79">
                  <c:v>1.2585749207008687</c:v>
                </c:pt>
                <c:pt idx="80">
                  <c:v>1.2571254709438864</c:v>
                </c:pt>
                <c:pt idx="81">
                  <c:v>1.2556760211869038</c:v>
                </c:pt>
                <c:pt idx="82">
                  <c:v>1.2542265714299217</c:v>
                </c:pt>
                <c:pt idx="83">
                  <c:v>1.2527771216729393</c:v>
                </c:pt>
                <c:pt idx="84">
                  <c:v>1.251327671915957</c:v>
                </c:pt>
                <c:pt idx="85">
                  <c:v>1.2498782221589746</c:v>
                </c:pt>
                <c:pt idx="86">
                  <c:v>1.2484287724019922</c:v>
                </c:pt>
                <c:pt idx="87">
                  <c:v>1.2469793226450099</c:v>
                </c:pt>
                <c:pt idx="88">
                  <c:v>1.2455298728880273</c:v>
                </c:pt>
                <c:pt idx="89">
                  <c:v>1.2440804231310452</c:v>
                </c:pt>
                <c:pt idx="90">
                  <c:v>1.2426309733740626</c:v>
                </c:pt>
                <c:pt idx="91">
                  <c:v>1.2411815236170805</c:v>
                </c:pt>
                <c:pt idx="92">
                  <c:v>1.2397320738600981</c:v>
                </c:pt>
                <c:pt idx="93">
                  <c:v>1.2382826241031157</c:v>
                </c:pt>
                <c:pt idx="94">
                  <c:v>1.2368331743461332</c:v>
                </c:pt>
                <c:pt idx="95">
                  <c:v>1.2353837245891508</c:v>
                </c:pt>
                <c:pt idx="96">
                  <c:v>1.2339342748321684</c:v>
                </c:pt>
                <c:pt idx="97">
                  <c:v>1.2324848250751861</c:v>
                </c:pt>
                <c:pt idx="98">
                  <c:v>1.2310353753182037</c:v>
                </c:pt>
                <c:pt idx="99">
                  <c:v>1.2295859255612214</c:v>
                </c:pt>
                <c:pt idx="100">
                  <c:v>1.228136475804239</c:v>
                </c:pt>
                <c:pt idx="101">
                  <c:v>1.2266870260472567</c:v>
                </c:pt>
                <c:pt idx="102">
                  <c:v>1.2252375762902745</c:v>
                </c:pt>
                <c:pt idx="103">
                  <c:v>1.2237881265332919</c:v>
                </c:pt>
                <c:pt idx="104">
                  <c:v>1.2223386767763098</c:v>
                </c:pt>
                <c:pt idx="105">
                  <c:v>1.2208892270193272</c:v>
                </c:pt>
                <c:pt idx="106">
                  <c:v>1.2194397772623449</c:v>
                </c:pt>
                <c:pt idx="107">
                  <c:v>1.2179903275053623</c:v>
                </c:pt>
                <c:pt idx="108">
                  <c:v>1.2165408777483799</c:v>
                </c:pt>
                <c:pt idx="109">
                  <c:v>1.2150914279913976</c:v>
                </c:pt>
                <c:pt idx="110">
                  <c:v>1.2136419782344152</c:v>
                </c:pt>
                <c:pt idx="111">
                  <c:v>1.2121925284774331</c:v>
                </c:pt>
                <c:pt idx="112">
                  <c:v>1.2107430787204505</c:v>
                </c:pt>
                <c:pt idx="113">
                  <c:v>1.2092936289634681</c:v>
                </c:pt>
                <c:pt idx="114">
                  <c:v>1.2078441792064858</c:v>
                </c:pt>
                <c:pt idx="115">
                  <c:v>1.2063947294495034</c:v>
                </c:pt>
                <c:pt idx="116">
                  <c:v>1.2049452796925213</c:v>
                </c:pt>
                <c:pt idx="117">
                  <c:v>1.2034958299355389</c:v>
                </c:pt>
                <c:pt idx="118">
                  <c:v>1.2020463801785566</c:v>
                </c:pt>
                <c:pt idx="119">
                  <c:v>1.200596930421574</c:v>
                </c:pt>
                <c:pt idx="120">
                  <c:v>1.1991474806645916</c:v>
                </c:pt>
                <c:pt idx="121">
                  <c:v>1.1976980309076093</c:v>
                </c:pt>
                <c:pt idx="122">
                  <c:v>1.1962485811506269</c:v>
                </c:pt>
                <c:pt idx="123">
                  <c:v>1.1947991313936446</c:v>
                </c:pt>
                <c:pt idx="124">
                  <c:v>1.1933496816366622</c:v>
                </c:pt>
                <c:pt idx="125">
                  <c:v>1.1919002318796799</c:v>
                </c:pt>
                <c:pt idx="126">
                  <c:v>1.1904507821226975</c:v>
                </c:pt>
                <c:pt idx="127">
                  <c:v>1.1890013323657151</c:v>
                </c:pt>
              </c:numCache>
            </c:numRef>
          </c:yVal>
        </c:ser>
        <c:ser>
          <c:idx val="3"/>
          <c:order val="3"/>
          <c:tx>
            <c:strRef>
              <c:f>data0!$Z$174</c:f>
              <c:strCache>
                <c:ptCount val="1"/>
                <c:pt idx="0">
                  <c:v>U35</c:v>
                </c:pt>
              </c:strCache>
            </c:strRef>
          </c:tx>
          <c:marker>
            <c:symbol val="none"/>
          </c:marker>
          <c:xVal>
            <c:numRef>
              <c:f>data0!$O$175:$O$302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data0!$Z$175:$Z$302</c:f>
              <c:numCache>
                <c:formatCode>0.0%</c:formatCode>
                <c:ptCount val="128"/>
                <c:pt idx="0">
                  <c:v>1.5883225242693293</c:v>
                </c:pt>
                <c:pt idx="1">
                  <c:v>1.586708059975904</c:v>
                </c:pt>
                <c:pt idx="2">
                  <c:v>1.5850935956824788</c:v>
                </c:pt>
                <c:pt idx="3">
                  <c:v>1.5834791313890535</c:v>
                </c:pt>
                <c:pt idx="4">
                  <c:v>1.5818646670956282</c:v>
                </c:pt>
                <c:pt idx="5">
                  <c:v>1.580250202802203</c:v>
                </c:pt>
                <c:pt idx="6">
                  <c:v>1.5786357385087777</c:v>
                </c:pt>
                <c:pt idx="7">
                  <c:v>1.5770212742153524</c:v>
                </c:pt>
                <c:pt idx="8">
                  <c:v>1.5754068099219272</c:v>
                </c:pt>
                <c:pt idx="9">
                  <c:v>1.5737923456285019</c:v>
                </c:pt>
                <c:pt idx="10">
                  <c:v>1.5721778813350766</c:v>
                </c:pt>
                <c:pt idx="11">
                  <c:v>1.5705634170416514</c:v>
                </c:pt>
                <c:pt idx="12">
                  <c:v>1.5689489527482261</c:v>
                </c:pt>
                <c:pt idx="13">
                  <c:v>1.5673344884548008</c:v>
                </c:pt>
                <c:pt idx="14">
                  <c:v>1.5657200241613756</c:v>
                </c:pt>
                <c:pt idx="15">
                  <c:v>1.5641055598679503</c:v>
                </c:pt>
                <c:pt idx="16">
                  <c:v>1.562491095574525</c:v>
                </c:pt>
                <c:pt idx="17">
                  <c:v>1.5608766312810998</c:v>
                </c:pt>
                <c:pt idx="18">
                  <c:v>1.5592621669876745</c:v>
                </c:pt>
                <c:pt idx="19">
                  <c:v>1.5576477026942495</c:v>
                </c:pt>
                <c:pt idx="20">
                  <c:v>1.5560332384008242</c:v>
                </c:pt>
                <c:pt idx="21">
                  <c:v>1.5544187741073989</c:v>
                </c:pt>
                <c:pt idx="22">
                  <c:v>1.5528043098139734</c:v>
                </c:pt>
                <c:pt idx="23">
                  <c:v>1.5511898455205482</c:v>
                </c:pt>
                <c:pt idx="24">
                  <c:v>1.5495753812271229</c:v>
                </c:pt>
                <c:pt idx="25">
                  <c:v>1.5479609169336976</c:v>
                </c:pt>
                <c:pt idx="26">
                  <c:v>1.5463464526402724</c:v>
                </c:pt>
                <c:pt idx="27">
                  <c:v>1.5447319883468473</c:v>
                </c:pt>
                <c:pt idx="28">
                  <c:v>1.5431175240534218</c:v>
                </c:pt>
                <c:pt idx="29">
                  <c:v>1.5415030597599966</c:v>
                </c:pt>
                <c:pt idx="30">
                  <c:v>1.5398885954665715</c:v>
                </c:pt>
                <c:pt idx="31">
                  <c:v>1.5382741311731463</c:v>
                </c:pt>
                <c:pt idx="32">
                  <c:v>1.536659666879721</c:v>
                </c:pt>
                <c:pt idx="33">
                  <c:v>1.5350452025862957</c:v>
                </c:pt>
                <c:pt idx="34">
                  <c:v>1.5334307382928702</c:v>
                </c:pt>
                <c:pt idx="35">
                  <c:v>1.5318162739994452</c:v>
                </c:pt>
                <c:pt idx="36">
                  <c:v>1.5302018097060199</c:v>
                </c:pt>
                <c:pt idx="37">
                  <c:v>1.5285873454125947</c:v>
                </c:pt>
                <c:pt idx="38">
                  <c:v>1.5269728811191694</c:v>
                </c:pt>
                <c:pt idx="39">
                  <c:v>1.5253584168257441</c:v>
                </c:pt>
                <c:pt idx="40">
                  <c:v>1.5237439525323189</c:v>
                </c:pt>
                <c:pt idx="41">
                  <c:v>1.5221294882388936</c:v>
                </c:pt>
                <c:pt idx="42">
                  <c:v>1.5205150239454683</c:v>
                </c:pt>
                <c:pt idx="43">
                  <c:v>1.5189005596520431</c:v>
                </c:pt>
                <c:pt idx="44">
                  <c:v>1.5172860953586178</c:v>
                </c:pt>
                <c:pt idx="45">
                  <c:v>1.5156716310651925</c:v>
                </c:pt>
                <c:pt idx="46">
                  <c:v>1.5140571667717673</c:v>
                </c:pt>
                <c:pt idx="47">
                  <c:v>1.5124427024783422</c:v>
                </c:pt>
                <c:pt idx="48">
                  <c:v>1.510828238184917</c:v>
                </c:pt>
                <c:pt idx="49">
                  <c:v>1.5092137738914915</c:v>
                </c:pt>
                <c:pt idx="50">
                  <c:v>1.5075993095980662</c:v>
                </c:pt>
                <c:pt idx="51">
                  <c:v>1.5059848453046409</c:v>
                </c:pt>
                <c:pt idx="52">
                  <c:v>1.5043703810112157</c:v>
                </c:pt>
                <c:pt idx="53">
                  <c:v>1.5027559167177906</c:v>
                </c:pt>
                <c:pt idx="54">
                  <c:v>1.5011414524243651</c:v>
                </c:pt>
                <c:pt idx="55">
                  <c:v>1.4995269881309401</c:v>
                </c:pt>
                <c:pt idx="56">
                  <c:v>1.4979125238375148</c:v>
                </c:pt>
                <c:pt idx="57">
                  <c:v>1.4962980595440893</c:v>
                </c:pt>
                <c:pt idx="58">
                  <c:v>1.4946835952506641</c:v>
                </c:pt>
                <c:pt idx="59">
                  <c:v>1.493069130957239</c:v>
                </c:pt>
                <c:pt idx="60">
                  <c:v>1.4914546666638135</c:v>
                </c:pt>
                <c:pt idx="61">
                  <c:v>1.4898402023703885</c:v>
                </c:pt>
                <c:pt idx="62">
                  <c:v>1.488225738076963</c:v>
                </c:pt>
                <c:pt idx="63">
                  <c:v>1.486611273783538</c:v>
                </c:pt>
                <c:pt idx="64">
                  <c:v>1.3635029047108147</c:v>
                </c:pt>
                <c:pt idx="65">
                  <c:v>1.3618884404173897</c:v>
                </c:pt>
                <c:pt idx="66">
                  <c:v>1.3602739761239644</c:v>
                </c:pt>
                <c:pt idx="67">
                  <c:v>1.3586595118305391</c:v>
                </c:pt>
                <c:pt idx="68">
                  <c:v>1.3570450475371139</c:v>
                </c:pt>
                <c:pt idx="69">
                  <c:v>1.3554305832436886</c:v>
                </c:pt>
                <c:pt idx="70">
                  <c:v>1.3538161189502633</c:v>
                </c:pt>
                <c:pt idx="71">
                  <c:v>1.3522016546568381</c:v>
                </c:pt>
                <c:pt idx="72">
                  <c:v>1.3505871903634128</c:v>
                </c:pt>
                <c:pt idx="73">
                  <c:v>1.3489727260699875</c:v>
                </c:pt>
                <c:pt idx="74">
                  <c:v>1.3473582617765623</c:v>
                </c:pt>
                <c:pt idx="75">
                  <c:v>1.345743797483137</c:v>
                </c:pt>
                <c:pt idx="76">
                  <c:v>1.344129333189712</c:v>
                </c:pt>
                <c:pt idx="77">
                  <c:v>1.3425148688962865</c:v>
                </c:pt>
                <c:pt idx="78">
                  <c:v>1.3409004046028612</c:v>
                </c:pt>
                <c:pt idx="79">
                  <c:v>1.3392859403094359</c:v>
                </c:pt>
                <c:pt idx="80">
                  <c:v>1.3376714760160104</c:v>
                </c:pt>
                <c:pt idx="81">
                  <c:v>1.3360570117225854</c:v>
                </c:pt>
                <c:pt idx="82">
                  <c:v>1.3344425474291604</c:v>
                </c:pt>
                <c:pt idx="83">
                  <c:v>1.3328280831357349</c:v>
                </c:pt>
                <c:pt idx="84">
                  <c:v>1.3312136188423098</c:v>
                </c:pt>
                <c:pt idx="85">
                  <c:v>1.3295991545488843</c:v>
                </c:pt>
                <c:pt idx="86">
                  <c:v>1.3279846902554593</c:v>
                </c:pt>
                <c:pt idx="87">
                  <c:v>1.3263702259620338</c:v>
                </c:pt>
                <c:pt idx="88">
                  <c:v>1.3247557616686085</c:v>
                </c:pt>
                <c:pt idx="89">
                  <c:v>1.3231412973751833</c:v>
                </c:pt>
                <c:pt idx="90">
                  <c:v>1.3215268330817582</c:v>
                </c:pt>
                <c:pt idx="91">
                  <c:v>1.3199123687883327</c:v>
                </c:pt>
                <c:pt idx="92">
                  <c:v>1.3182979044949077</c:v>
                </c:pt>
                <c:pt idx="93">
                  <c:v>1.3166834402014822</c:v>
                </c:pt>
                <c:pt idx="94">
                  <c:v>1.3150689759080572</c:v>
                </c:pt>
                <c:pt idx="95">
                  <c:v>1.3134545116146317</c:v>
                </c:pt>
                <c:pt idx="96">
                  <c:v>1.3118400473212066</c:v>
                </c:pt>
                <c:pt idx="97">
                  <c:v>1.3102255830277811</c:v>
                </c:pt>
                <c:pt idx="98">
                  <c:v>1.3086111187343561</c:v>
                </c:pt>
                <c:pt idx="99">
                  <c:v>1.3069966544409306</c:v>
                </c:pt>
                <c:pt idx="100">
                  <c:v>1.3053821901475056</c:v>
                </c:pt>
                <c:pt idx="101">
                  <c:v>1.3037677258540803</c:v>
                </c:pt>
                <c:pt idx="102">
                  <c:v>1.302153261560655</c:v>
                </c:pt>
                <c:pt idx="103">
                  <c:v>1.3005387972672298</c:v>
                </c:pt>
                <c:pt idx="104">
                  <c:v>1.2989243329738045</c:v>
                </c:pt>
                <c:pt idx="105">
                  <c:v>1.297309868680379</c:v>
                </c:pt>
                <c:pt idx="106">
                  <c:v>1.295695404386954</c:v>
                </c:pt>
                <c:pt idx="107">
                  <c:v>1.2940809400935287</c:v>
                </c:pt>
                <c:pt idx="108">
                  <c:v>1.2924664758001034</c:v>
                </c:pt>
                <c:pt idx="109">
                  <c:v>1.2908520115066782</c:v>
                </c:pt>
                <c:pt idx="110">
                  <c:v>1.2892375472132529</c:v>
                </c:pt>
                <c:pt idx="111">
                  <c:v>1.2876230829198276</c:v>
                </c:pt>
                <c:pt idx="112">
                  <c:v>1.2860086186264024</c:v>
                </c:pt>
                <c:pt idx="113">
                  <c:v>1.2843941543329769</c:v>
                </c:pt>
                <c:pt idx="114">
                  <c:v>1.2827796900395518</c:v>
                </c:pt>
                <c:pt idx="115">
                  <c:v>1.2811652257461266</c:v>
                </c:pt>
                <c:pt idx="116">
                  <c:v>1.2795507614527013</c:v>
                </c:pt>
                <c:pt idx="117">
                  <c:v>1.2779362971592763</c:v>
                </c:pt>
                <c:pt idx="118">
                  <c:v>1.2763218328658508</c:v>
                </c:pt>
                <c:pt idx="119">
                  <c:v>1.2747073685724257</c:v>
                </c:pt>
                <c:pt idx="120">
                  <c:v>1.2730929042790002</c:v>
                </c:pt>
                <c:pt idx="121">
                  <c:v>1.271478439985575</c:v>
                </c:pt>
                <c:pt idx="122">
                  <c:v>1.2698639756921497</c:v>
                </c:pt>
                <c:pt idx="123">
                  <c:v>1.2682495113987244</c:v>
                </c:pt>
                <c:pt idx="124">
                  <c:v>1.2666350471052992</c:v>
                </c:pt>
                <c:pt idx="125">
                  <c:v>1.2650205828118741</c:v>
                </c:pt>
                <c:pt idx="126">
                  <c:v>1.2634061185184489</c:v>
                </c:pt>
                <c:pt idx="127">
                  <c:v>1.2617916542250236</c:v>
                </c:pt>
              </c:numCache>
            </c:numRef>
          </c:yVal>
        </c:ser>
        <c:ser>
          <c:idx val="4"/>
          <c:order val="4"/>
          <c:tx>
            <c:strRef>
              <c:f>data0!$AA$174</c:f>
              <c:strCache>
                <c:ptCount val="1"/>
                <c:pt idx="0">
                  <c:v>CWF</c:v>
                </c:pt>
              </c:strCache>
            </c:strRef>
          </c:tx>
          <c:marker>
            <c:symbol val="none"/>
          </c:marker>
          <c:xVal>
            <c:numRef>
              <c:f>data0!$O$175:$O$302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data0!$AA$175:$AA$302</c:f>
              <c:numCache>
                <c:formatCode>0.0%</c:formatCode>
                <c:ptCount val="128"/>
                <c:pt idx="0">
                  <c:v>1.4957471453132161</c:v>
                </c:pt>
                <c:pt idx="1">
                  <c:v>1.4940876112854622</c:v>
                </c:pt>
                <c:pt idx="2">
                  <c:v>1.4924280772577085</c:v>
                </c:pt>
                <c:pt idx="3">
                  <c:v>1.4907685432299547</c:v>
                </c:pt>
                <c:pt idx="4">
                  <c:v>1.489109009202201</c:v>
                </c:pt>
                <c:pt idx="5">
                  <c:v>1.4874494751744471</c:v>
                </c:pt>
                <c:pt idx="6">
                  <c:v>1.4857899411466935</c:v>
                </c:pt>
                <c:pt idx="7">
                  <c:v>1.4841304071189398</c:v>
                </c:pt>
                <c:pt idx="8">
                  <c:v>1.4824708730911857</c:v>
                </c:pt>
                <c:pt idx="9">
                  <c:v>1.4808113390634321</c:v>
                </c:pt>
                <c:pt idx="10">
                  <c:v>1.4791518050356784</c:v>
                </c:pt>
                <c:pt idx="11">
                  <c:v>1.4774922710079244</c:v>
                </c:pt>
                <c:pt idx="12">
                  <c:v>1.4758327369801707</c:v>
                </c:pt>
                <c:pt idx="13">
                  <c:v>1.474173202952417</c:v>
                </c:pt>
                <c:pt idx="14">
                  <c:v>1.4725136689246634</c:v>
                </c:pt>
                <c:pt idx="15">
                  <c:v>1.4708541348969093</c:v>
                </c:pt>
                <c:pt idx="16">
                  <c:v>1.4691946008691557</c:v>
                </c:pt>
                <c:pt idx="17">
                  <c:v>1.467535066841402</c:v>
                </c:pt>
                <c:pt idx="18">
                  <c:v>1.4658755328136484</c:v>
                </c:pt>
                <c:pt idx="19">
                  <c:v>1.4642159987858945</c:v>
                </c:pt>
                <c:pt idx="20">
                  <c:v>1.4625564647581406</c:v>
                </c:pt>
                <c:pt idx="21">
                  <c:v>1.460896930730387</c:v>
                </c:pt>
                <c:pt idx="22">
                  <c:v>1.4592373967026333</c:v>
                </c:pt>
                <c:pt idx="23">
                  <c:v>1.4575778626748794</c:v>
                </c:pt>
                <c:pt idx="24">
                  <c:v>1.4559183286471256</c:v>
                </c:pt>
                <c:pt idx="25">
                  <c:v>1.4542587946193719</c:v>
                </c:pt>
                <c:pt idx="26">
                  <c:v>1.452599260591618</c:v>
                </c:pt>
                <c:pt idx="27">
                  <c:v>1.4509397265638644</c:v>
                </c:pt>
                <c:pt idx="28">
                  <c:v>1.4492801925361105</c:v>
                </c:pt>
                <c:pt idx="29">
                  <c:v>1.4476206585083569</c:v>
                </c:pt>
                <c:pt idx="30">
                  <c:v>1.445961124480603</c:v>
                </c:pt>
                <c:pt idx="31">
                  <c:v>1.4443015904528491</c:v>
                </c:pt>
                <c:pt idx="32">
                  <c:v>1.4426420564250955</c:v>
                </c:pt>
                <c:pt idx="33">
                  <c:v>1.4409825223973418</c:v>
                </c:pt>
                <c:pt idx="34">
                  <c:v>1.4393229883695879</c:v>
                </c:pt>
                <c:pt idx="35">
                  <c:v>1.4376634543418341</c:v>
                </c:pt>
                <c:pt idx="36">
                  <c:v>1.4360039203140804</c:v>
                </c:pt>
                <c:pt idx="37">
                  <c:v>1.4343443862863265</c:v>
                </c:pt>
                <c:pt idx="38">
                  <c:v>1.4326848522585729</c:v>
                </c:pt>
                <c:pt idx="39">
                  <c:v>1.431025318230819</c:v>
                </c:pt>
                <c:pt idx="40">
                  <c:v>1.4293657842030654</c:v>
                </c:pt>
                <c:pt idx="41">
                  <c:v>1.4277062501753115</c:v>
                </c:pt>
                <c:pt idx="42">
                  <c:v>1.4260467161475578</c:v>
                </c:pt>
                <c:pt idx="43">
                  <c:v>1.424387182119804</c:v>
                </c:pt>
                <c:pt idx="44">
                  <c:v>1.4227276480920503</c:v>
                </c:pt>
                <c:pt idx="45">
                  <c:v>1.4210681140642965</c:v>
                </c:pt>
                <c:pt idx="46">
                  <c:v>1.4194085800365426</c:v>
                </c:pt>
                <c:pt idx="47">
                  <c:v>1.4177490460087889</c:v>
                </c:pt>
                <c:pt idx="48">
                  <c:v>1.4160895119810353</c:v>
                </c:pt>
                <c:pt idx="49">
                  <c:v>1.4144299779532814</c:v>
                </c:pt>
                <c:pt idx="50">
                  <c:v>1.4127704439255278</c:v>
                </c:pt>
                <c:pt idx="51">
                  <c:v>1.4111109098977739</c:v>
                </c:pt>
                <c:pt idx="52">
                  <c:v>1.4094513758700202</c:v>
                </c:pt>
                <c:pt idx="53">
                  <c:v>1.4077918418422661</c:v>
                </c:pt>
                <c:pt idx="54">
                  <c:v>1.4061323078145127</c:v>
                </c:pt>
                <c:pt idx="55">
                  <c:v>1.4044727737867588</c:v>
                </c:pt>
                <c:pt idx="56">
                  <c:v>1.4028132397590052</c:v>
                </c:pt>
                <c:pt idx="57">
                  <c:v>1.4011537057312513</c:v>
                </c:pt>
                <c:pt idx="58">
                  <c:v>1.3994941717034974</c:v>
                </c:pt>
                <c:pt idx="59">
                  <c:v>1.3978346376757438</c:v>
                </c:pt>
                <c:pt idx="60">
                  <c:v>1.3961751036479901</c:v>
                </c:pt>
                <c:pt idx="61">
                  <c:v>1.3945155696202363</c:v>
                </c:pt>
                <c:pt idx="62">
                  <c:v>1.3928560355924824</c:v>
                </c:pt>
                <c:pt idx="63">
                  <c:v>1.3911965015647287</c:v>
                </c:pt>
                <c:pt idx="64">
                  <c:v>1.2652275854196113</c:v>
                </c:pt>
                <c:pt idx="65">
                  <c:v>1.2635680513918577</c:v>
                </c:pt>
                <c:pt idx="66">
                  <c:v>1.2619085173641038</c:v>
                </c:pt>
                <c:pt idx="67">
                  <c:v>1.2602489833363502</c:v>
                </c:pt>
                <c:pt idx="68">
                  <c:v>1.2585894493085963</c:v>
                </c:pt>
                <c:pt idx="69">
                  <c:v>1.2569299152808426</c:v>
                </c:pt>
                <c:pt idx="70">
                  <c:v>1.255270381253089</c:v>
                </c:pt>
                <c:pt idx="71">
                  <c:v>1.2536108472253351</c:v>
                </c:pt>
                <c:pt idx="72">
                  <c:v>1.2519513131975812</c:v>
                </c:pt>
                <c:pt idx="73">
                  <c:v>1.2502917791698276</c:v>
                </c:pt>
                <c:pt idx="74">
                  <c:v>1.2486322451420739</c:v>
                </c:pt>
                <c:pt idx="75">
                  <c:v>1.2469727111143198</c:v>
                </c:pt>
                <c:pt idx="76">
                  <c:v>1.2453131770865662</c:v>
                </c:pt>
                <c:pt idx="77">
                  <c:v>1.2436536430588125</c:v>
                </c:pt>
                <c:pt idx="78">
                  <c:v>1.2419941090310589</c:v>
                </c:pt>
                <c:pt idx="79">
                  <c:v>1.2403345750033048</c:v>
                </c:pt>
                <c:pt idx="80">
                  <c:v>1.2386750409755511</c:v>
                </c:pt>
                <c:pt idx="81">
                  <c:v>1.2370155069477975</c:v>
                </c:pt>
                <c:pt idx="82">
                  <c:v>1.2353559729200436</c:v>
                </c:pt>
                <c:pt idx="83">
                  <c:v>1.2336964388922897</c:v>
                </c:pt>
                <c:pt idx="84">
                  <c:v>1.2320369048645361</c:v>
                </c:pt>
                <c:pt idx="85">
                  <c:v>1.2303773708367824</c:v>
                </c:pt>
                <c:pt idx="86">
                  <c:v>1.2287178368090284</c:v>
                </c:pt>
                <c:pt idx="87">
                  <c:v>1.2270583027812747</c:v>
                </c:pt>
                <c:pt idx="88">
                  <c:v>1.2253987687535211</c:v>
                </c:pt>
                <c:pt idx="89">
                  <c:v>1.2237392347257672</c:v>
                </c:pt>
                <c:pt idx="90">
                  <c:v>1.2220797006980135</c:v>
                </c:pt>
                <c:pt idx="91">
                  <c:v>1.2204201666702597</c:v>
                </c:pt>
                <c:pt idx="92">
                  <c:v>1.218760632642506</c:v>
                </c:pt>
                <c:pt idx="93">
                  <c:v>1.2171010986147524</c:v>
                </c:pt>
                <c:pt idx="94">
                  <c:v>1.2154415645869987</c:v>
                </c:pt>
                <c:pt idx="95">
                  <c:v>1.2137820305592446</c:v>
                </c:pt>
                <c:pt idx="96">
                  <c:v>1.212122496531491</c:v>
                </c:pt>
                <c:pt idx="97">
                  <c:v>1.2104629625037373</c:v>
                </c:pt>
                <c:pt idx="98">
                  <c:v>1.2088034284759832</c:v>
                </c:pt>
                <c:pt idx="99">
                  <c:v>1.2071438944482296</c:v>
                </c:pt>
                <c:pt idx="100">
                  <c:v>1.2054843604204759</c:v>
                </c:pt>
                <c:pt idx="101">
                  <c:v>1.203824826392722</c:v>
                </c:pt>
                <c:pt idx="102">
                  <c:v>1.2021652923649684</c:v>
                </c:pt>
                <c:pt idx="103">
                  <c:v>1.2005057583372145</c:v>
                </c:pt>
                <c:pt idx="104">
                  <c:v>1.1988462243094609</c:v>
                </c:pt>
                <c:pt idx="105">
                  <c:v>1.1971866902817068</c:v>
                </c:pt>
                <c:pt idx="106">
                  <c:v>1.1955271562539531</c:v>
                </c:pt>
                <c:pt idx="107">
                  <c:v>1.1938676222261995</c:v>
                </c:pt>
                <c:pt idx="108">
                  <c:v>1.1922080881984458</c:v>
                </c:pt>
                <c:pt idx="109">
                  <c:v>1.1905485541706919</c:v>
                </c:pt>
                <c:pt idx="110">
                  <c:v>1.1888890201429381</c:v>
                </c:pt>
                <c:pt idx="111">
                  <c:v>1.1872294861151844</c:v>
                </c:pt>
                <c:pt idx="112">
                  <c:v>1.1855699520874308</c:v>
                </c:pt>
                <c:pt idx="113">
                  <c:v>1.1839104180596769</c:v>
                </c:pt>
                <c:pt idx="114">
                  <c:v>1.1822508840319232</c:v>
                </c:pt>
                <c:pt idx="115">
                  <c:v>1.1805913500041694</c:v>
                </c:pt>
                <c:pt idx="116">
                  <c:v>1.1789318159764157</c:v>
                </c:pt>
                <c:pt idx="117">
                  <c:v>1.1772722819486618</c:v>
                </c:pt>
                <c:pt idx="118">
                  <c:v>1.175612747920908</c:v>
                </c:pt>
                <c:pt idx="119">
                  <c:v>1.1739532138931543</c:v>
                </c:pt>
                <c:pt idx="120">
                  <c:v>1.1722936798654007</c:v>
                </c:pt>
                <c:pt idx="121">
                  <c:v>1.1706341458376468</c:v>
                </c:pt>
                <c:pt idx="122">
                  <c:v>1.1689746118098929</c:v>
                </c:pt>
                <c:pt idx="123">
                  <c:v>1.1673150777821393</c:v>
                </c:pt>
                <c:pt idx="124">
                  <c:v>1.1656555437543854</c:v>
                </c:pt>
                <c:pt idx="125">
                  <c:v>1.1639960097266318</c:v>
                </c:pt>
                <c:pt idx="126">
                  <c:v>1.1623364756988779</c:v>
                </c:pt>
                <c:pt idx="127">
                  <c:v>1.1606769416711242</c:v>
                </c:pt>
              </c:numCache>
            </c:numRef>
          </c:yVal>
        </c:ser>
        <c:ser>
          <c:idx val="5"/>
          <c:order val="5"/>
          <c:tx>
            <c:strRef>
              <c:f>data0!$AB$174</c:f>
              <c:strCache>
                <c:ptCount val="1"/>
                <c:pt idx="0">
                  <c:v>D65</c:v>
                </c:pt>
              </c:strCache>
            </c:strRef>
          </c:tx>
          <c:marker>
            <c:symbol val="none"/>
          </c:marker>
          <c:xVal>
            <c:numRef>
              <c:f>data0!$O$175:$O$302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data0!$AB$175:$AB$302</c:f>
              <c:numCache>
                <c:formatCode>0.0%</c:formatCode>
                <c:ptCount val="128"/>
                <c:pt idx="0">
                  <c:v>3.2263319901912584</c:v>
                </c:pt>
                <c:pt idx="1">
                  <c:v>3.2071299151509458</c:v>
                </c:pt>
                <c:pt idx="2">
                  <c:v>3.1879278401106328</c:v>
                </c:pt>
                <c:pt idx="3">
                  <c:v>3.1687257650703198</c:v>
                </c:pt>
                <c:pt idx="4">
                  <c:v>3.1495236900300072</c:v>
                </c:pt>
                <c:pt idx="5">
                  <c:v>3.1303216149896942</c:v>
                </c:pt>
                <c:pt idx="6">
                  <c:v>3.1111195399493812</c:v>
                </c:pt>
                <c:pt idx="7">
                  <c:v>3.0919174649090682</c:v>
                </c:pt>
                <c:pt idx="8">
                  <c:v>3.0727153898687556</c:v>
                </c:pt>
                <c:pt idx="9">
                  <c:v>3.0535133148284426</c:v>
                </c:pt>
                <c:pt idx="10">
                  <c:v>3.0343112397881296</c:v>
                </c:pt>
                <c:pt idx="11">
                  <c:v>3.0151091647478165</c:v>
                </c:pt>
                <c:pt idx="12">
                  <c:v>2.9959070897075035</c:v>
                </c:pt>
                <c:pt idx="13">
                  <c:v>2.976705014667191</c:v>
                </c:pt>
                <c:pt idx="14">
                  <c:v>2.9575029396268779</c:v>
                </c:pt>
                <c:pt idx="15">
                  <c:v>2.9383008645865645</c:v>
                </c:pt>
                <c:pt idx="16">
                  <c:v>2.9190987895462519</c:v>
                </c:pt>
                <c:pt idx="17">
                  <c:v>2.8998967145059389</c:v>
                </c:pt>
                <c:pt idx="18">
                  <c:v>2.8806946394656263</c:v>
                </c:pt>
                <c:pt idx="19">
                  <c:v>2.8614925644253133</c:v>
                </c:pt>
                <c:pt idx="20">
                  <c:v>2.8422904893850003</c:v>
                </c:pt>
                <c:pt idx="21">
                  <c:v>2.8230884143446873</c:v>
                </c:pt>
                <c:pt idx="22">
                  <c:v>2.8038863393043747</c:v>
                </c:pt>
                <c:pt idx="23">
                  <c:v>2.7846842642640617</c:v>
                </c:pt>
                <c:pt idx="24">
                  <c:v>2.7654821892237487</c:v>
                </c:pt>
                <c:pt idx="25">
                  <c:v>2.7462801141834361</c:v>
                </c:pt>
                <c:pt idx="26">
                  <c:v>2.7270780391431231</c:v>
                </c:pt>
                <c:pt idx="27">
                  <c:v>2.7078759641028101</c:v>
                </c:pt>
                <c:pt idx="28">
                  <c:v>2.6886738890624975</c:v>
                </c:pt>
                <c:pt idx="29">
                  <c:v>2.6694718140221845</c:v>
                </c:pt>
                <c:pt idx="30">
                  <c:v>2.650269738981871</c:v>
                </c:pt>
                <c:pt idx="31">
                  <c:v>2.6310676639415584</c:v>
                </c:pt>
                <c:pt idx="32">
                  <c:v>2.6118655889012454</c:v>
                </c:pt>
                <c:pt idx="33">
                  <c:v>2.5926635138609329</c:v>
                </c:pt>
                <c:pt idx="34">
                  <c:v>2.5734614388206198</c:v>
                </c:pt>
                <c:pt idx="35">
                  <c:v>2.5542593637803068</c:v>
                </c:pt>
                <c:pt idx="36">
                  <c:v>2.5350572887399943</c:v>
                </c:pt>
                <c:pt idx="37">
                  <c:v>2.5158552136996812</c:v>
                </c:pt>
                <c:pt idx="38">
                  <c:v>2.4966531386593682</c:v>
                </c:pt>
                <c:pt idx="39">
                  <c:v>2.4774510636190552</c:v>
                </c:pt>
                <c:pt idx="40">
                  <c:v>2.4582489885787426</c:v>
                </c:pt>
                <c:pt idx="41">
                  <c:v>2.4390469135384292</c:v>
                </c:pt>
                <c:pt idx="42">
                  <c:v>2.4198448384981166</c:v>
                </c:pt>
                <c:pt idx="43">
                  <c:v>2.400642763457804</c:v>
                </c:pt>
                <c:pt idx="44">
                  <c:v>2.3814406884174906</c:v>
                </c:pt>
                <c:pt idx="45">
                  <c:v>2.362238613377178</c:v>
                </c:pt>
                <c:pt idx="46">
                  <c:v>2.3430365383368654</c:v>
                </c:pt>
                <c:pt idx="47">
                  <c:v>2.323834463296552</c:v>
                </c:pt>
                <c:pt idx="48">
                  <c:v>2.304632388256239</c:v>
                </c:pt>
                <c:pt idx="49">
                  <c:v>2.2854303132159264</c:v>
                </c:pt>
                <c:pt idx="50">
                  <c:v>2.2662282381756134</c:v>
                </c:pt>
                <c:pt idx="51">
                  <c:v>2.2470261631353003</c:v>
                </c:pt>
                <c:pt idx="52">
                  <c:v>2.2278240880949873</c:v>
                </c:pt>
                <c:pt idx="53">
                  <c:v>2.2086220130546748</c:v>
                </c:pt>
                <c:pt idx="54">
                  <c:v>2.1894199380143617</c:v>
                </c:pt>
                <c:pt idx="55">
                  <c:v>2.1702178629740487</c:v>
                </c:pt>
                <c:pt idx="56">
                  <c:v>2.1510157879337357</c:v>
                </c:pt>
                <c:pt idx="57">
                  <c:v>2.1318137128934227</c:v>
                </c:pt>
                <c:pt idx="58">
                  <c:v>2.1126116378531101</c:v>
                </c:pt>
                <c:pt idx="59">
                  <c:v>2.0934095628127971</c:v>
                </c:pt>
                <c:pt idx="60">
                  <c:v>2.0742074877724841</c:v>
                </c:pt>
                <c:pt idx="61">
                  <c:v>2.0550054127321715</c:v>
                </c:pt>
                <c:pt idx="62">
                  <c:v>2.0358033376918581</c:v>
                </c:pt>
                <c:pt idx="63">
                  <c:v>2.0166012626515455</c:v>
                </c:pt>
                <c:pt idx="64">
                  <c:v>0.66863630259827256</c:v>
                </c:pt>
                <c:pt idx="65">
                  <c:v>0.64943422755795943</c:v>
                </c:pt>
                <c:pt idx="66">
                  <c:v>0.63023215251764664</c:v>
                </c:pt>
                <c:pt idx="67">
                  <c:v>0.61103007747733384</c:v>
                </c:pt>
                <c:pt idx="68">
                  <c:v>0.59182800243702072</c:v>
                </c:pt>
                <c:pt idx="69">
                  <c:v>0.57262592739670792</c:v>
                </c:pt>
                <c:pt idx="70">
                  <c:v>0.55342385235639513</c:v>
                </c:pt>
                <c:pt idx="71">
                  <c:v>0.534221777316082</c:v>
                </c:pt>
                <c:pt idx="72">
                  <c:v>0.51501970227576921</c:v>
                </c:pt>
                <c:pt idx="73">
                  <c:v>0.4958176272354563</c:v>
                </c:pt>
                <c:pt idx="74">
                  <c:v>0.47661555219514318</c:v>
                </c:pt>
                <c:pt idx="75">
                  <c:v>0.45741347715483083</c:v>
                </c:pt>
                <c:pt idx="76">
                  <c:v>0.43821140211451759</c:v>
                </c:pt>
                <c:pt idx="77">
                  <c:v>0.41900932707420457</c:v>
                </c:pt>
                <c:pt idx="78">
                  <c:v>0.399807252033892</c:v>
                </c:pt>
                <c:pt idx="79">
                  <c:v>0.38060517699357899</c:v>
                </c:pt>
                <c:pt idx="80">
                  <c:v>0.36140310195326575</c:v>
                </c:pt>
                <c:pt idx="81">
                  <c:v>0.34220102691295318</c:v>
                </c:pt>
                <c:pt idx="82">
                  <c:v>0.32299895187264016</c:v>
                </c:pt>
                <c:pt idx="83">
                  <c:v>0.30379687683232692</c:v>
                </c:pt>
                <c:pt idx="84">
                  <c:v>0.28459480179201457</c:v>
                </c:pt>
                <c:pt idx="85">
                  <c:v>0.26539272675170134</c:v>
                </c:pt>
                <c:pt idx="86">
                  <c:v>0.24619065171138832</c:v>
                </c:pt>
                <c:pt idx="87">
                  <c:v>0.22698857667107575</c:v>
                </c:pt>
                <c:pt idx="88">
                  <c:v>0.20778650163076273</c:v>
                </c:pt>
                <c:pt idx="89">
                  <c:v>0.18858442659044949</c:v>
                </c:pt>
                <c:pt idx="90">
                  <c:v>0.16938235155013714</c:v>
                </c:pt>
                <c:pt idx="91">
                  <c:v>0.15018027650982391</c:v>
                </c:pt>
                <c:pt idx="92">
                  <c:v>0.13097820146951089</c:v>
                </c:pt>
                <c:pt idx="93">
                  <c:v>0.11177612642919832</c:v>
                </c:pt>
                <c:pt idx="94">
                  <c:v>9.2574051388885303E-2</c:v>
                </c:pt>
                <c:pt idx="95">
                  <c:v>7.3371976348572066E-2</c:v>
                </c:pt>
                <c:pt idx="96">
                  <c:v>5.4169901308259494E-2</c:v>
                </c:pt>
                <c:pt idx="97">
                  <c:v>3.4967826267946478E-2</c:v>
                </c:pt>
                <c:pt idx="98">
                  <c:v>1.5765751227633462E-2</c:v>
                </c:pt>
                <c:pt idx="99">
                  <c:v>-3.4363238126791096E-3</c:v>
                </c:pt>
                <c:pt idx="100">
                  <c:v>-2.2638398852992125E-2</c:v>
                </c:pt>
                <c:pt idx="101">
                  <c:v>-4.1840473893305141E-2</c:v>
                </c:pt>
                <c:pt idx="102">
                  <c:v>-6.1042548933617713E-2</c:v>
                </c:pt>
                <c:pt idx="103">
                  <c:v>-8.0244623973930951E-2</c:v>
                </c:pt>
                <c:pt idx="104">
                  <c:v>-9.9446699014243523E-2</c:v>
                </c:pt>
                <c:pt idx="105">
                  <c:v>-0.11864877405455654</c:v>
                </c:pt>
                <c:pt idx="106">
                  <c:v>-0.13785084909486978</c:v>
                </c:pt>
                <c:pt idx="107">
                  <c:v>-0.15705292413518235</c:v>
                </c:pt>
                <c:pt idx="108">
                  <c:v>-0.17625499917549536</c:v>
                </c:pt>
                <c:pt idx="109">
                  <c:v>-0.19545707421580838</c:v>
                </c:pt>
                <c:pt idx="110">
                  <c:v>-0.21465914925612095</c:v>
                </c:pt>
                <c:pt idx="111">
                  <c:v>-0.23386122429643397</c:v>
                </c:pt>
                <c:pt idx="112">
                  <c:v>-0.25306329933674721</c:v>
                </c:pt>
                <c:pt idx="113">
                  <c:v>-0.27226537437705955</c:v>
                </c:pt>
                <c:pt idx="114">
                  <c:v>-0.29146744941737279</c:v>
                </c:pt>
                <c:pt idx="115">
                  <c:v>-0.31066952445768581</c:v>
                </c:pt>
                <c:pt idx="116">
                  <c:v>-0.32987159949799838</c:v>
                </c:pt>
                <c:pt idx="117">
                  <c:v>-0.34907367453831162</c:v>
                </c:pt>
                <c:pt idx="118">
                  <c:v>-0.36827574957862463</c:v>
                </c:pt>
                <c:pt idx="119">
                  <c:v>-0.38747782461893721</c:v>
                </c:pt>
                <c:pt idx="120">
                  <c:v>-0.40667989965925022</c:v>
                </c:pt>
                <c:pt idx="121">
                  <c:v>-0.42588197469956324</c:v>
                </c:pt>
                <c:pt idx="122">
                  <c:v>-0.44508404973987581</c:v>
                </c:pt>
                <c:pt idx="123">
                  <c:v>-0.46428612478018882</c:v>
                </c:pt>
                <c:pt idx="124">
                  <c:v>-0.48348819982050184</c:v>
                </c:pt>
                <c:pt idx="125">
                  <c:v>-0.50269027486081441</c:v>
                </c:pt>
                <c:pt idx="126">
                  <c:v>-0.52189234990112743</c:v>
                </c:pt>
                <c:pt idx="127">
                  <c:v>-0.54109442494144089</c:v>
                </c:pt>
              </c:numCache>
            </c:numRef>
          </c:yVal>
        </c:ser>
        <c:axId val="138435200"/>
        <c:axId val="138449280"/>
      </c:scatterChart>
      <c:valAx>
        <c:axId val="138435200"/>
        <c:scaling>
          <c:orientation val="minMax"/>
          <c:max val="63"/>
          <c:min val="40"/>
        </c:scaling>
        <c:axPos val="b"/>
        <c:numFmt formatCode="General" sourceLinked="1"/>
        <c:tickLblPos val="nextTo"/>
        <c:crossAx val="138449280"/>
        <c:crosses val="autoZero"/>
        <c:crossBetween val="midCat"/>
      </c:valAx>
      <c:valAx>
        <c:axId val="138449280"/>
        <c:scaling>
          <c:orientation val="minMax"/>
          <c:max val="2.2000000000000002"/>
          <c:min val="1.2"/>
        </c:scaling>
        <c:axPos val="l"/>
        <c:majorGridlines/>
        <c:numFmt formatCode="0%" sourceLinked="0"/>
        <c:tickLblPos val="nextTo"/>
        <c:crossAx val="138435200"/>
        <c:crosses val="autoZero"/>
        <c:crossBetween val="midCat"/>
      </c:valAx>
    </c:plotArea>
    <c:legend>
      <c:legendPos val="r"/>
      <c:layout/>
    </c:legend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uvGraph!$B$4</c:f>
              <c:strCache>
                <c:ptCount val="1"/>
                <c:pt idx="0">
                  <c:v>HZ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C00000"/>
              </a:solidFill>
            </c:spPr>
          </c:marker>
          <c:xVal>
            <c:numRef>
              <c:f>uvGraph!$F$4:$F$35</c:f>
              <c:numCache>
                <c:formatCode>0.0000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0.31824746608795174</c:v>
                </c:pt>
                <c:pt idx="3">
                  <c:v>0.28564032499360575</c:v>
                </c:pt>
                <c:pt idx="4">
                  <c:v>0</c:v>
                </c:pt>
                <c:pt idx="5">
                  <c:v>0.27668089584960132</c:v>
                </c:pt>
                <c:pt idx="6">
                  <c:v>0.29032962615983937</c:v>
                </c:pt>
                <c:pt idx="7">
                  <c:v>0</c:v>
                </c:pt>
                <c:pt idx="8">
                  <c:v>0.32870629644651023</c:v>
                </c:pt>
                <c:pt idx="9">
                  <c:v>0.28113422163056173</c:v>
                </c:pt>
                <c:pt idx="10">
                  <c:v>0.27867385512948556</c:v>
                </c:pt>
                <c:pt idx="11">
                  <c:v>0.28608080871047836</c:v>
                </c:pt>
                <c:pt idx="12">
                  <c:v>0.27893204132815264</c:v>
                </c:pt>
                <c:pt idx="13">
                  <c:v>0.27418140829213522</c:v>
                </c:pt>
                <c:pt idx="14">
                  <c:v>0.27498666286333834</c:v>
                </c:pt>
                <c:pt idx="15">
                  <c:v>0.27298912375218509</c:v>
                </c:pt>
                <c:pt idx="16">
                  <c:v>0.29872127230787965</c:v>
                </c:pt>
                <c:pt idx="17">
                  <c:v>0.32178960706482501</c:v>
                </c:pt>
                <c:pt idx="18">
                  <c:v>0.27882325826258997</c:v>
                </c:pt>
                <c:pt idx="19">
                  <c:v>0.2853916218602191</c:v>
                </c:pt>
                <c:pt idx="20">
                  <c:v>0.28283459461944954</c:v>
                </c:pt>
                <c:pt idx="21">
                  <c:v>0.27401727558340477</c:v>
                </c:pt>
                <c:pt idx="22">
                  <c:v>0.32612425863027017</c:v>
                </c:pt>
                <c:pt idx="23">
                  <c:v>0.31488993259905401</c:v>
                </c:pt>
                <c:pt idx="24">
                  <c:v>0.34255601752341397</c:v>
                </c:pt>
                <c:pt idx="25">
                  <c:v>0.38586684744747091</c:v>
                </c:pt>
                <c:pt idx="26">
                  <c:v>0</c:v>
                </c:pt>
                <c:pt idx="27">
                  <c:v>0.27496349032292194</c:v>
                </c:pt>
                <c:pt idx="28">
                  <c:v>0.36061108636236311</c:v>
                </c:pt>
                <c:pt idx="29">
                  <c:v>0.27373027220099638</c:v>
                </c:pt>
                <c:pt idx="30">
                  <c:v>0.28930130692809397</c:v>
                </c:pt>
                <c:pt idx="31">
                  <c:v>0.26969023620368332</c:v>
                </c:pt>
              </c:numCache>
            </c:numRef>
          </c:xVal>
          <c:yVal>
            <c:numRef>
              <c:f>uvGraph!$G$4:$G$35</c:f>
              <c:numCache>
                <c:formatCode>0.0000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0.25282483362218755</c:v>
                </c:pt>
                <c:pt idx="3">
                  <c:v>-2.9716095351837862E-2</c:v>
                </c:pt>
                <c:pt idx="4">
                  <c:v>0</c:v>
                </c:pt>
                <c:pt idx="5">
                  <c:v>0.3585424937708569</c:v>
                </c:pt>
                <c:pt idx="6">
                  <c:v>0.33023684749149013</c:v>
                </c:pt>
                <c:pt idx="7">
                  <c:v>0</c:v>
                </c:pt>
                <c:pt idx="8">
                  <c:v>0.26666031651432842</c:v>
                </c:pt>
                <c:pt idx="9">
                  <c:v>0.35761329077150089</c:v>
                </c:pt>
                <c:pt idx="10">
                  <c:v>0.36297122631029677</c:v>
                </c:pt>
                <c:pt idx="11">
                  <c:v>0.32919828654727512</c:v>
                </c:pt>
                <c:pt idx="12">
                  <c:v>0.36363509922966247</c:v>
                </c:pt>
                <c:pt idx="13">
                  <c:v>0.36176426031580816</c:v>
                </c:pt>
                <c:pt idx="14">
                  <c:v>0.35911588306594505</c:v>
                </c:pt>
                <c:pt idx="15">
                  <c:v>0.36421955588601768</c:v>
                </c:pt>
                <c:pt idx="16">
                  <c:v>0.33013638333268797</c:v>
                </c:pt>
                <c:pt idx="17">
                  <c:v>0.25903799975188729</c:v>
                </c:pt>
                <c:pt idx="18">
                  <c:v>0.22468484791968724</c:v>
                </c:pt>
                <c:pt idx="19">
                  <c:v>0.17890782199562857</c:v>
                </c:pt>
                <c:pt idx="20">
                  <c:v>0.35779465959786477</c:v>
                </c:pt>
                <c:pt idx="21">
                  <c:v>0.35880878072572686</c:v>
                </c:pt>
                <c:pt idx="22">
                  <c:v>0.26179031911402589</c:v>
                </c:pt>
                <c:pt idx="23">
                  <c:v>0.227470264441929</c:v>
                </c:pt>
                <c:pt idx="24">
                  <c:v>0.10986295794476611</c:v>
                </c:pt>
                <c:pt idx="25">
                  <c:v>0.12200805031479517</c:v>
                </c:pt>
                <c:pt idx="26">
                  <c:v>0</c:v>
                </c:pt>
                <c:pt idx="27">
                  <c:v>0.3638878950195521</c:v>
                </c:pt>
                <c:pt idx="28">
                  <c:v>0.30454718180951307</c:v>
                </c:pt>
                <c:pt idx="29">
                  <c:v>0.36618646955197787</c:v>
                </c:pt>
                <c:pt idx="30">
                  <c:v>0.34830345119447892</c:v>
                </c:pt>
                <c:pt idx="31">
                  <c:v>0.36036016351187944</c:v>
                </c:pt>
              </c:numCache>
            </c:numRef>
          </c:yVal>
        </c:ser>
        <c:ser>
          <c:idx val="1"/>
          <c:order val="1"/>
          <c:tx>
            <c:strRef>
              <c:f>uvGraph!$B$36</c:f>
              <c:strCache>
                <c:ptCount val="1"/>
                <c:pt idx="0">
                  <c:v>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FF0000"/>
              </a:solidFill>
            </c:spPr>
          </c:marker>
          <c:xVal>
            <c:numRef>
              <c:f>uvGraph!$F$36:$F$67</c:f>
              <c:numCache>
                <c:formatCode>0.0000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0.2256200659029069</c:v>
                </c:pt>
                <c:pt idx="3">
                  <c:v>0.22092752938823934</c:v>
                </c:pt>
                <c:pt idx="4">
                  <c:v>0</c:v>
                </c:pt>
                <c:pt idx="5">
                  <c:v>0.2588642281859419</c:v>
                </c:pt>
                <c:pt idx="6">
                  <c:v>0.25340301410333144</c:v>
                </c:pt>
                <c:pt idx="7">
                  <c:v>0</c:v>
                </c:pt>
                <c:pt idx="8">
                  <c:v>0.25025596511970016</c:v>
                </c:pt>
                <c:pt idx="9">
                  <c:v>0.26005623521377502</c:v>
                </c:pt>
                <c:pt idx="10">
                  <c:v>0.26421416832277667</c:v>
                </c:pt>
                <c:pt idx="11">
                  <c:v>0.25506823448734273</c:v>
                </c:pt>
                <c:pt idx="12">
                  <c:v>0.26540116403617525</c:v>
                </c:pt>
                <c:pt idx="13">
                  <c:v>0.26303031361724732</c:v>
                </c:pt>
                <c:pt idx="14">
                  <c:v>0.26141821365183177</c:v>
                </c:pt>
                <c:pt idx="15">
                  <c:v>0.26655969350693232</c:v>
                </c:pt>
                <c:pt idx="16">
                  <c:v>0.25469085258410346</c:v>
                </c:pt>
                <c:pt idx="17">
                  <c:v>0.24593358206984922</c:v>
                </c:pt>
                <c:pt idx="18">
                  <c:v>0.24665552705116742</c:v>
                </c:pt>
                <c:pt idx="19">
                  <c:v>0.23802000053572595</c:v>
                </c:pt>
                <c:pt idx="20">
                  <c:v>0.26080530770451354</c:v>
                </c:pt>
                <c:pt idx="21">
                  <c:v>0.26195163220862777</c:v>
                </c:pt>
                <c:pt idx="22">
                  <c:v>0.22946322956648571</c:v>
                </c:pt>
                <c:pt idx="23">
                  <c:v>0.24965735807313696</c:v>
                </c:pt>
                <c:pt idx="24">
                  <c:v>0.22529799486854238</c:v>
                </c:pt>
                <c:pt idx="25">
                  <c:v>0.86563246919403536</c:v>
                </c:pt>
                <c:pt idx="26">
                  <c:v>0</c:v>
                </c:pt>
                <c:pt idx="27">
                  <c:v>0.26515318214442152</c:v>
                </c:pt>
                <c:pt idx="28">
                  <c:v>0.23356004659903734</c:v>
                </c:pt>
                <c:pt idx="29">
                  <c:v>0.26864007331459117</c:v>
                </c:pt>
                <c:pt idx="30">
                  <c:v>0.257665174496017</c:v>
                </c:pt>
                <c:pt idx="31">
                  <c:v>0.26129718329854179</c:v>
                </c:pt>
              </c:numCache>
            </c:numRef>
          </c:xVal>
          <c:yVal>
            <c:numRef>
              <c:f>uvGraph!$G$36:$G$67</c:f>
              <c:numCache>
                <c:formatCode>0.0000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0.31621147477006706</c:v>
                </c:pt>
                <c:pt idx="3">
                  <c:v>0.3121972550907719</c:v>
                </c:pt>
                <c:pt idx="4">
                  <c:v>0</c:v>
                </c:pt>
                <c:pt idx="5">
                  <c:v>0.3543215284816848</c:v>
                </c:pt>
                <c:pt idx="6">
                  <c:v>0.34684770734557807</c:v>
                </c:pt>
                <c:pt idx="7">
                  <c:v>0</c:v>
                </c:pt>
                <c:pt idx="8">
                  <c:v>0.34244697577563432</c:v>
                </c:pt>
                <c:pt idx="9">
                  <c:v>0.35434450999690292</c:v>
                </c:pt>
                <c:pt idx="10">
                  <c:v>0.35811464771571094</c:v>
                </c:pt>
                <c:pt idx="11">
                  <c:v>0.34773611153803574</c:v>
                </c:pt>
                <c:pt idx="12">
                  <c:v>0.35933100924290218</c:v>
                </c:pt>
                <c:pt idx="13">
                  <c:v>0.35820821567572608</c:v>
                </c:pt>
                <c:pt idx="14">
                  <c:v>0.35613565603791625</c:v>
                </c:pt>
                <c:pt idx="15">
                  <c:v>0.36236096053175293</c:v>
                </c:pt>
                <c:pt idx="16">
                  <c:v>0.34728289432819776</c:v>
                </c:pt>
                <c:pt idx="17">
                  <c:v>0.33803853229619418</c:v>
                </c:pt>
                <c:pt idx="18">
                  <c:v>0.34155552352684615</c:v>
                </c:pt>
                <c:pt idx="19">
                  <c:v>0.33293154445968515</c:v>
                </c:pt>
                <c:pt idx="20">
                  <c:v>0.35442309454303073</c:v>
                </c:pt>
                <c:pt idx="21">
                  <c:v>0.3567086475049539</c:v>
                </c:pt>
                <c:pt idx="22">
                  <c:v>0.31963604642135068</c:v>
                </c:pt>
                <c:pt idx="23">
                  <c:v>0.34306861655476395</c:v>
                </c:pt>
                <c:pt idx="24">
                  <c:v>0.31389211612398776</c:v>
                </c:pt>
                <c:pt idx="25">
                  <c:v>1.1207110438883157</c:v>
                </c:pt>
                <c:pt idx="26">
                  <c:v>0</c:v>
                </c:pt>
                <c:pt idx="27">
                  <c:v>0.36024982086319229</c:v>
                </c:pt>
                <c:pt idx="28">
                  <c:v>0.31850883313590378</c:v>
                </c:pt>
                <c:pt idx="29">
                  <c:v>0.36399344067999723</c:v>
                </c:pt>
                <c:pt idx="30">
                  <c:v>0.35126294343816539</c:v>
                </c:pt>
                <c:pt idx="31">
                  <c:v>0.35762638493234139</c:v>
                </c:pt>
              </c:numCache>
            </c:numRef>
          </c:yVal>
        </c:ser>
        <c:ser>
          <c:idx val="2"/>
          <c:order val="2"/>
          <c:tx>
            <c:strRef>
              <c:f>uvGraph!$B$68</c:f>
              <c:strCache>
                <c:ptCount val="1"/>
                <c:pt idx="0">
                  <c:v>U30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FFC000"/>
              </a:solidFill>
            </c:spPr>
          </c:marker>
          <c:xVal>
            <c:numRef>
              <c:f>uvGraph!$F$68:$F$99</c:f>
              <c:numCache>
                <c:formatCode>0.0000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0.2485316497615814</c:v>
                </c:pt>
                <c:pt idx="3">
                  <c:v>0.24872940730871612</c:v>
                </c:pt>
                <c:pt idx="4">
                  <c:v>0</c:v>
                </c:pt>
                <c:pt idx="5">
                  <c:v>0.2495293278447939</c:v>
                </c:pt>
                <c:pt idx="6">
                  <c:v>0.24861910807025206</c:v>
                </c:pt>
                <c:pt idx="7">
                  <c:v>0</c:v>
                </c:pt>
                <c:pt idx="8">
                  <c:v>0.24698488393168713</c:v>
                </c:pt>
                <c:pt idx="9">
                  <c:v>0.2496679950089955</c:v>
                </c:pt>
                <c:pt idx="10">
                  <c:v>0.246787726776063</c:v>
                </c:pt>
                <c:pt idx="11">
                  <c:v>0.24968605616049769</c:v>
                </c:pt>
                <c:pt idx="12">
                  <c:v>0.24892091429945856</c:v>
                </c:pt>
                <c:pt idx="13">
                  <c:v>0.24882443697463094</c:v>
                </c:pt>
                <c:pt idx="14">
                  <c:v>0.24761100050323204</c:v>
                </c:pt>
                <c:pt idx="15">
                  <c:v>0.24906865691757285</c:v>
                </c:pt>
                <c:pt idx="16">
                  <c:v>0.25067171555602102</c:v>
                </c:pt>
                <c:pt idx="17">
                  <c:v>0.25139754111772444</c:v>
                </c:pt>
                <c:pt idx="18">
                  <c:v>0.2497425650611752</c:v>
                </c:pt>
                <c:pt idx="19">
                  <c:v>0.24811037532224281</c:v>
                </c:pt>
                <c:pt idx="20">
                  <c:v>0.25087392263331243</c:v>
                </c:pt>
                <c:pt idx="21">
                  <c:v>0.25019517329237728</c:v>
                </c:pt>
                <c:pt idx="22">
                  <c:v>0.24887942066311092</c:v>
                </c:pt>
                <c:pt idx="23">
                  <c:v>0.25156697503927955</c:v>
                </c:pt>
                <c:pt idx="24">
                  <c:v>0.24552068227370918</c:v>
                </c:pt>
                <c:pt idx="25">
                  <c:v>0.24596572324453567</c:v>
                </c:pt>
                <c:pt idx="26">
                  <c:v>0</c:v>
                </c:pt>
                <c:pt idx="27">
                  <c:v>0.25041626470416201</c:v>
                </c:pt>
                <c:pt idx="28">
                  <c:v>0.24666917210193709</c:v>
                </c:pt>
                <c:pt idx="29">
                  <c:v>0.24848868496532361</c:v>
                </c:pt>
                <c:pt idx="30">
                  <c:v>0.25091542717598136</c:v>
                </c:pt>
                <c:pt idx="31">
                  <c:v>0.24789223713512856</c:v>
                </c:pt>
              </c:numCache>
            </c:numRef>
          </c:xVal>
          <c:yVal>
            <c:numRef>
              <c:f>uvGraph!$G$68:$G$99</c:f>
              <c:numCache>
                <c:formatCode>0.0000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0.35330894823945802</c:v>
                </c:pt>
                <c:pt idx="3">
                  <c:v>0.35346641369041309</c:v>
                </c:pt>
                <c:pt idx="4">
                  <c:v>0</c:v>
                </c:pt>
                <c:pt idx="5">
                  <c:v>0.35401661682008984</c:v>
                </c:pt>
                <c:pt idx="6">
                  <c:v>0.35338024572785681</c:v>
                </c:pt>
                <c:pt idx="7">
                  <c:v>0</c:v>
                </c:pt>
                <c:pt idx="8">
                  <c:v>0.35224609260697209</c:v>
                </c:pt>
                <c:pt idx="9">
                  <c:v>0.35411464495058592</c:v>
                </c:pt>
                <c:pt idx="10">
                  <c:v>0.3521339948363324</c:v>
                </c:pt>
                <c:pt idx="11">
                  <c:v>0.35419421705150123</c:v>
                </c:pt>
                <c:pt idx="12">
                  <c:v>0.35365732303375896</c:v>
                </c:pt>
                <c:pt idx="13">
                  <c:v>0.35353812647127641</c:v>
                </c:pt>
                <c:pt idx="14">
                  <c:v>0.35273633219426942</c:v>
                </c:pt>
                <c:pt idx="15">
                  <c:v>0.35372287356865256</c:v>
                </c:pt>
                <c:pt idx="16">
                  <c:v>0.35486513873908837</c:v>
                </c:pt>
                <c:pt idx="17">
                  <c:v>0.35537173080075218</c:v>
                </c:pt>
                <c:pt idx="18">
                  <c:v>0.35421104729914582</c:v>
                </c:pt>
                <c:pt idx="19">
                  <c:v>0.3529977305465824</c:v>
                </c:pt>
                <c:pt idx="20">
                  <c:v>0.35499460260602861</c:v>
                </c:pt>
                <c:pt idx="21">
                  <c:v>0.35449088251949079</c:v>
                </c:pt>
                <c:pt idx="22">
                  <c:v>0.35352709233585522</c:v>
                </c:pt>
                <c:pt idx="23">
                  <c:v>0.3554633734002503</c:v>
                </c:pt>
                <c:pt idx="24">
                  <c:v>0.35121991859457108</c:v>
                </c:pt>
                <c:pt idx="25">
                  <c:v>0.35154233090500575</c:v>
                </c:pt>
                <c:pt idx="26">
                  <c:v>0</c:v>
                </c:pt>
                <c:pt idx="27">
                  <c:v>0.35468069629945154</c:v>
                </c:pt>
                <c:pt idx="28">
                  <c:v>0.35202825301088275</c:v>
                </c:pt>
                <c:pt idx="29">
                  <c:v>0.35334421915009046</c:v>
                </c:pt>
                <c:pt idx="30">
                  <c:v>0.35503272091530297</c:v>
                </c:pt>
                <c:pt idx="31">
                  <c:v>0.35290300308844302</c:v>
                </c:pt>
              </c:numCache>
            </c:numRef>
          </c:yVal>
        </c:ser>
        <c:ser>
          <c:idx val="4"/>
          <c:order val="3"/>
          <c:tx>
            <c:strRef>
              <c:f>uvGraph!$B$100</c:f>
              <c:strCache>
                <c:ptCount val="1"/>
                <c:pt idx="0">
                  <c:v>U35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FFFF00"/>
              </a:solidFill>
            </c:spPr>
          </c:marker>
          <c:xVal>
            <c:numRef>
              <c:f>uvGraph!$F$100:$F$131</c:f>
              <c:numCache>
                <c:formatCode>0.0000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0.24057211707267104</c:v>
                </c:pt>
                <c:pt idx="3">
                  <c:v>0.24114336426059949</c:v>
                </c:pt>
                <c:pt idx="4">
                  <c:v>0</c:v>
                </c:pt>
                <c:pt idx="5">
                  <c:v>0.24198620008853658</c:v>
                </c:pt>
                <c:pt idx="6">
                  <c:v>0.24095410135302742</c:v>
                </c:pt>
                <c:pt idx="7">
                  <c:v>0</c:v>
                </c:pt>
                <c:pt idx="8">
                  <c:v>0.23991150040645087</c:v>
                </c:pt>
                <c:pt idx="9">
                  <c:v>0.24231391298116589</c:v>
                </c:pt>
                <c:pt idx="10">
                  <c:v>0.24001687114169973</c:v>
                </c:pt>
                <c:pt idx="11">
                  <c:v>0.24312632853851832</c:v>
                </c:pt>
                <c:pt idx="12">
                  <c:v>0.24245830452202846</c:v>
                </c:pt>
                <c:pt idx="13">
                  <c:v>0.24161080401575025</c:v>
                </c:pt>
                <c:pt idx="14">
                  <c:v>0.24112754073740614</c:v>
                </c:pt>
                <c:pt idx="15">
                  <c:v>0.24230381790955993</c:v>
                </c:pt>
                <c:pt idx="16">
                  <c:v>0.24380331402830582</c:v>
                </c:pt>
                <c:pt idx="17">
                  <c:v>0.24467097903954285</c:v>
                </c:pt>
                <c:pt idx="18">
                  <c:v>0.24324637130145951</c:v>
                </c:pt>
                <c:pt idx="19">
                  <c:v>0.24026257950834348</c:v>
                </c:pt>
                <c:pt idx="20">
                  <c:v>0.24376300150143587</c:v>
                </c:pt>
                <c:pt idx="21">
                  <c:v>0.24296395670904475</c:v>
                </c:pt>
                <c:pt idx="22">
                  <c:v>0.24082429087171073</c:v>
                </c:pt>
                <c:pt idx="23">
                  <c:v>0.24439756202714874</c:v>
                </c:pt>
                <c:pt idx="24">
                  <c:v>0.23750574536721986</c:v>
                </c:pt>
                <c:pt idx="25">
                  <c:v>0.23798937295116027</c:v>
                </c:pt>
                <c:pt idx="26">
                  <c:v>0</c:v>
                </c:pt>
                <c:pt idx="27">
                  <c:v>0.24371003829208751</c:v>
                </c:pt>
                <c:pt idx="28">
                  <c:v>0.23871401703627668</c:v>
                </c:pt>
                <c:pt idx="29">
                  <c:v>0.24219171805993581</c:v>
                </c:pt>
                <c:pt idx="30">
                  <c:v>0.24387994683827041</c:v>
                </c:pt>
                <c:pt idx="31">
                  <c:v>0.2411359127410258</c:v>
                </c:pt>
              </c:numCache>
            </c:numRef>
          </c:xVal>
          <c:yVal>
            <c:numRef>
              <c:f>uvGraph!$G$100:$G$131</c:f>
              <c:numCache>
                <c:formatCode>0.0000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0.34767594538526658</c:v>
                </c:pt>
                <c:pt idx="3">
                  <c:v>0.34810356889258193</c:v>
                </c:pt>
                <c:pt idx="4">
                  <c:v>0</c:v>
                </c:pt>
                <c:pt idx="5">
                  <c:v>0.34868734229584103</c:v>
                </c:pt>
                <c:pt idx="6">
                  <c:v>0.34795907232874052</c:v>
                </c:pt>
                <c:pt idx="7">
                  <c:v>0</c:v>
                </c:pt>
                <c:pt idx="8">
                  <c:v>0.34725158642912024</c:v>
                </c:pt>
                <c:pt idx="9">
                  <c:v>0.34891503307641475</c:v>
                </c:pt>
                <c:pt idx="10">
                  <c:v>0.34735419834840764</c:v>
                </c:pt>
                <c:pt idx="11">
                  <c:v>0.34956352638659693</c:v>
                </c:pt>
                <c:pt idx="12">
                  <c:v>0.34909464616752534</c:v>
                </c:pt>
                <c:pt idx="13">
                  <c:v>0.34843519180827476</c:v>
                </c:pt>
                <c:pt idx="14">
                  <c:v>0.34815905633939842</c:v>
                </c:pt>
                <c:pt idx="15">
                  <c:v>0.34894258627057245</c:v>
                </c:pt>
                <c:pt idx="16">
                  <c:v>0.35001199525718735</c:v>
                </c:pt>
                <c:pt idx="17">
                  <c:v>0.35061874276451999</c:v>
                </c:pt>
                <c:pt idx="18">
                  <c:v>0.34962207603352524</c:v>
                </c:pt>
                <c:pt idx="19">
                  <c:v>0.3474429573906726</c:v>
                </c:pt>
                <c:pt idx="20">
                  <c:v>0.34997222388205201</c:v>
                </c:pt>
                <c:pt idx="21">
                  <c:v>0.3493773101540717</c:v>
                </c:pt>
                <c:pt idx="22">
                  <c:v>0.34782596752738199</c:v>
                </c:pt>
                <c:pt idx="23">
                  <c:v>0.35039364695907343</c:v>
                </c:pt>
                <c:pt idx="24">
                  <c:v>0.34555420367992057</c:v>
                </c:pt>
                <c:pt idx="25">
                  <c:v>0.34590377794531679</c:v>
                </c:pt>
                <c:pt idx="26">
                  <c:v>0</c:v>
                </c:pt>
                <c:pt idx="27">
                  <c:v>0.34994034771334448</c:v>
                </c:pt>
                <c:pt idx="28">
                  <c:v>0.34640783883875498</c:v>
                </c:pt>
                <c:pt idx="29">
                  <c:v>0.3489028285050827</c:v>
                </c:pt>
                <c:pt idx="30">
                  <c:v>0.35005854689497129</c:v>
                </c:pt>
                <c:pt idx="31">
                  <c:v>0.34812913926954431</c:v>
                </c:pt>
              </c:numCache>
            </c:numRef>
          </c:yVal>
        </c:ser>
        <c:ser>
          <c:idx val="5"/>
          <c:order val="4"/>
          <c:tx>
            <c:strRef>
              <c:f>uvGraph!$B$132</c:f>
              <c:strCache>
                <c:ptCount val="1"/>
                <c:pt idx="0">
                  <c:v>CWF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92D050"/>
              </a:solidFill>
            </c:spPr>
          </c:marker>
          <c:xVal>
            <c:numRef>
              <c:f>uvGraph!$F$132:$F$163</c:f>
              <c:numCache>
                <c:formatCode>0.0000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0.22780661526359255</c:v>
                </c:pt>
                <c:pt idx="3">
                  <c:v>0.23043408680674005</c:v>
                </c:pt>
                <c:pt idx="4">
                  <c:v>0</c:v>
                </c:pt>
                <c:pt idx="5">
                  <c:v>0.23032671083334005</c:v>
                </c:pt>
                <c:pt idx="6">
                  <c:v>0.23008665520796531</c:v>
                </c:pt>
                <c:pt idx="7">
                  <c:v>0</c:v>
                </c:pt>
                <c:pt idx="8">
                  <c:v>0.23032671083334005</c:v>
                </c:pt>
                <c:pt idx="9">
                  <c:v>0.23136554150757113</c:v>
                </c:pt>
                <c:pt idx="10">
                  <c:v>0.23353579174892375</c:v>
                </c:pt>
                <c:pt idx="11">
                  <c:v>0.23019138090129321</c:v>
                </c:pt>
                <c:pt idx="12">
                  <c:v>0.23249570715738782</c:v>
                </c:pt>
                <c:pt idx="13">
                  <c:v>0.23235685728384736</c:v>
                </c:pt>
                <c:pt idx="14">
                  <c:v>0.23390056189118888</c:v>
                </c:pt>
                <c:pt idx="15">
                  <c:v>0.23398159987382394</c:v>
                </c:pt>
                <c:pt idx="16">
                  <c:v>0.23472612591544165</c:v>
                </c:pt>
                <c:pt idx="17">
                  <c:v>0.23620520538230161</c:v>
                </c:pt>
                <c:pt idx="18">
                  <c:v>0.23361657641726385</c:v>
                </c:pt>
                <c:pt idx="19">
                  <c:v>0.22781385538356785</c:v>
                </c:pt>
                <c:pt idx="20">
                  <c:v>0.23620520538230161</c:v>
                </c:pt>
                <c:pt idx="21">
                  <c:v>0.23365035433641995</c:v>
                </c:pt>
                <c:pt idx="22">
                  <c:v>0.22911270803857264</c:v>
                </c:pt>
                <c:pt idx="23">
                  <c:v>0.2343783711356561</c:v>
                </c:pt>
                <c:pt idx="24">
                  <c:v>0.22607306173697608</c:v>
                </c:pt>
                <c:pt idx="25">
                  <c:v>0.22755564159417688</c:v>
                </c:pt>
                <c:pt idx="26">
                  <c:v>0</c:v>
                </c:pt>
                <c:pt idx="27">
                  <c:v>0.23262556147858091</c:v>
                </c:pt>
                <c:pt idx="28">
                  <c:v>0.22766602656590421</c:v>
                </c:pt>
                <c:pt idx="29">
                  <c:v>0.231215729669315</c:v>
                </c:pt>
                <c:pt idx="30">
                  <c:v>0.2354221129041833</c:v>
                </c:pt>
                <c:pt idx="31">
                  <c:v>0.2312360965028073</c:v>
                </c:pt>
              </c:numCache>
            </c:numRef>
          </c:xVal>
          <c:yVal>
            <c:numRef>
              <c:f>uvGraph!$G$132:$G$163</c:f>
              <c:numCache>
                <c:formatCode>0.0000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0.3385505573321802</c:v>
                </c:pt>
                <c:pt idx="3">
                  <c:v>0.34041523317872974</c:v>
                </c:pt>
                <c:pt idx="4">
                  <c:v>0</c:v>
                </c:pt>
                <c:pt idx="5">
                  <c:v>0.34036953211980869</c:v>
                </c:pt>
                <c:pt idx="6">
                  <c:v>0.34011620480718618</c:v>
                </c:pt>
                <c:pt idx="7">
                  <c:v>0</c:v>
                </c:pt>
                <c:pt idx="8">
                  <c:v>0.34036953211980869</c:v>
                </c:pt>
                <c:pt idx="9">
                  <c:v>0.34109649164481787</c:v>
                </c:pt>
                <c:pt idx="10">
                  <c:v>0.34261245971560922</c:v>
                </c:pt>
                <c:pt idx="11">
                  <c:v>0.34031193337585847</c:v>
                </c:pt>
                <c:pt idx="12">
                  <c:v>0.34192429664496538</c:v>
                </c:pt>
                <c:pt idx="13">
                  <c:v>0.34178754597465377</c:v>
                </c:pt>
                <c:pt idx="14">
                  <c:v>0.34296366747241053</c:v>
                </c:pt>
                <c:pt idx="15">
                  <c:v>0.34296851274051993</c:v>
                </c:pt>
                <c:pt idx="16">
                  <c:v>0.34350053898044008</c:v>
                </c:pt>
                <c:pt idx="17">
                  <c:v>0.34454440320517571</c:v>
                </c:pt>
                <c:pt idx="18">
                  <c:v>0.34272255189767281</c:v>
                </c:pt>
                <c:pt idx="19">
                  <c:v>0.3385153261180906</c:v>
                </c:pt>
                <c:pt idx="20">
                  <c:v>0.34454440320517571</c:v>
                </c:pt>
                <c:pt idx="21">
                  <c:v>0.342695372473038</c:v>
                </c:pt>
                <c:pt idx="22">
                  <c:v>0.3394371613198669</c:v>
                </c:pt>
                <c:pt idx="23">
                  <c:v>0.34322226246040921</c:v>
                </c:pt>
                <c:pt idx="24">
                  <c:v>0.33734340096622062</c:v>
                </c:pt>
                <c:pt idx="25">
                  <c:v>0.33843037569341516</c:v>
                </c:pt>
                <c:pt idx="26">
                  <c:v>0</c:v>
                </c:pt>
                <c:pt idx="27">
                  <c:v>0.34201806010319225</c:v>
                </c:pt>
                <c:pt idx="28">
                  <c:v>0.33850989619160116</c:v>
                </c:pt>
                <c:pt idx="29">
                  <c:v>0.34107741049193979</c:v>
                </c:pt>
                <c:pt idx="30">
                  <c:v>0.34395314540857613</c:v>
                </c:pt>
                <c:pt idx="31">
                  <c:v>0.34104152808512705</c:v>
                </c:pt>
              </c:numCache>
            </c:numRef>
          </c:yVal>
        </c:ser>
        <c:ser>
          <c:idx val="3"/>
          <c:order val="5"/>
          <c:tx>
            <c:strRef>
              <c:f>uvGraph!$B$164</c:f>
              <c:strCache>
                <c:ptCount val="1"/>
                <c:pt idx="0">
                  <c:v>D65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00B0F0"/>
              </a:solidFill>
            </c:spPr>
          </c:marker>
          <c:xVal>
            <c:numRef>
              <c:f>uvGraph!$F$164:$F$195</c:f>
              <c:numCache>
                <c:formatCode>0.0000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0.16198466731910033</c:v>
                </c:pt>
                <c:pt idx="3">
                  <c:v>0.17477814205571779</c:v>
                </c:pt>
                <c:pt idx="4">
                  <c:v>0</c:v>
                </c:pt>
                <c:pt idx="5">
                  <c:v>0.19912353818533937</c:v>
                </c:pt>
                <c:pt idx="6">
                  <c:v>0.18870868623018752</c:v>
                </c:pt>
                <c:pt idx="7">
                  <c:v>0</c:v>
                </c:pt>
                <c:pt idx="8">
                  <c:v>0.19144248153463689</c:v>
                </c:pt>
                <c:pt idx="9">
                  <c:v>0.19857395141410011</c:v>
                </c:pt>
                <c:pt idx="10">
                  <c:v>0.2144134308724942</c:v>
                </c:pt>
                <c:pt idx="11">
                  <c:v>0.20502775733071435</c:v>
                </c:pt>
                <c:pt idx="12">
                  <c:v>0.21601144624814947</c:v>
                </c:pt>
                <c:pt idx="13">
                  <c:v>0.21138120887547926</c:v>
                </c:pt>
                <c:pt idx="14">
                  <c:v>0.20984510171054443</c:v>
                </c:pt>
                <c:pt idx="15">
                  <c:v>0.22556623354269556</c:v>
                </c:pt>
                <c:pt idx="16">
                  <c:v>0.1989080254772268</c:v>
                </c:pt>
                <c:pt idx="17">
                  <c:v>0.18968858138103942</c:v>
                </c:pt>
                <c:pt idx="18">
                  <c:v>0.19341122984366477</c:v>
                </c:pt>
                <c:pt idx="19">
                  <c:v>0.16995456800122349</c:v>
                </c:pt>
                <c:pt idx="20">
                  <c:v>0.20252417674030196</c:v>
                </c:pt>
                <c:pt idx="21">
                  <c:v>0.20721116096616424</c:v>
                </c:pt>
                <c:pt idx="22">
                  <c:v>0.16718140773226403</c:v>
                </c:pt>
                <c:pt idx="23">
                  <c:v>0.1858441913886881</c:v>
                </c:pt>
                <c:pt idx="24">
                  <c:v>0.16431713596716313</c:v>
                </c:pt>
                <c:pt idx="25">
                  <c:v>0.15220961479091849</c:v>
                </c:pt>
                <c:pt idx="26">
                  <c:v>0</c:v>
                </c:pt>
                <c:pt idx="27">
                  <c:v>0.2158153283837464</c:v>
                </c:pt>
                <c:pt idx="28">
                  <c:v>0.17016165739225045</c:v>
                </c:pt>
                <c:pt idx="29">
                  <c:v>0.23292972115124541</c:v>
                </c:pt>
                <c:pt idx="30">
                  <c:v>0.19816648933924452</c:v>
                </c:pt>
                <c:pt idx="31">
                  <c:v>0.21561480226332194</c:v>
                </c:pt>
              </c:numCache>
            </c:numRef>
          </c:xVal>
          <c:yVal>
            <c:numRef>
              <c:f>uvGraph!$G$164:$G$195</c:f>
              <c:numCache>
                <c:formatCode>0.0000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0.28828229982518627</c:v>
                </c:pt>
                <c:pt idx="3">
                  <c:v>0.29772231975737901</c:v>
                </c:pt>
                <c:pt idx="4">
                  <c:v>0</c:v>
                </c:pt>
                <c:pt idx="5">
                  <c:v>0.31575657057526174</c:v>
                </c:pt>
                <c:pt idx="6">
                  <c:v>0.30782648349857572</c:v>
                </c:pt>
                <c:pt idx="7">
                  <c:v>0</c:v>
                </c:pt>
                <c:pt idx="8">
                  <c:v>0.3097109732651192</c:v>
                </c:pt>
                <c:pt idx="9">
                  <c:v>0.31510490532097263</c:v>
                </c:pt>
                <c:pt idx="10">
                  <c:v>0.3265753455864539</c:v>
                </c:pt>
                <c:pt idx="11">
                  <c:v>0.31967435812893591</c:v>
                </c:pt>
                <c:pt idx="12">
                  <c:v>0.32771485959879554</c:v>
                </c:pt>
                <c:pt idx="13">
                  <c:v>0.32448195173676464</c:v>
                </c:pt>
                <c:pt idx="14">
                  <c:v>0.32334803943816248</c:v>
                </c:pt>
                <c:pt idx="15">
                  <c:v>0.33494413137556833</c:v>
                </c:pt>
                <c:pt idx="16">
                  <c:v>0.31527102911567106</c:v>
                </c:pt>
                <c:pt idx="17">
                  <c:v>0.30875251445919455</c:v>
                </c:pt>
                <c:pt idx="18">
                  <c:v>0.31157203980873094</c:v>
                </c:pt>
                <c:pt idx="19">
                  <c:v>0.29430844382202065</c:v>
                </c:pt>
                <c:pt idx="20">
                  <c:v>0.31793752472522036</c:v>
                </c:pt>
                <c:pt idx="21">
                  <c:v>0.32135087707474314</c:v>
                </c:pt>
                <c:pt idx="22">
                  <c:v>0.29201628562980186</c:v>
                </c:pt>
                <c:pt idx="23">
                  <c:v>0.30592404695087028</c:v>
                </c:pt>
                <c:pt idx="24">
                  <c:v>0.28975793783548881</c:v>
                </c:pt>
                <c:pt idx="25">
                  <c:v>0.28039280029612557</c:v>
                </c:pt>
                <c:pt idx="26">
                  <c:v>0</c:v>
                </c:pt>
                <c:pt idx="27">
                  <c:v>0.32769550812379067</c:v>
                </c:pt>
                <c:pt idx="28">
                  <c:v>0.29402664027008635</c:v>
                </c:pt>
                <c:pt idx="29">
                  <c:v>0.34018519529331515</c:v>
                </c:pt>
                <c:pt idx="30">
                  <c:v>0.31482312076242197</c:v>
                </c:pt>
                <c:pt idx="31">
                  <c:v>0.32771754095316324</c:v>
                </c:pt>
              </c:numCache>
            </c:numRef>
          </c:yVal>
        </c:ser>
        <c:ser>
          <c:idx val="6"/>
          <c:order val="6"/>
          <c:tx>
            <c:strRef>
              <c:f>uvGraph!$N$2</c:f>
              <c:strCache>
                <c:ptCount val="1"/>
                <c:pt idx="0">
                  <c:v>Test Points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2"/>
            <c:spPr>
              <a:noFill/>
              <a:ln w="25400">
                <a:solidFill>
                  <a:schemeClr val="tx1"/>
                </a:solidFill>
              </a:ln>
            </c:spPr>
          </c:marker>
          <c:xVal>
            <c:numRef>
              <c:f>uvGraph!$P$4:$P$9</c:f>
              <c:numCache>
                <c:formatCode>0.0000</c:formatCode>
                <c:ptCount val="6"/>
                <c:pt idx="0">
                  <c:v>0.28308862364001269</c:v>
                </c:pt>
                <c:pt idx="1">
                  <c:v>0.25648672830301222</c:v>
                </c:pt>
                <c:pt idx="2">
                  <c:v>0.25660690226966526</c:v>
                </c:pt>
                <c:pt idx="3">
                  <c:v>0.24281365774100344</c:v>
                </c:pt>
                <c:pt idx="4">
                  <c:v>0.21922581347658024</c:v>
                </c:pt>
                <c:pt idx="5">
                  <c:v>0.19900987054518618</c:v>
                </c:pt>
              </c:numCache>
            </c:numRef>
          </c:xVal>
          <c:yVal>
            <c:numRef>
              <c:f>uvGraph!$Q$4:$Q$9</c:f>
              <c:numCache>
                <c:formatCode>0.0000</c:formatCode>
                <c:ptCount val="6"/>
                <c:pt idx="0">
                  <c:v>0.35681842188655327</c:v>
                </c:pt>
                <c:pt idx="1">
                  <c:v>0.35098632354820841</c:v>
                </c:pt>
                <c:pt idx="2">
                  <c:v>0.35340449787542749</c:v>
                </c:pt>
                <c:pt idx="3">
                  <c:v>0.34804462597276609</c:v>
                </c:pt>
                <c:pt idx="4">
                  <c:v>0.34408289929767888</c:v>
                </c:pt>
                <c:pt idx="5">
                  <c:v>0.31309000338242982</c:v>
                </c:pt>
              </c:numCache>
            </c:numRef>
          </c:yVal>
        </c:ser>
        <c:ser>
          <c:idx val="7"/>
          <c:order val="7"/>
          <c:tx>
            <c:strRef>
              <c:f>uvGraph!$J$10</c:f>
              <c:strCache>
                <c:ptCount val="1"/>
                <c:pt idx="0">
                  <c:v>LO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12"/>
            <c:spPr>
              <a:ln w="25400">
                <a:solidFill>
                  <a:srgbClr val="0070C0"/>
                </a:solidFill>
              </a:ln>
            </c:spPr>
          </c:marker>
          <c:xVal>
            <c:numRef>
              <c:f>uvGraph!$P$11:$P$16</c:f>
              <c:numCache>
                <c:formatCode>0.0000</c:formatCode>
                <c:ptCount val="6"/>
                <c:pt idx="0">
                  <c:v>0.29201746263877926</c:v>
                </c:pt>
                <c:pt idx="1">
                  <c:v>0.23949048639199672</c:v>
                </c:pt>
                <c:pt idx="2">
                  <c:v>0.24955723321268503</c:v>
                </c:pt>
                <c:pt idx="3">
                  <c:v>0.2422657348187264</c:v>
                </c:pt>
                <c:pt idx="4">
                  <c:v>0.23062221621964746</c:v>
                </c:pt>
                <c:pt idx="5">
                  <c:v>0.19569820837824789</c:v>
                </c:pt>
              </c:numCache>
            </c:numRef>
          </c:xVal>
          <c:yVal>
            <c:numRef>
              <c:f>uvGraph!$Q$11:$Q$16</c:f>
              <c:numCache>
                <c:formatCode>0.0000</c:formatCode>
                <c:ptCount val="6"/>
                <c:pt idx="0">
                  <c:v>0.3151527341694339</c:v>
                </c:pt>
                <c:pt idx="1">
                  <c:v>0.32941087709678341</c:v>
                </c:pt>
                <c:pt idx="2">
                  <c:v>0.35403946561101224</c:v>
                </c:pt>
                <c:pt idx="3">
                  <c:v>0.34888745762100182</c:v>
                </c:pt>
                <c:pt idx="4">
                  <c:v>0.34060000239312982</c:v>
                </c:pt>
                <c:pt idx="5">
                  <c:v>0.31295677270312078</c:v>
                </c:pt>
              </c:numCache>
            </c:numRef>
          </c:yVal>
        </c:ser>
        <c:axId val="138732288"/>
        <c:axId val="138734208"/>
      </c:scatterChart>
      <c:valAx>
        <c:axId val="138732288"/>
        <c:scaling>
          <c:orientation val="minMax"/>
          <c:max val="0.35000000000000031"/>
          <c:min val="0.1"/>
        </c:scaling>
        <c:axPos val="b"/>
        <c:numFmt formatCode="0.00" sourceLinked="0"/>
        <c:tickLblPos val="nextTo"/>
        <c:crossAx val="138734208"/>
        <c:crosses val="autoZero"/>
        <c:crossBetween val="midCat"/>
      </c:valAx>
      <c:valAx>
        <c:axId val="138734208"/>
        <c:scaling>
          <c:orientation val="minMax"/>
          <c:max val="0.4"/>
          <c:min val="0.25"/>
        </c:scaling>
        <c:axPos val="l"/>
        <c:majorGridlines/>
        <c:numFmt formatCode="0.00" sourceLinked="0"/>
        <c:tickLblPos val="nextTo"/>
        <c:spPr>
          <a:ln>
            <a:solidFill>
              <a:schemeClr val="tx1"/>
            </a:solidFill>
          </a:ln>
        </c:spPr>
        <c:crossAx val="138732288"/>
        <c:crosses val="autoZero"/>
        <c:crossBetween val="midCat"/>
        <c:majorUnit val="0.05"/>
      </c:valAx>
      <c:spPr>
        <a:noFill/>
        <a:ln>
          <a:solidFill>
            <a:sysClr val="windowText" lastClr="000000"/>
          </a:solidFill>
        </a:ln>
      </c:spPr>
    </c:plotArea>
    <c:legend>
      <c:legendPos val="l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7.4070148634031219E-2"/>
          <c:y val="0.75386191309419714"/>
          <c:w val="7.8673337873808674E-2"/>
          <c:h val="7.5609507144940233E-2"/>
        </c:manualLayout>
      </c:layout>
      <c:overlay val="1"/>
      <c:spPr>
        <a:solidFill>
          <a:schemeClr val="bg1"/>
        </a:solidFill>
      </c:spPr>
    </c:legend>
    <c:plotVisOnly val="1"/>
    <c:dispBlanksAs val="zero"/>
  </c:chart>
  <c:spPr>
    <a:noFill/>
    <a:ln w="25400">
      <a:solidFill>
        <a:sysClr val="windowText" lastClr="000000"/>
      </a:solidFill>
    </a:ln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19</xdr:row>
      <xdr:rowOff>190499</xdr:rowOff>
    </xdr:from>
    <xdr:to>
      <xdr:col>6</xdr:col>
      <xdr:colOff>214313</xdr:colOff>
      <xdr:row>34</xdr:row>
      <xdr:rowOff>76199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2153</xdr:colOff>
      <xdr:row>34</xdr:row>
      <xdr:rowOff>28349</xdr:rowOff>
    </xdr:from>
    <xdr:to>
      <xdr:col>6</xdr:col>
      <xdr:colOff>216466</xdr:colOff>
      <xdr:row>48</xdr:row>
      <xdr:rowOff>104549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178594</xdr:colOff>
      <xdr:row>19</xdr:row>
      <xdr:rowOff>190499</xdr:rowOff>
    </xdr:from>
    <xdr:to>
      <xdr:col>11</xdr:col>
      <xdr:colOff>654844</xdr:colOff>
      <xdr:row>34</xdr:row>
      <xdr:rowOff>76199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178594</xdr:colOff>
      <xdr:row>34</xdr:row>
      <xdr:rowOff>23812</xdr:rowOff>
    </xdr:from>
    <xdr:to>
      <xdr:col>11</xdr:col>
      <xdr:colOff>654844</xdr:colOff>
      <xdr:row>48</xdr:row>
      <xdr:rowOff>100012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654844</xdr:colOff>
      <xdr:row>20</xdr:row>
      <xdr:rowOff>0</xdr:rowOff>
    </xdr:from>
    <xdr:to>
      <xdr:col>19</xdr:col>
      <xdr:colOff>119063</xdr:colOff>
      <xdr:row>34</xdr:row>
      <xdr:rowOff>76200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3</xdr:col>
      <xdr:colOff>0</xdr:colOff>
      <xdr:row>1</xdr:row>
      <xdr:rowOff>2743200</xdr:rowOff>
    </xdr:to>
    <xdr:graphicFrame macro="">
      <xdr:nvGraphicFramePr>
        <xdr:cNvPr id="39" name="Chart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</xdr:row>
      <xdr:rowOff>0</xdr:rowOff>
    </xdr:from>
    <xdr:to>
      <xdr:col>2</xdr:col>
      <xdr:colOff>0</xdr:colOff>
      <xdr:row>3</xdr:row>
      <xdr:rowOff>2743200</xdr:rowOff>
    </xdr:to>
    <xdr:graphicFrame macro="">
      <xdr:nvGraphicFramePr>
        <xdr:cNvPr id="46" name="Chart 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2</xdr:row>
      <xdr:rowOff>2743200</xdr:rowOff>
    </xdr:to>
    <xdr:graphicFrame macro="">
      <xdr:nvGraphicFramePr>
        <xdr:cNvPr id="47" name="Chart 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2</xdr:row>
      <xdr:rowOff>2743200</xdr:rowOff>
    </xdr:to>
    <xdr:graphicFrame macro="">
      <xdr:nvGraphicFramePr>
        <xdr:cNvPr id="48" name="Chart 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</xdr:row>
      <xdr:rowOff>1983</xdr:rowOff>
    </xdr:from>
    <xdr:to>
      <xdr:col>2</xdr:col>
      <xdr:colOff>0</xdr:colOff>
      <xdr:row>1</xdr:row>
      <xdr:rowOff>2745183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36</xdr:row>
      <xdr:rowOff>0</xdr:rowOff>
    </xdr:from>
    <xdr:to>
      <xdr:col>42</xdr:col>
      <xdr:colOff>321469</xdr:colOff>
      <xdr:row>50</xdr:row>
      <xdr:rowOff>64294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5101</xdr:colOff>
      <xdr:row>3</xdr:row>
      <xdr:rowOff>10206</xdr:rowOff>
    </xdr:from>
    <xdr:to>
      <xdr:col>54</xdr:col>
      <xdr:colOff>290852</xdr:colOff>
      <xdr:row>16</xdr:row>
      <xdr:rowOff>23812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326572</xdr:colOff>
      <xdr:row>160</xdr:row>
      <xdr:rowOff>163286</xdr:rowOff>
    </xdr:from>
    <xdr:to>
      <xdr:col>41</xdr:col>
      <xdr:colOff>32319</xdr:colOff>
      <xdr:row>181</xdr:row>
      <xdr:rowOff>91849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13605</xdr:colOff>
      <xdr:row>185</xdr:row>
      <xdr:rowOff>13608</xdr:rowOff>
    </xdr:from>
    <xdr:to>
      <xdr:col>47</xdr:col>
      <xdr:colOff>297655</xdr:colOff>
      <xdr:row>214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598487</xdr:colOff>
      <xdr:row>3</xdr:row>
      <xdr:rowOff>0</xdr:rowOff>
    </xdr:from>
    <xdr:to>
      <xdr:col>34</xdr:col>
      <xdr:colOff>127527</xdr:colOff>
      <xdr:row>31</xdr:row>
      <xdr:rowOff>152400</xdr:rowOff>
    </xdr:to>
    <xdr:grpSp>
      <xdr:nvGrpSpPr>
        <xdr:cNvPr id="6" name="Group 5"/>
        <xdr:cNvGrpSpPr/>
      </xdr:nvGrpSpPr>
      <xdr:grpSpPr>
        <a:xfrm>
          <a:off x="10769070" y="571500"/>
          <a:ext cx="9964207" cy="5486400"/>
          <a:chOff x="10734675" y="571500"/>
          <a:chExt cx="9919227" cy="5486400"/>
        </a:xfrm>
      </xdr:grpSpPr>
      <xdr:grpSp>
        <xdr:nvGrpSpPr>
          <xdr:cNvPr id="10" name="Group 9"/>
          <xdr:cNvGrpSpPr/>
        </xdr:nvGrpSpPr>
        <xdr:grpSpPr>
          <a:xfrm>
            <a:off x="10734675" y="571500"/>
            <a:ext cx="9919227" cy="5486400"/>
            <a:chOff x="5083706" y="232831"/>
            <a:chExt cx="9941981" cy="5486400"/>
          </a:xfrm>
        </xdr:grpSpPr>
        <xdr:pic>
          <xdr:nvPicPr>
            <xdr:cNvPr id="11" name="Picture 1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/>
            <a:srcRect/>
            <a:stretch>
              <a:fillRect/>
            </a:stretch>
          </xdr:blipFill>
          <xdr:spPr bwMode="auto">
            <a:xfrm>
              <a:off x="5500686" y="373062"/>
              <a:ext cx="9286877" cy="5024438"/>
            </a:xfrm>
            <a:prstGeom prst="rect">
              <a:avLst/>
            </a:prstGeom>
            <a:noFill/>
            <a:ln w="1">
              <a:noFill/>
              <a:miter lim="800000"/>
              <a:headEnd/>
              <a:tailEnd type="none" w="med" len="med"/>
            </a:ln>
            <a:effectLst/>
          </xdr:spPr>
        </xdr:pic>
        <xdr:graphicFrame macro="">
          <xdr:nvGraphicFramePr>
            <xdr:cNvPr id="12" name="Chart 11"/>
            <xdr:cNvGraphicFramePr/>
          </xdr:nvGraphicFramePr>
          <xdr:xfrm>
            <a:off x="5083706" y="232831"/>
            <a:ext cx="9941981" cy="54864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xdr:grpSp>
      <xdr:sp macro="" textlink="Calculations!B39">
        <xdr:nvSpPr>
          <xdr:cNvPr id="5" name="TextBox 4"/>
          <xdr:cNvSpPr txBox="1"/>
        </xdr:nvSpPr>
        <xdr:spPr>
          <a:xfrm>
            <a:off x="11439525" y="828675"/>
            <a:ext cx="609711" cy="40543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fld id="{274C754D-26A8-4FB9-A6EC-519BAD21D40E}" type="TxLink">
              <a:rPr lang="en-US" sz="20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G10</a:t>
            </a:fld>
            <a:endParaRPr lang="en-US" sz="2000" b="1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VSROOT/ALS_(ambient_light_sensors)/Evaluations/DataArchive/alsSimpleGUI.Angle.WaveLength/data/Test.rgbLEDs.29125B.box-.3,.3666.FOV=Open.LEDS.Collimated.NG.Range=LO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ummary"/>
      <sheetName val="Calculations"/>
      <sheetName val="data0"/>
      <sheetName val="DUTenable"/>
    </sheetNames>
    <sheetDataSet>
      <sheetData sheetId="0" refreshError="1"/>
      <sheetData sheetId="1">
        <row r="17">
          <cell r="Q17">
            <v>0</v>
          </cell>
        </row>
      </sheetData>
      <sheetData sheetId="2">
        <row r="2">
          <cell r="B2">
            <v>51.361865997314453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35"/>
  <sheetViews>
    <sheetView workbookViewId="0">
      <selection activeCell="L18" sqref="L18"/>
    </sheetView>
  </sheetViews>
  <sheetFormatPr defaultRowHeight="14.25" customHeight="1"/>
  <cols>
    <col min="1" max="1" width="4.5703125" bestFit="1" customWidth="1"/>
    <col min="2" max="2" width="18" customWidth="1"/>
    <col min="3" max="3" width="22.140625" bestFit="1" customWidth="1"/>
    <col min="4" max="6" width="8.42578125" customWidth="1"/>
    <col min="7" max="7" width="5.7109375" bestFit="1" customWidth="1"/>
    <col min="8" max="8" width="17" bestFit="1" customWidth="1"/>
    <col min="9" max="9" width="10.28515625" customWidth="1"/>
    <col min="10" max="10" width="11.28515625" style="5" customWidth="1"/>
    <col min="11" max="11" width="17.140625" style="5" customWidth="1"/>
    <col min="12" max="12" width="11.5703125" bestFit="1" customWidth="1"/>
    <col min="13" max="13" width="10.28515625" bestFit="1" customWidth="1"/>
  </cols>
  <sheetData>
    <row r="1" spans="1:17" s="105" customFormat="1" ht="14.25" customHeight="1">
      <c r="J1" s="150"/>
      <c r="K1" s="150"/>
    </row>
    <row r="2" spans="1:17" s="105" customFormat="1" ht="14.25" customHeight="1">
      <c r="J2" s="150"/>
      <c r="K2" s="150"/>
    </row>
    <row r="3" spans="1:17" ht="14.25" customHeight="1" thickBot="1">
      <c r="J3" s="36"/>
      <c r="K3" s="36"/>
    </row>
    <row r="4" spans="1:17" ht="14.25" customHeight="1">
      <c r="J4" s="22" t="s">
        <v>25</v>
      </c>
      <c r="K4" s="19"/>
      <c r="L4" s="20"/>
    </row>
    <row r="5" spans="1:17" ht="14.25" customHeight="1">
      <c r="J5" s="227" t="s">
        <v>23</v>
      </c>
      <c r="K5" s="228"/>
      <c r="L5" s="23">
        <v>63</v>
      </c>
    </row>
    <row r="6" spans="1:17" ht="14.25" customHeight="1">
      <c r="A6" s="35" t="str">
        <f>"ALS Comp:"&amp;partNumber&amp;" "&amp;glass</f>
        <v>ALS Comp:125-trimmed G10</v>
      </c>
      <c r="B6" s="11"/>
      <c r="C6" s="11"/>
      <c r="D6" s="11"/>
      <c r="E6" s="11"/>
      <c r="F6" s="13">
        <f>K17</f>
        <v>0</v>
      </c>
      <c r="G6" s="11">
        <f>L13*L19</f>
        <v>151</v>
      </c>
      <c r="H6" s="12" t="s">
        <v>20</v>
      </c>
      <c r="J6" s="38"/>
      <c r="K6" s="149" t="s">
        <v>38</v>
      </c>
      <c r="L6" s="23">
        <v>0</v>
      </c>
    </row>
    <row r="7" spans="1:17" ht="14.25" customHeight="1">
      <c r="A7" s="3" t="s">
        <v>0</v>
      </c>
      <c r="B7" s="2" t="s">
        <v>1</v>
      </c>
      <c r="C7" s="2" t="s">
        <v>5</v>
      </c>
      <c r="D7" s="15" t="s">
        <v>34</v>
      </c>
      <c r="E7" s="7" t="s">
        <v>6</v>
      </c>
      <c r="F7" s="15" t="s">
        <v>35</v>
      </c>
      <c r="G7" s="7" t="s">
        <v>3</v>
      </c>
      <c r="H7" s="7" t="s">
        <v>4</v>
      </c>
      <c r="J7" s="227" t="s">
        <v>26</v>
      </c>
      <c r="K7" s="228"/>
      <c r="L7" s="23">
        <v>0</v>
      </c>
    </row>
    <row r="8" spans="1:17" ht="14.25" customHeight="1">
      <c r="A8" s="4">
        <v>1</v>
      </c>
      <c r="B8" s="241" t="s">
        <v>7</v>
      </c>
      <c r="C8" s="2" t="s">
        <v>8</v>
      </c>
      <c r="D8" s="9" t="e">
        <f>#REF!</f>
        <v>#REF!</v>
      </c>
      <c r="E8" s="9" t="e">
        <f>#REF!</f>
        <v>#REF!</v>
      </c>
      <c r="F8" s="9" t="e">
        <f>#REF!</f>
        <v>#REF!</v>
      </c>
      <c r="G8" s="7" t="s">
        <v>20</v>
      </c>
      <c r="H8" s="241" t="s">
        <v>15</v>
      </c>
      <c r="I8" s="1"/>
      <c r="J8" s="38"/>
      <c r="K8" s="149" t="s">
        <v>61</v>
      </c>
      <c r="L8" s="23">
        <v>50</v>
      </c>
    </row>
    <row r="9" spans="1:17" ht="14.25" customHeight="1" thickBot="1">
      <c r="A9" s="4">
        <f>A8+0.01</f>
        <v>1.01</v>
      </c>
      <c r="B9" s="241"/>
      <c r="C9" s="2" t="s">
        <v>9</v>
      </c>
      <c r="D9" s="9" t="e">
        <f>#REF!</f>
        <v>#REF!</v>
      </c>
      <c r="E9" s="9" t="e">
        <f>#REF!</f>
        <v>#REF!</v>
      </c>
      <c r="F9" s="9" t="e">
        <f>#REF!</f>
        <v>#REF!</v>
      </c>
      <c r="G9" s="7" t="s">
        <v>20</v>
      </c>
      <c r="H9" s="241"/>
      <c r="I9" s="1"/>
      <c r="J9" s="39"/>
      <c r="K9" s="152" t="s">
        <v>115</v>
      </c>
      <c r="L9" s="24">
        <v>0</v>
      </c>
    </row>
    <row r="10" spans="1:17" ht="14.25" customHeight="1">
      <c r="A10" s="4">
        <f t="shared" ref="A10:A19" si="0">A9+0.01</f>
        <v>1.02</v>
      </c>
      <c r="B10" s="241" t="s">
        <v>10</v>
      </c>
      <c r="C10" s="2" t="s">
        <v>8</v>
      </c>
      <c r="D10" s="9" t="e">
        <f>#REF!</f>
        <v>#REF!</v>
      </c>
      <c r="E10" s="9" t="e">
        <f>#REF!</f>
        <v>#REF!</v>
      </c>
      <c r="F10" s="9" t="e">
        <f>#REF!</f>
        <v>#REF!</v>
      </c>
      <c r="G10" s="7" t="s">
        <v>20</v>
      </c>
      <c r="H10" s="241" t="s">
        <v>16</v>
      </c>
      <c r="J10" s="27"/>
      <c r="K10" s="237" t="s">
        <v>27</v>
      </c>
      <c r="L10" s="238"/>
      <c r="M10" s="34"/>
      <c r="N10" s="16"/>
      <c r="O10" s="224" t="s">
        <v>113</v>
      </c>
      <c r="P10" s="225"/>
      <c r="Q10" s="226"/>
    </row>
    <row r="11" spans="1:17" ht="14.25" customHeight="1" thickBot="1">
      <c r="A11" s="4">
        <f t="shared" si="0"/>
        <v>1.03</v>
      </c>
      <c r="B11" s="241"/>
      <c r="C11" s="2" t="s">
        <v>9</v>
      </c>
      <c r="D11" s="9" t="e">
        <f>#REF!</f>
        <v>#REF!</v>
      </c>
      <c r="E11" s="9" t="e">
        <f>#REF!</f>
        <v>#REF!</v>
      </c>
      <c r="F11" s="9" t="e">
        <f>#REF!</f>
        <v>#REF!</v>
      </c>
      <c r="G11" s="7" t="s">
        <v>20</v>
      </c>
      <c r="H11" s="241"/>
      <c r="J11" s="27"/>
      <c r="K11" s="21" t="s">
        <v>28</v>
      </c>
      <c r="L11" s="23">
        <v>15.6</v>
      </c>
      <c r="M11" s="34"/>
      <c r="N11" s="6"/>
      <c r="O11" s="147" t="s">
        <v>67</v>
      </c>
      <c r="P11" s="118" t="s">
        <v>68</v>
      </c>
      <c r="Q11" s="119" t="s">
        <v>69</v>
      </c>
    </row>
    <row r="12" spans="1:17" ht="14.25" customHeight="1">
      <c r="A12" s="4">
        <f t="shared" si="0"/>
        <v>1.04</v>
      </c>
      <c r="B12" s="234" t="s">
        <v>11</v>
      </c>
      <c r="C12" s="29" t="s">
        <v>18</v>
      </c>
      <c r="D12" s="9" t="e">
        <f>#REF!</f>
        <v>#REF!</v>
      </c>
      <c r="E12" s="9" t="e">
        <f>#REF!</f>
        <v>#REF!</v>
      </c>
      <c r="F12" s="9" t="e">
        <f>#REF!</f>
        <v>#REF!</v>
      </c>
      <c r="G12" s="7" t="s">
        <v>20</v>
      </c>
      <c r="H12" s="229"/>
      <c r="K12" s="21" t="s">
        <v>29</v>
      </c>
      <c r="L12" s="23">
        <v>6.4</v>
      </c>
      <c r="N12" s="111" t="s">
        <v>46</v>
      </c>
      <c r="O12" s="141">
        <f>Calculations!Q32</f>
        <v>0.6142000599255335</v>
      </c>
      <c r="P12" s="142">
        <f>Calculations!R32</f>
        <v>1.0999220104395699</v>
      </c>
      <c r="Q12" s="143">
        <f>Calculations!S32</f>
        <v>-0.68382381355300892</v>
      </c>
    </row>
    <row r="13" spans="1:17" ht="14.25" customHeight="1">
      <c r="A13" s="4">
        <f t="shared" si="0"/>
        <v>1.05</v>
      </c>
      <c r="B13" s="235"/>
      <c r="C13" s="28" t="s">
        <v>17</v>
      </c>
      <c r="D13" s="9" t="e">
        <f>#REF!</f>
        <v>#REF!</v>
      </c>
      <c r="E13" s="9" t="e">
        <f>#REF!</f>
        <v>#REF!</v>
      </c>
      <c r="F13" s="9" t="e">
        <f>#REF!</f>
        <v>#REF!</v>
      </c>
      <c r="G13" s="7" t="s">
        <v>20</v>
      </c>
      <c r="H13" s="230"/>
      <c r="K13" s="21" t="s">
        <v>30</v>
      </c>
      <c r="L13" s="23">
        <v>151</v>
      </c>
      <c r="N13" s="111" t="s">
        <v>47</v>
      </c>
      <c r="O13" s="137">
        <f>Calculations!Q33</f>
        <v>0.48966736573661446</v>
      </c>
      <c r="P13" s="136">
        <f>Calculations!R33</f>
        <v>1</v>
      </c>
      <c r="Q13" s="138">
        <f>Calculations!S33</f>
        <v>-0.55354910347378683</v>
      </c>
    </row>
    <row r="14" spans="1:17" ht="14.25" customHeight="1" thickBot="1">
      <c r="A14" s="4">
        <f t="shared" si="0"/>
        <v>1.06</v>
      </c>
      <c r="B14" s="235"/>
      <c r="C14" s="30" t="s">
        <v>19</v>
      </c>
      <c r="D14" s="10" t="e">
        <f>#REF!</f>
        <v>#REF!</v>
      </c>
      <c r="E14" s="10" t="e">
        <f>#REF!</f>
        <v>#REF!</v>
      </c>
      <c r="F14" s="10" t="e">
        <f>#REF!</f>
        <v>#REF!</v>
      </c>
      <c r="G14" s="14" t="s">
        <v>22</v>
      </c>
      <c r="H14" s="230"/>
      <c r="K14" s="21" t="s">
        <v>31</v>
      </c>
      <c r="L14" s="37">
        <v>1.9896</v>
      </c>
      <c r="N14" s="111" t="s">
        <v>48</v>
      </c>
      <c r="O14" s="139">
        <f>Calculations!Q34</f>
        <v>-0.36881529883862074</v>
      </c>
      <c r="P14" s="96">
        <f>Calculations!R34</f>
        <v>4.0200954083687429E-2</v>
      </c>
      <c r="Q14" s="140">
        <f>Calculations!S34</f>
        <v>0.40519588105055365</v>
      </c>
    </row>
    <row r="15" spans="1:17" ht="14.25" customHeight="1" thickBot="1">
      <c r="A15" s="4">
        <f t="shared" si="0"/>
        <v>1.07</v>
      </c>
      <c r="B15" s="235"/>
      <c r="C15" s="28" t="s">
        <v>12</v>
      </c>
      <c r="D15" s="8" t="e">
        <f>#REF!</f>
        <v>#REF!</v>
      </c>
      <c r="E15" s="8" t="e">
        <f>#REF!</f>
        <v>#REF!</v>
      </c>
      <c r="F15" s="8" t="e">
        <f>#REF!</f>
        <v>#REF!</v>
      </c>
      <c r="G15" s="7" t="s">
        <v>21</v>
      </c>
      <c r="H15" s="230"/>
      <c r="K15" s="21" t="s">
        <v>32</v>
      </c>
      <c r="L15" s="23">
        <v>137</v>
      </c>
      <c r="O15" s="144">
        <f>data0!D167</f>
        <v>60</v>
      </c>
      <c r="P15" s="145">
        <f>Calculations!V32</f>
        <v>300.40366906227416</v>
      </c>
      <c r="Q15" s="146">
        <f>Calculations!V33</f>
        <v>298.11878010797614</v>
      </c>
    </row>
    <row r="16" spans="1:17" ht="14.25" customHeight="1">
      <c r="A16" s="4">
        <f t="shared" si="0"/>
        <v>1.08</v>
      </c>
      <c r="B16" s="235"/>
      <c r="C16" s="28" t="s">
        <v>13</v>
      </c>
      <c r="D16" s="8" t="e">
        <f>#REF!</f>
        <v>#REF!</v>
      </c>
      <c r="E16" s="8" t="e">
        <f>#REF!</f>
        <v>#REF!</v>
      </c>
      <c r="F16" s="8" t="e">
        <f>#REF!</f>
        <v>#REF!</v>
      </c>
      <c r="G16" s="7" t="s">
        <v>2</v>
      </c>
      <c r="H16" s="230"/>
      <c r="K16" s="239" t="s">
        <v>33</v>
      </c>
      <c r="L16" s="240"/>
      <c r="O16" s="111" t="s">
        <v>87</v>
      </c>
      <c r="P16" s="111" t="s">
        <v>43</v>
      </c>
      <c r="Q16" s="111" t="s">
        <v>44</v>
      </c>
    </row>
    <row r="17" spans="1:16" ht="14.25" customHeight="1">
      <c r="A17" s="4">
        <f t="shared" si="0"/>
        <v>1.0900000000000001</v>
      </c>
      <c r="B17" s="235"/>
      <c r="C17" s="28" t="s">
        <v>14</v>
      </c>
      <c r="D17" s="8" t="e">
        <f>#REF!</f>
        <v>#REF!</v>
      </c>
      <c r="E17" s="8" t="e">
        <f>#REF!</f>
        <v>#REF!</v>
      </c>
      <c r="F17" s="8" t="e">
        <f>#REF!</f>
        <v>#REF!</v>
      </c>
      <c r="G17" s="7" t="s">
        <v>2</v>
      </c>
      <c r="H17" s="230"/>
      <c r="K17" s="25">
        <v>0</v>
      </c>
      <c r="L17" s="32">
        <f>63*0.05%</f>
        <v>3.15E-2</v>
      </c>
    </row>
    <row r="18" spans="1:16" ht="14.25" customHeight="1">
      <c r="A18" s="4">
        <f t="shared" si="0"/>
        <v>1.1000000000000001</v>
      </c>
      <c r="B18" s="236"/>
      <c r="C18" s="28" t="e">
        <f>"Lot Compensation ("&amp;INT(E14)&amp;")"</f>
        <v>#REF!</v>
      </c>
      <c r="D18" s="8" t="e">
        <f>E18-1.5*#REF!</f>
        <v>#REF!</v>
      </c>
      <c r="E18" s="8" t="e">
        <f>#REF!</f>
        <v>#REF!</v>
      </c>
      <c r="F18" s="8" t="e">
        <f>E18+1.5*#REF!</f>
        <v>#REF!</v>
      </c>
      <c r="G18" s="7"/>
      <c r="H18" s="230"/>
      <c r="J18" s="18"/>
      <c r="K18" s="31" t="s">
        <v>37</v>
      </c>
      <c r="L18" s="221" t="s">
        <v>129</v>
      </c>
    </row>
    <row r="19" spans="1:16" ht="14.25" customHeight="1" thickBot="1">
      <c r="A19" s="4">
        <f t="shared" si="0"/>
        <v>1.1100000000000001</v>
      </c>
      <c r="B19" s="232" t="e">
        <f>#REF!</f>
        <v>#REF!</v>
      </c>
      <c r="C19" s="233"/>
      <c r="D19" s="8" t="e">
        <f>#REF!</f>
        <v>#REF!</v>
      </c>
      <c r="E19" s="8" t="e">
        <f>#REF!</f>
        <v>#REF!</v>
      </c>
      <c r="F19" s="8" t="e">
        <f>#REF!</f>
        <v>#REF!</v>
      </c>
      <c r="G19" s="7" t="s">
        <v>2</v>
      </c>
      <c r="H19" s="231"/>
      <c r="K19" s="26" t="s">
        <v>36</v>
      </c>
      <c r="L19" s="33">
        <v>1</v>
      </c>
      <c r="P19" s="5"/>
    </row>
    <row r="20" spans="1:16" ht="14.25" customHeight="1">
      <c r="P20" s="5"/>
    </row>
    <row r="21" spans="1:16" ht="14.25" customHeight="1">
      <c r="P21" s="5"/>
    </row>
    <row r="22" spans="1:16" ht="14.25" customHeight="1">
      <c r="P22" s="5"/>
    </row>
    <row r="23" spans="1:16" ht="14.25" customHeight="1">
      <c r="P23" s="5"/>
    </row>
    <row r="24" spans="1:16" ht="14.25" customHeight="1">
      <c r="P24" s="5"/>
    </row>
    <row r="25" spans="1:16" ht="14.25" customHeight="1">
      <c r="P25" s="5"/>
    </row>
    <row r="26" spans="1:16" ht="14.25" customHeight="1">
      <c r="P26" s="5"/>
    </row>
    <row r="27" spans="1:16" ht="14.25" customHeight="1">
      <c r="P27" s="5"/>
    </row>
    <row r="28" spans="1:16" ht="14.25" customHeight="1">
      <c r="P28" s="5"/>
    </row>
    <row r="29" spans="1:16" ht="14.25" customHeight="1">
      <c r="P29" s="5"/>
    </row>
    <row r="30" spans="1:16" ht="14.25" customHeight="1">
      <c r="P30" s="5"/>
    </row>
    <row r="31" spans="1:16" ht="14.25" customHeight="1">
      <c r="P31" s="5"/>
    </row>
    <row r="32" spans="1:16" ht="14.25" customHeight="1">
      <c r="P32" s="5"/>
    </row>
    <row r="33" spans="16:16" ht="14.25" customHeight="1">
      <c r="P33" s="5"/>
    </row>
    <row r="34" spans="16:16" ht="14.25" customHeight="1">
      <c r="P34" s="5"/>
    </row>
    <row r="35" spans="16:16" ht="14.25" customHeight="1">
      <c r="P35" s="5"/>
    </row>
  </sheetData>
  <mergeCells count="12">
    <mergeCell ref="O10:Q10"/>
    <mergeCell ref="J5:K5"/>
    <mergeCell ref="H12:H19"/>
    <mergeCell ref="B19:C19"/>
    <mergeCell ref="B12:B18"/>
    <mergeCell ref="K10:L10"/>
    <mergeCell ref="K16:L16"/>
    <mergeCell ref="J7:K7"/>
    <mergeCell ref="H10:H11"/>
    <mergeCell ref="B8:B9"/>
    <mergeCell ref="H8:H9"/>
    <mergeCell ref="B10:B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J2:P18"/>
  <sheetViews>
    <sheetView workbookViewId="0"/>
  </sheetViews>
  <sheetFormatPr defaultColWidth="7.5703125" defaultRowHeight="36" customHeight="1"/>
  <cols>
    <col min="1" max="1" width="7.5703125" style="40"/>
    <col min="2" max="3" width="68.5703125" style="40" customWidth="1"/>
    <col min="4" max="9" width="7.5703125" style="40"/>
    <col min="10" max="11" width="7.5703125" style="41"/>
    <col min="12" max="16384" width="7.5703125" style="40"/>
  </cols>
  <sheetData>
    <row r="2" spans="16:16" ht="216" customHeight="1"/>
    <row r="3" spans="16:16" ht="216" customHeight="1">
      <c r="P3" s="41"/>
    </row>
    <row r="4" spans="16:16" ht="216" customHeight="1">
      <c r="P4" s="41"/>
    </row>
    <row r="5" spans="16:16" ht="36" customHeight="1">
      <c r="P5" s="41"/>
    </row>
    <row r="6" spans="16:16" ht="36" customHeight="1">
      <c r="P6" s="41"/>
    </row>
    <row r="7" spans="16:16" ht="36" customHeight="1">
      <c r="P7" s="41"/>
    </row>
    <row r="8" spans="16:16" ht="36" customHeight="1">
      <c r="P8" s="41"/>
    </row>
    <row r="9" spans="16:16" ht="36" customHeight="1">
      <c r="P9" s="41"/>
    </row>
    <row r="10" spans="16:16" ht="36" customHeight="1">
      <c r="P10" s="41"/>
    </row>
    <row r="11" spans="16:16" ht="36" customHeight="1">
      <c r="P11" s="41"/>
    </row>
    <row r="12" spans="16:16" ht="36" customHeight="1">
      <c r="P12" s="41"/>
    </row>
    <row r="13" spans="16:16" ht="36" customHeight="1">
      <c r="P13" s="41"/>
    </row>
    <row r="14" spans="16:16" ht="36" customHeight="1">
      <c r="P14" s="41"/>
    </row>
    <row r="15" spans="16:16" ht="36" customHeight="1">
      <c r="P15" s="41"/>
    </row>
    <row r="16" spans="16:16" ht="36" customHeight="1">
      <c r="P16" s="41"/>
    </row>
    <row r="17" spans="16:16" ht="36" customHeight="1">
      <c r="P17" s="41"/>
    </row>
    <row r="18" spans="16:16" ht="36" customHeight="1">
      <c r="P18" s="4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8:AS224"/>
  <sheetViews>
    <sheetView tabSelected="1" topLeftCell="B38" zoomScale="80" zoomScaleNormal="80" workbookViewId="0">
      <selection activeCell="AH37" sqref="AH37:AH38"/>
    </sheetView>
  </sheetViews>
  <sheetFormatPr defaultRowHeight="15"/>
  <cols>
    <col min="1" max="1" width="18.5703125" style="59" customWidth="1"/>
    <col min="2" max="7" width="9.140625" style="59"/>
    <col min="8" max="8" width="9.140625" style="59" customWidth="1"/>
    <col min="9" max="12" width="9.140625" style="59"/>
    <col min="13" max="13" width="10.7109375" style="59" bestFit="1" customWidth="1"/>
    <col min="14" max="43" width="9.140625" style="59"/>
    <col min="44" max="44" width="9.140625" style="59" customWidth="1"/>
    <col min="45" max="16384" width="9.140625" style="59"/>
  </cols>
  <sheetData>
    <row r="8" spans="2:29">
      <c r="B8" s="242" t="s">
        <v>66</v>
      </c>
      <c r="C8" s="242"/>
      <c r="D8" s="242"/>
      <c r="E8" s="242"/>
      <c r="F8" s="242"/>
      <c r="G8" s="242"/>
      <c r="H8" s="242"/>
      <c r="I8" s="242"/>
      <c r="J8" s="242" t="s">
        <v>78</v>
      </c>
      <c r="K8" s="242"/>
      <c r="L8" s="242"/>
      <c r="M8" s="242"/>
      <c r="N8" s="242"/>
      <c r="O8" s="242"/>
      <c r="P8" s="242"/>
      <c r="Q8" s="242"/>
      <c r="R8" s="242"/>
      <c r="S8" s="242"/>
      <c r="T8" s="242"/>
      <c r="U8" s="242"/>
      <c r="V8" s="242"/>
      <c r="W8" s="242"/>
      <c r="X8" s="242"/>
      <c r="Y8" s="242"/>
    </row>
    <row r="9" spans="2:29">
      <c r="J9" s="242" t="s">
        <v>70</v>
      </c>
      <c r="K9" s="242"/>
      <c r="L9" s="242"/>
      <c r="M9" s="242"/>
      <c r="N9" s="242" t="s">
        <v>71</v>
      </c>
      <c r="O9" s="242"/>
      <c r="P9" s="242"/>
      <c r="Q9" s="242"/>
      <c r="Y9" s="242" t="s">
        <v>24</v>
      </c>
      <c r="Z9" s="242"/>
      <c r="AA9" s="242"/>
    </row>
    <row r="10" spans="2:29">
      <c r="B10" s="59" t="s">
        <v>65</v>
      </c>
      <c r="C10" s="59" t="s">
        <v>56</v>
      </c>
      <c r="D10" s="59" t="s">
        <v>64</v>
      </c>
      <c r="E10" s="59" t="str">
        <f>data0!AP3</f>
        <v>X</v>
      </c>
      <c r="F10" s="59" t="str">
        <f>data0!AP4</f>
        <v>Y</v>
      </c>
      <c r="G10" s="59" t="str">
        <f>data0!AP5</f>
        <v>Z</v>
      </c>
      <c r="H10" s="59" t="s">
        <v>57</v>
      </c>
      <c r="I10" s="59" t="s">
        <v>58</v>
      </c>
      <c r="J10" s="59" t="s">
        <v>67</v>
      </c>
      <c r="K10" s="59" t="s">
        <v>68</v>
      </c>
      <c r="L10" s="59" t="s">
        <v>69</v>
      </c>
      <c r="M10" s="159" t="str">
        <f>data0!M452</f>
        <v>ΔIR</v>
      </c>
      <c r="N10" s="59" t="str">
        <f>J10</f>
        <v>R</v>
      </c>
      <c r="O10" s="59" t="str">
        <f>K10</f>
        <v>G</v>
      </c>
      <c r="P10" s="59" t="str">
        <f>L10</f>
        <v>B</v>
      </c>
      <c r="Q10" s="59" t="str">
        <f>M10</f>
        <v>ΔIR</v>
      </c>
      <c r="R10" s="59" t="s">
        <v>56</v>
      </c>
      <c r="S10" s="59" t="s">
        <v>64</v>
      </c>
      <c r="T10" s="59" t="s">
        <v>46</v>
      </c>
      <c r="U10" s="59" t="s">
        <v>47</v>
      </c>
      <c r="V10" s="59" t="s">
        <v>48</v>
      </c>
      <c r="W10" s="59" t="s">
        <v>57</v>
      </c>
      <c r="X10" s="59" t="s">
        <v>58</v>
      </c>
      <c r="Y10" s="59" t="s">
        <v>74</v>
      </c>
      <c r="Z10" s="59" t="s">
        <v>64</v>
      </c>
      <c r="AA10" s="59" t="s">
        <v>75</v>
      </c>
    </row>
    <row r="11" spans="2:29">
      <c r="B11" s="59" t="str">
        <f>data0!A3</f>
        <v>HZ</v>
      </c>
      <c r="C11" s="59">
        <f>getCCTfromXY(H11,I11,0)</f>
        <v>2308</v>
      </c>
      <c r="D11" s="61">
        <f>10^6/C11</f>
        <v>433.27556325823224</v>
      </c>
      <c r="E11" s="59">
        <f>data0!AQ3</f>
        <v>1005</v>
      </c>
      <c r="F11" s="59">
        <f>data0!AQ4</f>
        <v>844.5</v>
      </c>
      <c r="G11" s="59">
        <f>data0!AQ5</f>
        <v>176</v>
      </c>
      <c r="H11" s="60">
        <f>E11/SUM(E11:G11)</f>
        <v>0.49617378425080227</v>
      </c>
      <c r="I11" s="60">
        <f>F11/SUM(E11:G11)</f>
        <v>0.41693409034806223</v>
      </c>
      <c r="J11" s="61">
        <f>data0!F453</f>
        <v>40.97407658894857</v>
      </c>
      <c r="K11" s="130">
        <f>data0!G453</f>
        <v>3.9153419088644545</v>
      </c>
      <c r="L11" s="130">
        <f>data0!H453</f>
        <v>38.551495022243927</v>
      </c>
      <c r="M11" s="174">
        <f>data0!I453</f>
        <v>-1.4613024913371382E-2</v>
      </c>
      <c r="N11" s="130">
        <f>data0!J453</f>
        <v>43.561681535508896</v>
      </c>
      <c r="O11" s="130">
        <f>data0!K453</f>
        <v>4.2430711103705088</v>
      </c>
      <c r="P11" s="130">
        <f>data0!L453</f>
        <v>41.041823916965058</v>
      </c>
      <c r="Q11" s="174">
        <f>data0!M453</f>
        <v>-1.458985538094313E-2</v>
      </c>
      <c r="R11" s="59">
        <f t="shared" ref="R11:R22" si="0">getCCTfromXY(W11,X11,0)</f>
        <v>2392</v>
      </c>
      <c r="S11" s="61">
        <f t="shared" ref="S11:S22" si="1">10^6/R11</f>
        <v>418.0602006688963</v>
      </c>
      <c r="T11" s="61">
        <f t="shared" ref="T11:T22" si="2">$Q$28*$J11+$R$28*$K11+$S$28*$L11</f>
        <v>923.89557463396341</v>
      </c>
      <c r="U11" s="61">
        <f t="shared" ref="U11:U22" si="3">$Q$29*$J11+$R$29*$K11+$S$29*$L11</f>
        <v>783.82814311182483</v>
      </c>
      <c r="V11" s="61">
        <f t="shared" ref="V11:V22" si="4">$Q$30*$J11+$R$30*$K11+$S$30*$L11</f>
        <v>197.95458806696752</v>
      </c>
      <c r="W11" s="60">
        <f t="shared" ref="W11:W22" si="5">T11/SUM(T11:V11)</f>
        <v>0.4848119285484177</v>
      </c>
      <c r="X11" s="60">
        <f t="shared" ref="X11:X22" si="6">U11/SUM(T11:V11)</f>
        <v>0.41131188864404306</v>
      </c>
      <c r="Y11" s="59">
        <f t="shared" ref="Y11:Y22" si="7">((W11-H11)^2+(X11-I11)^2)^0.5</f>
        <v>1.2676786540858249E-2</v>
      </c>
      <c r="Z11" s="61">
        <f t="shared" ref="Z11:Z22" si="8">ABS(S11-D11)</f>
        <v>15.215362589335939</v>
      </c>
      <c r="AA11" s="63">
        <f t="shared" ref="AA11:AA22" si="9">ABS(1-C11/R11)</f>
        <v>3.5117056856187268E-2</v>
      </c>
      <c r="AC11" s="222" t="s">
        <v>128</v>
      </c>
    </row>
    <row r="12" spans="2:29">
      <c r="B12" s="59" t="str">
        <f>data0!A15</f>
        <v>A</v>
      </c>
      <c r="C12" s="59">
        <f t="shared" ref="C12:C16" si="10">getCCTfromXY(H12,I12,0)</f>
        <v>2838</v>
      </c>
      <c r="D12" s="61">
        <f t="shared" ref="D12:D22" si="11">10^6/C12</f>
        <v>352.36081747709653</v>
      </c>
      <c r="E12" s="59">
        <f>data0!AQ15</f>
        <v>1505</v>
      </c>
      <c r="F12" s="59">
        <f>data0!AQ16</f>
        <v>1373</v>
      </c>
      <c r="G12" s="59">
        <f>data0!AQ17</f>
        <v>457</v>
      </c>
      <c r="H12" s="60">
        <f t="shared" ref="H12:H16" si="12">E12/SUM(E12:G12)</f>
        <v>0.45127436281859068</v>
      </c>
      <c r="I12" s="60">
        <f t="shared" ref="I12:I16" si="13">F12/SUM(E12:G12)</f>
        <v>0.41169415292353823</v>
      </c>
      <c r="J12" s="130">
        <f>data0!F454</f>
        <v>30.690131575972945</v>
      </c>
      <c r="K12" s="130">
        <f>data0!G454</f>
        <v>6.7720386628751399</v>
      </c>
      <c r="L12" s="130">
        <f>data0!H454</f>
        <v>31.038757818716544</v>
      </c>
      <c r="M12" s="174">
        <f>data0!I454</f>
        <v>-1.2840565948698986E-2</v>
      </c>
      <c r="N12" s="130">
        <f>data0!J454</f>
        <v>32.717603471544052</v>
      </c>
      <c r="O12" s="130">
        <f>data0!K454</f>
        <v>7.2213858885319366</v>
      </c>
      <c r="P12" s="130">
        <f>data0!L454</f>
        <v>33.117305261117444</v>
      </c>
      <c r="Q12" s="174">
        <f>data0!M454</f>
        <v>-1.2833317784899092E-2</v>
      </c>
      <c r="R12" s="59">
        <f t="shared" si="0"/>
        <v>2825</v>
      </c>
      <c r="S12" s="61">
        <f t="shared" si="1"/>
        <v>353.98230088495575</v>
      </c>
      <c r="T12" s="61">
        <f t="shared" si="2"/>
        <v>1507.0094673620397</v>
      </c>
      <c r="U12" s="61">
        <f t="shared" si="3"/>
        <v>1371.8492584302394</v>
      </c>
      <c r="V12" s="61">
        <f t="shared" si="4"/>
        <v>454.46816808565472</v>
      </c>
      <c r="W12" s="60">
        <f t="shared" si="5"/>
        <v>0.45210371359912183</v>
      </c>
      <c r="X12" s="60">
        <f t="shared" si="6"/>
        <v>0.41155557258719805</v>
      </c>
      <c r="Y12" s="59">
        <f t="shared" si="7"/>
        <v>8.4084911059462868E-4</v>
      </c>
      <c r="Z12" s="61">
        <f t="shared" si="8"/>
        <v>1.6214834078592162</v>
      </c>
      <c r="AA12" s="63">
        <f t="shared" si="9"/>
        <v>4.6017699115044053E-3</v>
      </c>
    </row>
    <row r="13" spans="2:29">
      <c r="B13" s="59" t="str">
        <f>data0!A27</f>
        <v>U30</v>
      </c>
      <c r="C13" s="59">
        <f t="shared" si="10"/>
        <v>2818</v>
      </c>
      <c r="D13" s="61">
        <f t="shared" si="11"/>
        <v>354.86160397444996</v>
      </c>
      <c r="E13" s="59">
        <f>data0!AQ27</f>
        <v>928.5</v>
      </c>
      <c r="F13" s="59">
        <f>data0!AQ28</f>
        <v>852.5</v>
      </c>
      <c r="G13" s="59">
        <f>data0!AQ29</f>
        <v>252.5</v>
      </c>
      <c r="H13" s="60">
        <f t="shared" si="12"/>
        <v>0.45660191787558396</v>
      </c>
      <c r="I13" s="60">
        <f t="shared" si="13"/>
        <v>0.41922793213671011</v>
      </c>
      <c r="J13" s="130">
        <f>data0!F455</f>
        <v>0.87527444627549911</v>
      </c>
      <c r="K13" s="130">
        <f>data0!G455</f>
        <v>3.9443259516721052</v>
      </c>
      <c r="L13" s="130">
        <f>data0!H455</f>
        <v>2.6018751638906972</v>
      </c>
      <c r="M13" s="174">
        <f>data0!I455</f>
        <v>-1.4939876220156686E-3</v>
      </c>
      <c r="N13" s="130">
        <f>data0!J455</f>
        <v>1.0253214836120605</v>
      </c>
      <c r="O13" s="130">
        <f>data0!K455</f>
        <v>4.2781035483829557</v>
      </c>
      <c r="P13" s="130">
        <f>data0!L455</f>
        <v>2.8500461578369141</v>
      </c>
      <c r="Q13" s="174">
        <f>data0!M455</f>
        <v>-1.473061878054308E-3</v>
      </c>
      <c r="R13" s="59">
        <f t="shared" si="0"/>
        <v>2991</v>
      </c>
      <c r="S13" s="61">
        <f t="shared" si="1"/>
        <v>334.33634236041456</v>
      </c>
      <c r="T13" s="61">
        <f t="shared" si="2"/>
        <v>919.85583216758812</v>
      </c>
      <c r="U13" s="61">
        <f t="shared" si="3"/>
        <v>871.0930018913923</v>
      </c>
      <c r="V13" s="61">
        <f t="shared" si="4"/>
        <v>264.36478116343545</v>
      </c>
      <c r="W13" s="60">
        <f t="shared" si="5"/>
        <v>0.44755010882757462</v>
      </c>
      <c r="X13" s="60">
        <f t="shared" si="6"/>
        <v>0.42382485837672362</v>
      </c>
      <c r="Y13" s="59">
        <f t="shared" si="7"/>
        <v>1.0152190793013521E-2</v>
      </c>
      <c r="Z13" s="61">
        <f t="shared" si="8"/>
        <v>20.525261614035401</v>
      </c>
      <c r="AA13" s="63">
        <f t="shared" si="9"/>
        <v>5.7840187228351714E-2</v>
      </c>
    </row>
    <row r="14" spans="2:29">
      <c r="B14" s="59" t="str">
        <f>data0!A39</f>
        <v>U35</v>
      </c>
      <c r="C14" s="59">
        <f t="shared" si="10"/>
        <v>3205</v>
      </c>
      <c r="D14" s="61">
        <f t="shared" si="11"/>
        <v>312.01248049921998</v>
      </c>
      <c r="E14" s="59">
        <f>data0!AQ39</f>
        <v>863.5</v>
      </c>
      <c r="F14" s="59">
        <f>data0!AQ40</f>
        <v>825.15</v>
      </c>
      <c r="G14" s="59">
        <f>data0!AQ41</f>
        <v>328.05</v>
      </c>
      <c r="H14" s="60">
        <f t="shared" si="12"/>
        <v>0.42817474091337332</v>
      </c>
      <c r="I14" s="60">
        <f t="shared" si="13"/>
        <v>0.40915852630535032</v>
      </c>
      <c r="J14" s="130">
        <f>data0!F456</f>
        <v>0.80109864694100841</v>
      </c>
      <c r="K14" s="130">
        <f>data0!G456</f>
        <v>4.2560258185001496</v>
      </c>
      <c r="L14" s="130">
        <f>data0!H456</f>
        <v>3.1251324900874384</v>
      </c>
      <c r="M14" s="174">
        <f>data0!I456</f>
        <v>-1.4729915853562304E-3</v>
      </c>
      <c r="N14" s="130">
        <f>data0!J456</f>
        <v>0.93263705571492517</v>
      </c>
      <c r="O14" s="130">
        <f>data0!K456</f>
        <v>4.5986371948605491</v>
      </c>
      <c r="P14" s="130">
        <f>data0!L456</f>
        <v>3.4119455019632974</v>
      </c>
      <c r="Q14" s="174">
        <f>data0!M456</f>
        <v>-1.4736956673901682E-3</v>
      </c>
      <c r="R14" s="59">
        <f t="shared" si="0"/>
        <v>3227</v>
      </c>
      <c r="S14" s="61">
        <f t="shared" si="1"/>
        <v>309.88534242330337</v>
      </c>
      <c r="T14" s="61">
        <f t="shared" si="2"/>
        <v>901.87674416185166</v>
      </c>
      <c r="U14" s="61">
        <f t="shared" si="3"/>
        <v>866.85428332791435</v>
      </c>
      <c r="V14" s="61">
        <f t="shared" si="4"/>
        <v>339.19005684319319</v>
      </c>
      <c r="W14" s="60">
        <f t="shared" si="5"/>
        <v>0.42785128478718448</v>
      </c>
      <c r="X14" s="60">
        <f t="shared" si="6"/>
        <v>0.411236592190654</v>
      </c>
      <c r="Y14" s="59">
        <f t="shared" si="7"/>
        <v>2.1030886070805628E-3</v>
      </c>
      <c r="Z14" s="61">
        <f t="shared" si="8"/>
        <v>2.127138075916605</v>
      </c>
      <c r="AA14" s="63">
        <f t="shared" si="9"/>
        <v>6.8174775333126325E-3</v>
      </c>
    </row>
    <row r="15" spans="2:29">
      <c r="B15" s="59" t="str">
        <f>data0!A51</f>
        <v>CWF</v>
      </c>
      <c r="C15" s="59">
        <f t="shared" si="10"/>
        <v>3998</v>
      </c>
      <c r="D15" s="61">
        <f t="shared" si="11"/>
        <v>250.12506253126563</v>
      </c>
      <c r="E15" s="59">
        <f>data0!AQ51</f>
        <v>755</v>
      </c>
      <c r="F15" s="59">
        <f>data0!AQ52</f>
        <v>790</v>
      </c>
      <c r="G15" s="59">
        <f>data0!AQ53</f>
        <v>390.25</v>
      </c>
      <c r="H15" s="60">
        <f t="shared" si="12"/>
        <v>0.39013047409895363</v>
      </c>
      <c r="I15" s="60">
        <f t="shared" si="13"/>
        <v>0.40821599276579251</v>
      </c>
      <c r="J15" s="130">
        <f>data0!F457</f>
        <v>0.67203275583408495</v>
      </c>
      <c r="K15" s="130">
        <f>data0!G457</f>
        <v>3.6745177866920593</v>
      </c>
      <c r="L15" s="130">
        <f>data0!H457</f>
        <v>3.1933742099338107</v>
      </c>
      <c r="M15" s="174">
        <f>data0!I457</f>
        <v>-1.6677033372978203E-3</v>
      </c>
      <c r="N15" s="130">
        <f>data0!J457</f>
        <v>0.787817637125651</v>
      </c>
      <c r="O15" s="130">
        <f>data0!K457</f>
        <v>3.9840511670188299</v>
      </c>
      <c r="P15" s="130">
        <f>data0!L457</f>
        <v>3.4698732693990073</v>
      </c>
      <c r="Q15" s="174">
        <f>data0!M457</f>
        <v>-1.6546603149772932E-3</v>
      </c>
      <c r="R15" s="59">
        <f t="shared" si="0"/>
        <v>3689</v>
      </c>
      <c r="S15" s="61">
        <f t="shared" si="1"/>
        <v>271.07617240444563</v>
      </c>
      <c r="T15" s="61">
        <f t="shared" si="2"/>
        <v>674.48330799966129</v>
      </c>
      <c r="U15" s="61">
        <f t="shared" si="3"/>
        <v>664.1348924654792</v>
      </c>
      <c r="V15" s="61">
        <f t="shared" si="4"/>
        <v>354.59877682360934</v>
      </c>
      <c r="W15" s="60">
        <f t="shared" si="5"/>
        <v>0.39834428608179462</v>
      </c>
      <c r="X15" s="60">
        <f t="shared" si="6"/>
        <v>0.39223259710572939</v>
      </c>
      <c r="Y15" s="59">
        <f t="shared" si="7"/>
        <v>1.7970410237821144E-2</v>
      </c>
      <c r="Z15" s="61">
        <f t="shared" si="8"/>
        <v>20.951109873180002</v>
      </c>
      <c r="AA15" s="63">
        <f t="shared" si="9"/>
        <v>8.376253727297378E-2</v>
      </c>
    </row>
    <row r="16" spans="2:29">
      <c r="B16" s="59" t="str">
        <f>data0!A63</f>
        <v>D65</v>
      </c>
      <c r="C16" s="59">
        <f t="shared" si="10"/>
        <v>6466</v>
      </c>
      <c r="D16" s="61">
        <f t="shared" si="11"/>
        <v>154.65511908444171</v>
      </c>
      <c r="E16" s="59">
        <f>data0!AQ63</f>
        <v>809</v>
      </c>
      <c r="F16" s="59">
        <f>data0!AQ64</f>
        <v>848.5</v>
      </c>
      <c r="G16" s="59">
        <f>data0!AQ65</f>
        <v>908</v>
      </c>
      <c r="H16" s="60">
        <f t="shared" si="12"/>
        <v>0.31533814071331123</v>
      </c>
      <c r="I16" s="60">
        <f t="shared" si="13"/>
        <v>0.33073474956148896</v>
      </c>
      <c r="J16" s="130">
        <f>data0!F458</f>
        <v>7.7352644425851329</v>
      </c>
      <c r="K16" s="130">
        <f>data0!G458</f>
        <v>6.877761898007134</v>
      </c>
      <c r="L16" s="130">
        <f>data0!H458</f>
        <v>13.964972072177464</v>
      </c>
      <c r="M16" s="174">
        <f>data0!I458</f>
        <v>-7.0079987106840035E-3</v>
      </c>
      <c r="N16" s="130">
        <f>data0!J458</f>
        <v>8.2662924660576707</v>
      </c>
      <c r="O16" s="130">
        <f>data0!K458</f>
        <v>7.3433100147011849</v>
      </c>
      <c r="P16" s="130">
        <f>data0!L458</f>
        <v>14.922193068045157</v>
      </c>
      <c r="Q16" s="174">
        <f>data0!M458</f>
        <v>-7.0246432255271288E-3</v>
      </c>
      <c r="R16" s="59">
        <f t="shared" si="0"/>
        <v>6466</v>
      </c>
      <c r="S16" s="61">
        <f t="shared" si="1"/>
        <v>154.65511908444171</v>
      </c>
      <c r="T16" s="61">
        <f t="shared" si="2"/>
        <v>821.71657147266751</v>
      </c>
      <c r="U16" s="61">
        <f t="shared" si="3"/>
        <v>871.84065327358758</v>
      </c>
      <c r="V16" s="61">
        <f t="shared" si="4"/>
        <v>915.50060568056495</v>
      </c>
      <c r="W16" s="60">
        <f t="shared" si="5"/>
        <v>0.31494762664507192</v>
      </c>
      <c r="X16" s="60">
        <f t="shared" si="6"/>
        <v>0.3341591907646454</v>
      </c>
      <c r="Y16" s="59">
        <f t="shared" si="7"/>
        <v>3.4466358657926602E-3</v>
      </c>
      <c r="Z16" s="61">
        <f t="shared" si="8"/>
        <v>0</v>
      </c>
      <c r="AA16" s="63">
        <f t="shared" si="9"/>
        <v>0</v>
      </c>
    </row>
    <row r="17" spans="2:39">
      <c r="B17" s="59" t="str">
        <f>B11</f>
        <v>HZ</v>
      </c>
      <c r="C17" s="59">
        <f t="shared" ref="C17" si="14">getCCTfromXY(H17,I17,0)</f>
        <v>2308</v>
      </c>
      <c r="D17" s="61">
        <f t="shared" si="11"/>
        <v>433.27556325823224</v>
      </c>
      <c r="E17" s="59">
        <f>E11</f>
        <v>1005</v>
      </c>
      <c r="F17" s="59">
        <f>F11</f>
        <v>844.5</v>
      </c>
      <c r="G17" s="59">
        <f>G11</f>
        <v>176</v>
      </c>
      <c r="H17" s="60">
        <f t="shared" ref="H17" si="15">E17/SUM(E17:G17)</f>
        <v>0.49617378425080227</v>
      </c>
      <c r="I17" s="60">
        <f t="shared" ref="I17" si="16">F17/SUM(E17:G17)</f>
        <v>0.41693409034806223</v>
      </c>
      <c r="J17" s="61">
        <f t="shared" ref="J17:L22" si="17">$O$20*N11</f>
        <v>40.73930351495715</v>
      </c>
      <c r="K17" s="61">
        <f t="shared" si="17"/>
        <v>3.9681609090325263</v>
      </c>
      <c r="L17" s="61">
        <f t="shared" si="17"/>
        <v>38.382708436030853</v>
      </c>
      <c r="O17" s="59" t="s">
        <v>6</v>
      </c>
      <c r="R17" s="59">
        <f t="shared" si="0"/>
        <v>2407</v>
      </c>
      <c r="S17" s="61">
        <f t="shared" si="1"/>
        <v>415.45492314083924</v>
      </c>
      <c r="T17" s="61">
        <f t="shared" si="2"/>
        <v>932.60439441716335</v>
      </c>
      <c r="U17" s="61">
        <f t="shared" si="3"/>
        <v>793.12227083456946</v>
      </c>
      <c r="V17" s="61">
        <f t="shared" si="4"/>
        <v>203.99018034722394</v>
      </c>
      <c r="W17" s="60">
        <f t="shared" si="5"/>
        <v>0.48328561599289777</v>
      </c>
      <c r="X17" s="60">
        <f t="shared" si="6"/>
        <v>0.41100448112033533</v>
      </c>
      <c r="Y17" s="59">
        <f t="shared" si="7"/>
        <v>1.4186794797895728E-2</v>
      </c>
      <c r="Z17" s="61">
        <f t="shared" si="8"/>
        <v>17.820640117392998</v>
      </c>
      <c r="AA17" s="63">
        <f t="shared" si="9"/>
        <v>4.1130037390943119E-2</v>
      </c>
    </row>
    <row r="18" spans="2:39">
      <c r="B18" s="59" t="str">
        <f t="shared" ref="B18:B22" si="18">B12</f>
        <v>A</v>
      </c>
      <c r="C18" s="59">
        <f t="shared" ref="C18:C22" si="19">getCCTfromXY(H18,I18,0)</f>
        <v>2838</v>
      </c>
      <c r="D18" s="61">
        <f t="shared" si="11"/>
        <v>352.36081747709653</v>
      </c>
      <c r="E18" s="59">
        <f t="shared" ref="E18:G18" si="20">E12</f>
        <v>1505</v>
      </c>
      <c r="F18" s="59">
        <f t="shared" si="20"/>
        <v>1373</v>
      </c>
      <c r="G18" s="59">
        <f t="shared" si="20"/>
        <v>457</v>
      </c>
      <c r="H18" s="60">
        <f t="shared" ref="H18:H22" si="21">E18/SUM(E18:G18)</f>
        <v>0.45127436281859068</v>
      </c>
      <c r="I18" s="60">
        <f t="shared" ref="I18:I22" si="22">F18/SUM(E18:G18)</f>
        <v>0.41169415292353823</v>
      </c>
      <c r="J18" s="61">
        <f t="shared" si="17"/>
        <v>30.597817419484922</v>
      </c>
      <c r="K18" s="61">
        <f t="shared" si="17"/>
        <v>6.7535095327236485</v>
      </c>
      <c r="L18" s="61">
        <f t="shared" si="17"/>
        <v>30.971622377120191</v>
      </c>
      <c r="N18" s="59" t="str">
        <f>J9</f>
        <v>Range: LO</v>
      </c>
      <c r="O18" s="61">
        <f>AVERAGE(J11:L16)</f>
        <v>11.314638736678788</v>
      </c>
      <c r="P18" s="59">
        <f>O18/O21</f>
        <v>11.700009378495503</v>
      </c>
      <c r="R18" s="59">
        <f t="shared" si="0"/>
        <v>2832</v>
      </c>
      <c r="S18" s="61">
        <f t="shared" si="1"/>
        <v>353.10734463276839</v>
      </c>
      <c r="T18" s="61">
        <f t="shared" si="2"/>
        <v>1497.7506289004159</v>
      </c>
      <c r="U18" s="61">
        <f t="shared" si="3"/>
        <v>1363.9572287019027</v>
      </c>
      <c r="V18" s="61">
        <f t="shared" si="4"/>
        <v>456.2797624870891</v>
      </c>
      <c r="W18" s="60">
        <f t="shared" si="5"/>
        <v>0.45140332044399156</v>
      </c>
      <c r="X18" s="60">
        <f t="shared" si="6"/>
        <v>0.41107966179365946</v>
      </c>
      <c r="Y18" s="59">
        <f t="shared" si="7"/>
        <v>6.2787691297635779E-4</v>
      </c>
      <c r="Z18" s="61">
        <f t="shared" si="8"/>
        <v>0.74652715567185624</v>
      </c>
      <c r="AA18" s="63">
        <f t="shared" si="9"/>
        <v>2.1186440677967155E-3</v>
      </c>
    </row>
    <row r="19" spans="2:39">
      <c r="B19" s="59" t="str">
        <f t="shared" si="18"/>
        <v>U30</v>
      </c>
      <c r="C19" s="59">
        <f t="shared" si="19"/>
        <v>2818</v>
      </c>
      <c r="D19" s="61">
        <f t="shared" si="11"/>
        <v>354.86160397444996</v>
      </c>
      <c r="E19" s="59">
        <f t="shared" ref="E19:G19" si="23">E13</f>
        <v>928.5</v>
      </c>
      <c r="F19" s="59">
        <f t="shared" si="23"/>
        <v>852.5</v>
      </c>
      <c r="G19" s="59">
        <f t="shared" si="23"/>
        <v>252.5</v>
      </c>
      <c r="H19" s="60">
        <f t="shared" si="21"/>
        <v>0.45660191787558396</v>
      </c>
      <c r="I19" s="60">
        <f t="shared" si="22"/>
        <v>0.41922793213671011</v>
      </c>
      <c r="J19" s="61">
        <f t="shared" si="17"/>
        <v>0.95889051223214949</v>
      </c>
      <c r="K19" s="61">
        <f t="shared" si="17"/>
        <v>4.0009235819769726</v>
      </c>
      <c r="L19" s="61">
        <f t="shared" si="17"/>
        <v>2.6653905763741106</v>
      </c>
      <c r="N19" s="59" t="str">
        <f>N9</f>
        <v>Range: HI</v>
      </c>
      <c r="O19" s="61">
        <f>AVERAGE(N11:P16)</f>
        <v>12.098505541597561</v>
      </c>
      <c r="P19" s="59">
        <f>O19*O21</f>
        <v>11.700009378495503</v>
      </c>
      <c r="R19" s="59">
        <f t="shared" si="0"/>
        <v>2973</v>
      </c>
      <c r="S19" s="61">
        <f t="shared" si="1"/>
        <v>336.36057854019509</v>
      </c>
      <c r="T19" s="61">
        <f t="shared" si="2"/>
        <v>940.70055878561084</v>
      </c>
      <c r="U19" s="61">
        <f t="shared" si="3"/>
        <v>889.62270854838948</v>
      </c>
      <c r="V19" s="61">
        <f t="shared" si="4"/>
        <v>263.52494532886976</v>
      </c>
      <c r="W19" s="60">
        <f t="shared" si="5"/>
        <v>0.44926874502964403</v>
      </c>
      <c r="X19" s="60">
        <f t="shared" si="6"/>
        <v>0.42487449814569123</v>
      </c>
      <c r="Y19" s="59">
        <f t="shared" si="7"/>
        <v>9.2552218602371499E-3</v>
      </c>
      <c r="Z19" s="61">
        <f t="shared" si="8"/>
        <v>18.501025434254871</v>
      </c>
      <c r="AA19" s="63">
        <f t="shared" si="9"/>
        <v>5.2135889673730285E-2</v>
      </c>
    </row>
    <row r="20" spans="2:39">
      <c r="B20" s="59" t="str">
        <f t="shared" si="18"/>
        <v>U35</v>
      </c>
      <c r="C20" s="59">
        <f t="shared" si="19"/>
        <v>3205</v>
      </c>
      <c r="D20" s="61">
        <f t="shared" si="11"/>
        <v>312.01248049921998</v>
      </c>
      <c r="E20" s="59">
        <f t="shared" ref="E20:G20" si="24">E14</f>
        <v>863.5</v>
      </c>
      <c r="F20" s="59">
        <f t="shared" si="24"/>
        <v>825.15</v>
      </c>
      <c r="G20" s="59">
        <f t="shared" si="24"/>
        <v>328.05</v>
      </c>
      <c r="H20" s="60">
        <f t="shared" si="21"/>
        <v>0.42817474091337332</v>
      </c>
      <c r="I20" s="60">
        <f t="shared" si="22"/>
        <v>0.40915852630535032</v>
      </c>
      <c r="J20" s="61">
        <f t="shared" si="17"/>
        <v>0.87221114389478016</v>
      </c>
      <c r="K20" s="61">
        <f t="shared" si="17"/>
        <v>4.3006897308103751</v>
      </c>
      <c r="L20" s="61">
        <f t="shared" si="17"/>
        <v>3.1908842469194125</v>
      </c>
      <c r="N20" s="59" t="s">
        <v>72</v>
      </c>
      <c r="O20" s="59">
        <f>O18/O19</f>
        <v>0.93520961723547991</v>
      </c>
      <c r="P20" s="59">
        <f ca="1">attn/O21</f>
        <v>195.64582229060156</v>
      </c>
      <c r="R20" s="59">
        <f t="shared" si="0"/>
        <v>3212</v>
      </c>
      <c r="S20" s="61">
        <f t="shared" si="1"/>
        <v>311.332503113325</v>
      </c>
      <c r="T20" s="61">
        <f t="shared" si="2"/>
        <v>916.08721831729554</v>
      </c>
      <c r="U20" s="61">
        <f t="shared" si="3"/>
        <v>879.65297825274729</v>
      </c>
      <c r="V20" s="61">
        <f t="shared" si="4"/>
        <v>339.84664570242467</v>
      </c>
      <c r="W20" s="60">
        <f t="shared" si="5"/>
        <v>0.4289627563646588</v>
      </c>
      <c r="X20" s="60">
        <f t="shared" si="6"/>
        <v>0.41190222792191061</v>
      </c>
      <c r="Y20" s="59">
        <f t="shared" si="7"/>
        <v>2.8546220261499093E-3</v>
      </c>
      <c r="Z20" s="61">
        <f t="shared" si="8"/>
        <v>0.67997738589497203</v>
      </c>
      <c r="AA20" s="63">
        <f t="shared" si="9"/>
        <v>2.1793275217932839E-3</v>
      </c>
    </row>
    <row r="21" spans="2:39">
      <c r="B21" s="59" t="str">
        <f t="shared" si="18"/>
        <v>CWF</v>
      </c>
      <c r="C21" s="59">
        <f t="shared" si="19"/>
        <v>3998</v>
      </c>
      <c r="D21" s="61">
        <f t="shared" si="11"/>
        <v>250.12506253126563</v>
      </c>
      <c r="E21" s="59">
        <f t="shared" ref="E21:G21" si="25">E15</f>
        <v>755</v>
      </c>
      <c r="F21" s="59">
        <f t="shared" si="25"/>
        <v>790</v>
      </c>
      <c r="G21" s="59">
        <f t="shared" si="25"/>
        <v>390.25</v>
      </c>
      <c r="H21" s="60">
        <f t="shared" si="21"/>
        <v>0.39013047409895363</v>
      </c>
      <c r="I21" s="60">
        <f t="shared" si="22"/>
        <v>0.40821599276579251</v>
      </c>
      <c r="J21" s="61">
        <f t="shared" si="17"/>
        <v>0.73677463086764028</v>
      </c>
      <c r="K21" s="61">
        <f t="shared" si="17"/>
        <v>3.7259229669542471</v>
      </c>
      <c r="L21" s="61">
        <f t="shared" si="17"/>
        <v>3.2450588521302688</v>
      </c>
      <c r="N21" s="109" t="s">
        <v>107</v>
      </c>
      <c r="O21" s="59">
        <f>O20^0.5</f>
        <v>0.96706236470844009</v>
      </c>
      <c r="P21" s="59">
        <f ca="1">attn*O21</f>
        <v>182.96985457811422</v>
      </c>
      <c r="R21" s="59">
        <f t="shared" si="0"/>
        <v>3641</v>
      </c>
      <c r="S21" s="61">
        <f t="shared" si="1"/>
        <v>274.64982147761606</v>
      </c>
      <c r="T21" s="61">
        <f t="shared" si="2"/>
        <v>692.59128045981265</v>
      </c>
      <c r="U21" s="61">
        <f t="shared" si="3"/>
        <v>680.32231691548168</v>
      </c>
      <c r="V21" s="61">
        <f t="shared" si="4"/>
        <v>354.34069950282617</v>
      </c>
      <c r="W21" s="60">
        <f t="shared" si="5"/>
        <v>0.40097817774233835</v>
      </c>
      <c r="X21" s="60">
        <f t="shared" si="6"/>
        <v>0.39387501779275469</v>
      </c>
      <c r="Y21" s="59">
        <f t="shared" si="7"/>
        <v>1.7981552700253652E-2</v>
      </c>
      <c r="Z21" s="61">
        <f t="shared" si="8"/>
        <v>24.524758946350431</v>
      </c>
      <c r="AA21" s="63">
        <f t="shared" si="9"/>
        <v>9.8049986267508826E-2</v>
      </c>
    </row>
    <row r="22" spans="2:39" ht="15.75" thickBot="1">
      <c r="B22" s="59" t="str">
        <f t="shared" si="18"/>
        <v>D65</v>
      </c>
      <c r="C22" s="59">
        <f t="shared" si="19"/>
        <v>6466</v>
      </c>
      <c r="D22" s="61">
        <f t="shared" si="11"/>
        <v>154.65511908444171</v>
      </c>
      <c r="E22" s="59">
        <f t="shared" ref="E22:G22" si="26">E16</f>
        <v>809</v>
      </c>
      <c r="F22" s="59">
        <f t="shared" si="26"/>
        <v>848.5</v>
      </c>
      <c r="G22" s="59">
        <f t="shared" si="26"/>
        <v>908</v>
      </c>
      <c r="H22" s="60">
        <f t="shared" si="21"/>
        <v>0.31533814071331123</v>
      </c>
      <c r="I22" s="60">
        <f t="shared" si="22"/>
        <v>0.33073474956148896</v>
      </c>
      <c r="J22" s="61">
        <f t="shared" si="17"/>
        <v>7.7307162131383258</v>
      </c>
      <c r="K22" s="61">
        <f t="shared" si="17"/>
        <v>6.8675341480901615</v>
      </c>
      <c r="L22" s="61">
        <f t="shared" si="17"/>
        <v>13.955378467480443</v>
      </c>
      <c r="R22" s="59">
        <f t="shared" si="0"/>
        <v>6479</v>
      </c>
      <c r="S22" s="61">
        <f t="shared" si="1"/>
        <v>154.34480629726809</v>
      </c>
      <c r="T22" s="61">
        <f t="shared" si="2"/>
        <v>819.49390372046582</v>
      </c>
      <c r="U22" s="61">
        <f t="shared" si="3"/>
        <v>869.71855370445564</v>
      </c>
      <c r="V22" s="61">
        <f t="shared" si="4"/>
        <v>914.72208453686551</v>
      </c>
      <c r="W22" s="60">
        <f t="shared" si="5"/>
        <v>0.31471371131436526</v>
      </c>
      <c r="X22" s="60">
        <f t="shared" si="6"/>
        <v>0.3340016961598487</v>
      </c>
      <c r="Y22" s="59">
        <f t="shared" si="7"/>
        <v>3.326086612041593E-3</v>
      </c>
      <c r="Z22" s="61">
        <f t="shared" si="8"/>
        <v>0.31031278717361488</v>
      </c>
      <c r="AA22" s="63">
        <f t="shared" si="9"/>
        <v>2.0064824818645244E-3</v>
      </c>
    </row>
    <row r="23" spans="2:39" ht="15.75" thickBot="1">
      <c r="B23" s="242" t="str">
        <f>B11</f>
        <v>HZ</v>
      </c>
      <c r="C23" s="59" t="s">
        <v>44</v>
      </c>
      <c r="E23" s="59">
        <f>E11</f>
        <v>1005</v>
      </c>
      <c r="F23" s="59">
        <f t="shared" ref="F23:G23" si="27">F11</f>
        <v>844.5</v>
      </c>
      <c r="G23" s="59">
        <f t="shared" si="27"/>
        <v>176</v>
      </c>
      <c r="J23" s="61">
        <f>J11</f>
        <v>40.97407658894857</v>
      </c>
      <c r="K23" s="61">
        <f t="shared" ref="K23:L23" si="28">K11</f>
        <v>3.9153419088644545</v>
      </c>
      <c r="L23" s="61">
        <f t="shared" si="28"/>
        <v>38.551495022243927</v>
      </c>
      <c r="M23" s="174">
        <f>M11</f>
        <v>-1.4613024913371382E-2</v>
      </c>
      <c r="W23" s="275" t="s">
        <v>80</v>
      </c>
      <c r="X23" s="253" t="str">
        <f>B23</f>
        <v>HZ</v>
      </c>
      <c r="Y23" s="65">
        <f>Y11</f>
        <v>1.2676786540858249E-2</v>
      </c>
      <c r="Z23" s="66">
        <f t="shared" ref="Z23:AA23" si="29">Z11</f>
        <v>15.215362589335939</v>
      </c>
      <c r="AA23" s="67">
        <f t="shared" si="29"/>
        <v>3.5117056856187268E-2</v>
      </c>
    </row>
    <row r="24" spans="2:39" ht="16.5" thickTop="1" thickBot="1">
      <c r="B24" s="242"/>
      <c r="C24" s="59" t="s">
        <v>43</v>
      </c>
      <c r="E24" s="59">
        <f>E17</f>
        <v>1005</v>
      </c>
      <c r="F24" s="59">
        <f t="shared" ref="F24:G24" si="30">F17</f>
        <v>844.5</v>
      </c>
      <c r="G24" s="59">
        <f t="shared" si="30"/>
        <v>176</v>
      </c>
      <c r="J24" s="61">
        <f>J17</f>
        <v>40.73930351495715</v>
      </c>
      <c r="K24" s="61">
        <f t="shared" ref="K24:L24" si="31">K17</f>
        <v>3.9681609090325263</v>
      </c>
      <c r="L24" s="61">
        <f t="shared" si="31"/>
        <v>38.382708436030853</v>
      </c>
      <c r="M24" s="174">
        <f>Q11</f>
        <v>-1.458985538094313E-2</v>
      </c>
      <c r="P24" s="279" t="s">
        <v>73</v>
      </c>
      <c r="Q24" s="184">
        <f t="shared" ref="Q24:T26" si="32">IF(useDir,AJ24,AD24)</f>
        <v>-203.11779560338201</v>
      </c>
      <c r="R24" s="185">
        <f t="shared" si="32"/>
        <v>326.71242163286684</v>
      </c>
      <c r="S24" s="185">
        <f t="shared" si="32"/>
        <v>182.43728831749536</v>
      </c>
      <c r="T24" s="186">
        <f t="shared" si="32"/>
        <v>0</v>
      </c>
      <c r="W24" s="275"/>
      <c r="X24" s="253"/>
      <c r="Y24" s="71">
        <f>Y17</f>
        <v>1.4186794797895728E-2</v>
      </c>
      <c r="Z24" s="72">
        <f t="shared" ref="Z24:AA24" si="33">Z17</f>
        <v>17.820640117392998</v>
      </c>
      <c r="AA24" s="73">
        <f t="shared" si="33"/>
        <v>4.1130037390943119E-2</v>
      </c>
      <c r="AC24" s="279" t="s">
        <v>73</v>
      </c>
      <c r="AD24" s="175">
        <f t="array" ref="AD24:AF24">LINEST(E25:E34,J25:L34,0)</f>
        <v>-203.11779560338201</v>
      </c>
      <c r="AE24" s="175">
        <v>326.71242163286684</v>
      </c>
      <c r="AF24" s="176">
        <v>182.43728831749536</v>
      </c>
      <c r="AG24" s="171"/>
      <c r="AI24" s="279" t="s">
        <v>73</v>
      </c>
      <c r="AJ24" s="175">
        <f t="array" ref="AJ24:AM24">LINEST($E$25:$E$34,$J$25:$M$34,0)</f>
        <v>-19710.129430429632</v>
      </c>
      <c r="AK24" s="175">
        <v>-216.08523476615738</v>
      </c>
      <c r="AL24" s="175">
        <v>327.85663330336126</v>
      </c>
      <c r="AM24" s="176">
        <v>187.04251469706892</v>
      </c>
    </row>
    <row r="25" spans="2:39">
      <c r="B25" s="242" t="str">
        <f>B12</f>
        <v>A</v>
      </c>
      <c r="C25" s="59" t="str">
        <f>C23</f>
        <v>HI</v>
      </c>
      <c r="E25" s="59">
        <f>E12</f>
        <v>1505</v>
      </c>
      <c r="F25" s="59">
        <f t="shared" ref="F25:G25" si="34">F12</f>
        <v>1373</v>
      </c>
      <c r="G25" s="59">
        <f t="shared" si="34"/>
        <v>457</v>
      </c>
      <c r="J25" s="61">
        <f>J12</f>
        <v>30.690131575972945</v>
      </c>
      <c r="K25" s="61">
        <f t="shared" ref="K25:L25" si="35">K12</f>
        <v>6.7720386628751399</v>
      </c>
      <c r="L25" s="61">
        <f t="shared" si="35"/>
        <v>31.038757818716544</v>
      </c>
      <c r="M25" s="174">
        <f>M12</f>
        <v>-1.2840565948698986E-2</v>
      </c>
      <c r="P25" s="277"/>
      <c r="Q25" s="160">
        <f t="shared" si="32"/>
        <v>-164.42199207955508</v>
      </c>
      <c r="R25" s="162">
        <f t="shared" si="32"/>
        <v>297.03235186856597</v>
      </c>
      <c r="S25" s="162">
        <f t="shared" si="32"/>
        <v>145.44704927803184</v>
      </c>
      <c r="T25" s="179">
        <f t="shared" si="32"/>
        <v>0</v>
      </c>
      <c r="W25" s="275"/>
      <c r="X25" s="253" t="str">
        <f>B25</f>
        <v>A</v>
      </c>
      <c r="Y25" s="65">
        <f>Y12</f>
        <v>8.4084911059462868E-4</v>
      </c>
      <c r="Z25" s="66">
        <f t="shared" ref="Z25:AA25" si="36">Z12</f>
        <v>1.6214834078592162</v>
      </c>
      <c r="AA25" s="67">
        <f t="shared" si="36"/>
        <v>4.6017699115044053E-3</v>
      </c>
      <c r="AC25" s="277"/>
      <c r="AD25" s="171">
        <f t="array" ref="AD25:AF25">LINEST(F25:F34,J25:L34,0)</f>
        <v>-164.42199207955508</v>
      </c>
      <c r="AE25" s="171">
        <v>297.03235186856597</v>
      </c>
      <c r="AF25" s="177">
        <v>145.44704927803184</v>
      </c>
      <c r="AG25" s="171"/>
      <c r="AI25" s="277"/>
      <c r="AJ25" s="171">
        <f t="array" ref="AJ25:AM25">LINEST($F$25:$F$34,$J$25:$M$34,0)</f>
        <v>100934.87784190969</v>
      </c>
      <c r="AK25" s="171">
        <v>-98.016193353727189</v>
      </c>
      <c r="AL25" s="171">
        <v>291.17288424841217</v>
      </c>
      <c r="AM25" s="177">
        <v>121.86384736668511</v>
      </c>
    </row>
    <row r="26" spans="2:39" ht="15.75" thickBot="1">
      <c r="B26" s="242"/>
      <c r="C26" s="59" t="str">
        <f t="shared" ref="C26:C34" si="37">C24</f>
        <v>LO</v>
      </c>
      <c r="E26" s="59">
        <f>E18</f>
        <v>1505</v>
      </c>
      <c r="F26" s="59">
        <f t="shared" ref="F26:G26" si="38">F18</f>
        <v>1373</v>
      </c>
      <c r="G26" s="59">
        <f t="shared" si="38"/>
        <v>457</v>
      </c>
      <c r="J26" s="61">
        <f>J18</f>
        <v>30.597817419484922</v>
      </c>
      <c r="K26" s="61">
        <f t="shared" ref="K26:L26" si="39">K18</f>
        <v>6.7535095327236485</v>
      </c>
      <c r="L26" s="61">
        <f t="shared" si="39"/>
        <v>30.971622377120191</v>
      </c>
      <c r="M26" s="174">
        <f>Q12</f>
        <v>-1.2833317784899092E-2</v>
      </c>
      <c r="P26" s="278"/>
      <c r="Q26" s="161">
        <f t="shared" si="32"/>
        <v>120.35628551590166</v>
      </c>
      <c r="R26" s="163">
        <f t="shared" si="32"/>
        <v>11.940983938837908</v>
      </c>
      <c r="S26" s="163">
        <f t="shared" si="32"/>
        <v>-109.5500756191435</v>
      </c>
      <c r="T26" s="180">
        <f t="shared" si="32"/>
        <v>0</v>
      </c>
      <c r="W26" s="275"/>
      <c r="X26" s="253"/>
      <c r="Y26" s="68">
        <f>Y18</f>
        <v>6.2787691297635779E-4</v>
      </c>
      <c r="Z26" s="69">
        <f t="shared" ref="Z26:AA26" si="40">Z18</f>
        <v>0.74652715567185624</v>
      </c>
      <c r="AA26" s="70">
        <f t="shared" si="40"/>
        <v>2.1186440677967155E-3</v>
      </c>
      <c r="AC26" s="277"/>
      <c r="AD26" s="171">
        <f t="array" ref="AD26:AF26">LINEST(G25:G34,J25:L34,0)</f>
        <v>120.35628551590166</v>
      </c>
      <c r="AE26" s="171">
        <v>11.940983938837908</v>
      </c>
      <c r="AF26" s="177">
        <v>-109.5500756191435</v>
      </c>
      <c r="AG26" s="171"/>
      <c r="AI26" s="277"/>
      <c r="AJ26" s="171">
        <f t="array" ref="AJ26:AM26">LINEST($G$25:$G$34,$J$25:$M$34,0)</f>
        <v>47739.517277678169</v>
      </c>
      <c r="AK26" s="171">
        <v>151.76446515995897</v>
      </c>
      <c r="AL26" s="171">
        <v>9.1696113303680082</v>
      </c>
      <c r="AM26" s="177">
        <v>-120.70430396103623</v>
      </c>
    </row>
    <row r="27" spans="2:39" ht="15.75" thickBot="1">
      <c r="B27" s="242" t="str">
        <f>B13</f>
        <v>U30</v>
      </c>
      <c r="C27" s="59" t="str">
        <f t="shared" si="37"/>
        <v>HI</v>
      </c>
      <c r="E27" s="59">
        <f>E13</f>
        <v>928.5</v>
      </c>
      <c r="F27" s="59">
        <f t="shared" ref="F27:G27" si="41">F13</f>
        <v>852.5</v>
      </c>
      <c r="G27" s="59">
        <f t="shared" si="41"/>
        <v>252.5</v>
      </c>
      <c r="J27" s="61">
        <f>J13</f>
        <v>0.87527444627549911</v>
      </c>
      <c r="K27" s="61">
        <f t="shared" ref="K27:L27" si="42">K13</f>
        <v>3.9443259516721052</v>
      </c>
      <c r="L27" s="61">
        <f t="shared" si="42"/>
        <v>2.6018751638906972</v>
      </c>
      <c r="M27" s="174">
        <f>M13</f>
        <v>-1.4939876220156686E-3</v>
      </c>
      <c r="P27" s="277"/>
      <c r="Q27" s="286"/>
      <c r="R27" s="286"/>
      <c r="S27" s="286"/>
      <c r="T27" s="287"/>
      <c r="W27" s="275"/>
      <c r="X27" s="253" t="str">
        <f>B27</f>
        <v>U30</v>
      </c>
      <c r="Y27" s="68">
        <f>Y13</f>
        <v>1.0152190793013521E-2</v>
      </c>
      <c r="Z27" s="69">
        <f t="shared" ref="Z27:AA27" si="43">Z13</f>
        <v>20.525261614035401</v>
      </c>
      <c r="AA27" s="70">
        <f t="shared" si="43"/>
        <v>5.7840187228351714E-2</v>
      </c>
      <c r="AC27" s="278"/>
      <c r="AD27" s="290"/>
      <c r="AE27" s="290"/>
      <c r="AF27" s="297"/>
      <c r="AG27" s="171"/>
      <c r="AI27" s="277"/>
      <c r="AJ27" s="286"/>
      <c r="AK27" s="286"/>
      <c r="AL27" s="286"/>
      <c r="AM27" s="287"/>
    </row>
    <row r="28" spans="2:39">
      <c r="B28" s="242"/>
      <c r="C28" s="59" t="str">
        <f t="shared" si="37"/>
        <v>LO</v>
      </c>
      <c r="E28" s="59">
        <f>E19</f>
        <v>928.5</v>
      </c>
      <c r="F28" s="59">
        <f t="shared" ref="F28:G28" si="44">F19</f>
        <v>852.5</v>
      </c>
      <c r="G28" s="59">
        <f t="shared" si="44"/>
        <v>252.5</v>
      </c>
      <c r="J28" s="61">
        <f>J19</f>
        <v>0.95889051223214949</v>
      </c>
      <c r="K28" s="61">
        <f t="shared" ref="K28:L28" si="45">K19</f>
        <v>4.0009235819769726</v>
      </c>
      <c r="L28" s="61">
        <f t="shared" si="45"/>
        <v>2.6653905763741106</v>
      </c>
      <c r="M28" s="174">
        <f>Q13</f>
        <v>-1.473061878054308E-3</v>
      </c>
      <c r="P28" s="276" t="s">
        <v>79</v>
      </c>
      <c r="Q28" s="155">
        <f t="shared" ref="Q28:T30" si="46">IF(useDir,AJ28,AD28)</f>
        <v>182.43728831749536</v>
      </c>
      <c r="R28" s="156">
        <f t="shared" si="46"/>
        <v>326.71242163286684</v>
      </c>
      <c r="S28" s="156">
        <f t="shared" si="46"/>
        <v>-203.11779560338201</v>
      </c>
      <c r="T28" s="178">
        <f t="shared" si="46"/>
        <v>0</v>
      </c>
      <c r="W28" s="275"/>
      <c r="X28" s="253"/>
      <c r="Y28" s="68">
        <f>Y19</f>
        <v>9.2552218602371499E-3</v>
      </c>
      <c r="Z28" s="69">
        <f t="shared" ref="Z28:AA28" si="47">Z19</f>
        <v>18.501025434254871</v>
      </c>
      <c r="AA28" s="70">
        <f t="shared" si="47"/>
        <v>5.2135889673730285E-2</v>
      </c>
      <c r="AC28" s="276" t="s">
        <v>79</v>
      </c>
      <c r="AD28" s="156">
        <f>AF24</f>
        <v>182.43728831749536</v>
      </c>
      <c r="AE28" s="156">
        <f>AE24</f>
        <v>326.71242163286684</v>
      </c>
      <c r="AF28" s="178">
        <f>AD24</f>
        <v>-203.11779560338201</v>
      </c>
      <c r="AG28" s="171"/>
      <c r="AI28" s="277" t="s">
        <v>79</v>
      </c>
      <c r="AJ28" s="155">
        <f>AM24</f>
        <v>187.04251469706892</v>
      </c>
      <c r="AK28" s="156">
        <f>AL24</f>
        <v>327.85663330336126</v>
      </c>
      <c r="AL28" s="156">
        <f>AK24</f>
        <v>-216.08523476615738</v>
      </c>
      <c r="AM28" s="178">
        <f>AJ24</f>
        <v>-19710.129430429632</v>
      </c>
    </row>
    <row r="29" spans="2:39">
      <c r="B29" s="242" t="str">
        <f>B14</f>
        <v>U35</v>
      </c>
      <c r="C29" s="59" t="str">
        <f t="shared" si="37"/>
        <v>HI</v>
      </c>
      <c r="E29" s="59">
        <f>E14</f>
        <v>863.5</v>
      </c>
      <c r="F29" s="59">
        <f t="shared" ref="F29:G29" si="48">F14</f>
        <v>825.15</v>
      </c>
      <c r="G29" s="59">
        <f t="shared" si="48"/>
        <v>328.05</v>
      </c>
      <c r="J29" s="61">
        <f>J14</f>
        <v>0.80109864694100841</v>
      </c>
      <c r="K29" s="61">
        <f t="shared" ref="K29:L29" si="49">K14</f>
        <v>4.2560258185001496</v>
      </c>
      <c r="L29" s="61">
        <f t="shared" si="49"/>
        <v>3.1251324900874384</v>
      </c>
      <c r="M29" s="174">
        <f>M14</f>
        <v>-1.4729915853562304E-3</v>
      </c>
      <c r="P29" s="277"/>
      <c r="Q29" s="160">
        <f t="shared" si="46"/>
        <v>145.44704927803184</v>
      </c>
      <c r="R29" s="162">
        <f t="shared" si="46"/>
        <v>297.03235186856597</v>
      </c>
      <c r="S29" s="162">
        <f t="shared" si="46"/>
        <v>-164.42199207955508</v>
      </c>
      <c r="T29" s="179">
        <f t="shared" si="46"/>
        <v>0</v>
      </c>
      <c r="W29" s="275"/>
      <c r="X29" s="253" t="str">
        <f>B29</f>
        <v>U35</v>
      </c>
      <c r="Y29" s="68">
        <f>Y14</f>
        <v>2.1030886070805628E-3</v>
      </c>
      <c r="Z29" s="69">
        <f t="shared" ref="Z29:AA29" si="50">Z14</f>
        <v>2.127138075916605</v>
      </c>
      <c r="AA29" s="70">
        <f t="shared" si="50"/>
        <v>6.8174775333126325E-3</v>
      </c>
      <c r="AC29" s="277"/>
      <c r="AD29" s="162">
        <f>AF25</f>
        <v>145.44704927803184</v>
      </c>
      <c r="AE29" s="162">
        <f>AE25</f>
        <v>297.03235186856597</v>
      </c>
      <c r="AF29" s="179">
        <f>AD25</f>
        <v>-164.42199207955508</v>
      </c>
      <c r="AG29" s="171"/>
      <c r="AI29" s="277"/>
      <c r="AJ29" s="160">
        <f t="shared" ref="AJ29:AJ30" si="51">AM25</f>
        <v>121.86384736668511</v>
      </c>
      <c r="AK29" s="162">
        <f t="shared" ref="AK29:AK30" si="52">AL25</f>
        <v>291.17288424841217</v>
      </c>
      <c r="AL29" s="162">
        <f t="shared" ref="AL29:AL30" si="53">AK25</f>
        <v>-98.016193353727189</v>
      </c>
      <c r="AM29" s="179">
        <f t="shared" ref="AM29:AM30" si="54">AJ25</f>
        <v>100934.87784190969</v>
      </c>
    </row>
    <row r="30" spans="2:39" ht="15.75" thickBot="1">
      <c r="B30" s="242"/>
      <c r="C30" s="59" t="str">
        <f t="shared" si="37"/>
        <v>LO</v>
      </c>
      <c r="E30" s="59">
        <f>E20</f>
        <v>863.5</v>
      </c>
      <c r="F30" s="59">
        <f t="shared" ref="F30:G30" si="55">F20</f>
        <v>825.15</v>
      </c>
      <c r="G30" s="59">
        <f t="shared" si="55"/>
        <v>328.05</v>
      </c>
      <c r="J30" s="61">
        <f>J20</f>
        <v>0.87221114389478016</v>
      </c>
      <c r="K30" s="61">
        <f t="shared" ref="K30:L30" si="56">K20</f>
        <v>4.3006897308103751</v>
      </c>
      <c r="L30" s="61">
        <f t="shared" si="56"/>
        <v>3.1908842469194125</v>
      </c>
      <c r="M30" s="174">
        <f>Q14</f>
        <v>-1.4736956673901682E-3</v>
      </c>
      <c r="P30" s="278"/>
      <c r="Q30" s="161">
        <f t="shared" si="46"/>
        <v>-109.5500756191435</v>
      </c>
      <c r="R30" s="163">
        <f t="shared" si="46"/>
        <v>11.940983938837908</v>
      </c>
      <c r="S30" s="163">
        <f t="shared" si="46"/>
        <v>120.35628551590166</v>
      </c>
      <c r="T30" s="180">
        <f t="shared" si="46"/>
        <v>0</v>
      </c>
      <c r="W30" s="275"/>
      <c r="X30" s="253"/>
      <c r="Y30" s="68">
        <f>Y20</f>
        <v>2.8546220261499093E-3</v>
      </c>
      <c r="Z30" s="69">
        <f t="shared" ref="Z30:AA30" si="57">Z20</f>
        <v>0.67997738589497203</v>
      </c>
      <c r="AA30" s="70">
        <f t="shared" si="57"/>
        <v>2.1793275217932839E-3</v>
      </c>
      <c r="AC30" s="278"/>
      <c r="AD30" s="163">
        <f>AF26</f>
        <v>-109.5500756191435</v>
      </c>
      <c r="AE30" s="163">
        <f>AE26</f>
        <v>11.940983938837908</v>
      </c>
      <c r="AF30" s="180">
        <f>AD26</f>
        <v>120.35628551590166</v>
      </c>
      <c r="AG30" s="171"/>
      <c r="AI30" s="277"/>
      <c r="AJ30" s="161">
        <f t="shared" si="51"/>
        <v>-120.70430396103623</v>
      </c>
      <c r="AK30" s="163">
        <f t="shared" si="52"/>
        <v>9.1696113303680082</v>
      </c>
      <c r="AL30" s="163">
        <f t="shared" si="53"/>
        <v>151.76446515995897</v>
      </c>
      <c r="AM30" s="180">
        <f t="shared" si="54"/>
        <v>47739.517277678169</v>
      </c>
    </row>
    <row r="31" spans="2:39" ht="15.75" thickBot="1">
      <c r="B31" s="242" t="str">
        <f>B15</f>
        <v>CWF</v>
      </c>
      <c r="C31" s="59" t="str">
        <f t="shared" si="37"/>
        <v>HI</v>
      </c>
      <c r="E31" s="59">
        <f>E15</f>
        <v>755</v>
      </c>
      <c r="F31" s="59">
        <f t="shared" ref="F31:G31" si="58">F15</f>
        <v>790</v>
      </c>
      <c r="G31" s="59">
        <f t="shared" si="58"/>
        <v>390.25</v>
      </c>
      <c r="J31" s="61">
        <f>J15</f>
        <v>0.67203275583408495</v>
      </c>
      <c r="K31" s="61">
        <f t="shared" ref="K31:L31" si="59">K15</f>
        <v>3.6745177866920593</v>
      </c>
      <c r="L31" s="61">
        <f t="shared" si="59"/>
        <v>3.1933742099338107</v>
      </c>
      <c r="M31" s="174">
        <f>M15</f>
        <v>-1.6677033372978203E-3</v>
      </c>
      <c r="P31" s="277"/>
      <c r="Q31" s="286"/>
      <c r="R31" s="286"/>
      <c r="S31" s="286"/>
      <c r="T31" s="287"/>
      <c r="W31" s="275"/>
      <c r="X31" s="253" t="str">
        <f>B31</f>
        <v>CWF</v>
      </c>
      <c r="Y31" s="68">
        <f>Y15</f>
        <v>1.7970410237821144E-2</v>
      </c>
      <c r="Z31" s="69">
        <f t="shared" ref="Z31:AA31" si="60">Z15</f>
        <v>20.951109873180002</v>
      </c>
      <c r="AA31" s="70">
        <f t="shared" si="60"/>
        <v>8.376253727297378E-2</v>
      </c>
      <c r="AC31" s="276"/>
      <c r="AD31" s="298"/>
      <c r="AE31" s="298"/>
      <c r="AF31" s="299"/>
      <c r="AG31" s="171"/>
      <c r="AI31" s="277"/>
      <c r="AJ31" s="286"/>
      <c r="AK31" s="286"/>
      <c r="AL31" s="286"/>
      <c r="AM31" s="287"/>
    </row>
    <row r="32" spans="2:39">
      <c r="B32" s="242"/>
      <c r="C32" s="59" t="str">
        <f t="shared" si="37"/>
        <v>LO</v>
      </c>
      <c r="E32" s="59">
        <f>E21</f>
        <v>755</v>
      </c>
      <c r="F32" s="59">
        <f t="shared" ref="F32:G32" si="61">F21</f>
        <v>790</v>
      </c>
      <c r="G32" s="59">
        <f t="shared" si="61"/>
        <v>390.25</v>
      </c>
      <c r="J32" s="61">
        <f>J21</f>
        <v>0.73677463086764028</v>
      </c>
      <c r="K32" s="61">
        <f t="shared" ref="K32:L32" si="62">K21</f>
        <v>3.7259229669542471</v>
      </c>
      <c r="L32" s="61">
        <f t="shared" si="62"/>
        <v>3.2450588521302688</v>
      </c>
      <c r="M32" s="174">
        <f>Q15</f>
        <v>-1.6546603149772932E-3</v>
      </c>
      <c r="P32" s="276" t="s">
        <v>117</v>
      </c>
      <c r="Q32" s="155">
        <f t="shared" ref="Q32:T34" si="63">IF(useDir,AJ32,AD32)</f>
        <v>0.6142000599255335</v>
      </c>
      <c r="R32" s="156">
        <f t="shared" si="63"/>
        <v>1.0999220104395699</v>
      </c>
      <c r="S32" s="156">
        <f t="shared" si="63"/>
        <v>-0.68382381355300892</v>
      </c>
      <c r="T32" s="178">
        <f t="shared" si="63"/>
        <v>0</v>
      </c>
      <c r="U32" s="64" t="s">
        <v>43</v>
      </c>
      <c r="V32" s="133">
        <f>H69</f>
        <v>300.40366906227416</v>
      </c>
      <c r="W32" s="275"/>
      <c r="X32" s="253"/>
      <c r="Y32" s="68">
        <f>Y21</f>
        <v>1.7981552700253652E-2</v>
      </c>
      <c r="Z32" s="69">
        <f t="shared" ref="Z32:AA32" si="64">Z21</f>
        <v>24.524758946350431</v>
      </c>
      <c r="AA32" s="70">
        <f t="shared" si="64"/>
        <v>9.8049986267508826E-2</v>
      </c>
      <c r="AC32" s="300"/>
      <c r="AD32" s="155">
        <f t="shared" ref="AD32:AF34" si="65">AD28/$AE$29</f>
        <v>0.6142000599255335</v>
      </c>
      <c r="AE32" s="156">
        <f t="shared" si="65"/>
        <v>1.0999220104395699</v>
      </c>
      <c r="AF32" s="178">
        <f t="shared" si="65"/>
        <v>-0.68382381355300892</v>
      </c>
      <c r="AG32" s="171"/>
      <c r="AI32" s="277"/>
      <c r="AJ32" s="155">
        <f t="shared" ref="AJ32:AM34" si="66">AJ28/$AK$29</f>
        <v>0.64237614426175371</v>
      </c>
      <c r="AK32" s="156">
        <f t="shared" si="66"/>
        <v>1.1259861444503623</v>
      </c>
      <c r="AL32" s="156">
        <f t="shared" si="66"/>
        <v>-0.74212004776449492</v>
      </c>
      <c r="AM32" s="178">
        <f t="shared" si="66"/>
        <v>-67.692187345350703</v>
      </c>
    </row>
    <row r="33" spans="2:42">
      <c r="B33" s="242" t="str">
        <f>B16</f>
        <v>D65</v>
      </c>
      <c r="C33" s="59" t="str">
        <f t="shared" si="37"/>
        <v>HI</v>
      </c>
      <c r="E33" s="59">
        <f>E16</f>
        <v>809</v>
      </c>
      <c r="F33" s="59">
        <f t="shared" ref="F33:G33" si="67">F16</f>
        <v>848.5</v>
      </c>
      <c r="G33" s="59">
        <f t="shared" si="67"/>
        <v>908</v>
      </c>
      <c r="J33" s="61">
        <f>J16</f>
        <v>7.7352644425851329</v>
      </c>
      <c r="K33" s="61">
        <f t="shared" ref="K33:L33" si="68">K16</f>
        <v>6.877761898007134</v>
      </c>
      <c r="L33" s="61">
        <f t="shared" si="68"/>
        <v>13.964972072177464</v>
      </c>
      <c r="M33" s="174">
        <f>M16</f>
        <v>-7.0079987106840035E-3</v>
      </c>
      <c r="P33" s="277"/>
      <c r="Q33" s="160">
        <f t="shared" si="63"/>
        <v>0.48966736573661446</v>
      </c>
      <c r="R33" s="162">
        <f t="shared" si="63"/>
        <v>1</v>
      </c>
      <c r="S33" s="162">
        <f t="shared" si="63"/>
        <v>-0.55354910347378683</v>
      </c>
      <c r="T33" s="179">
        <f t="shared" si="63"/>
        <v>0</v>
      </c>
      <c r="U33" s="64" t="s">
        <v>44</v>
      </c>
      <c r="V33" s="133">
        <f>H75</f>
        <v>298.11878010797614</v>
      </c>
      <c r="W33" s="275"/>
      <c r="X33" s="253" t="str">
        <f>B33</f>
        <v>D65</v>
      </c>
      <c r="Y33" s="68">
        <f>Y16</f>
        <v>3.4466358657926602E-3</v>
      </c>
      <c r="Z33" s="69">
        <f t="shared" ref="Z33:AA33" si="69">Z16</f>
        <v>0</v>
      </c>
      <c r="AA33" s="70">
        <f t="shared" si="69"/>
        <v>0</v>
      </c>
      <c r="AC33" s="300"/>
      <c r="AD33" s="160">
        <f t="shared" si="65"/>
        <v>0.48966736573661446</v>
      </c>
      <c r="AE33" s="162">
        <f t="shared" si="65"/>
        <v>1</v>
      </c>
      <c r="AF33" s="179">
        <f t="shared" si="65"/>
        <v>-0.55354910347378683</v>
      </c>
      <c r="AG33" s="171"/>
      <c r="AI33" s="277"/>
      <c r="AJ33" s="160">
        <f t="shared" si="66"/>
        <v>0.41852745897422849</v>
      </c>
      <c r="AK33" s="162">
        <f t="shared" si="66"/>
        <v>1</v>
      </c>
      <c r="AL33" s="162">
        <f t="shared" si="66"/>
        <v>-0.33662541622558967</v>
      </c>
      <c r="AM33" s="179">
        <f t="shared" si="66"/>
        <v>346.64930459595195</v>
      </c>
    </row>
    <row r="34" spans="2:42" ht="15.75" thickBot="1">
      <c r="B34" s="242"/>
      <c r="C34" s="59" t="str">
        <f t="shared" si="37"/>
        <v>LO</v>
      </c>
      <c r="E34" s="59">
        <f>E22</f>
        <v>809</v>
      </c>
      <c r="F34" s="59">
        <f t="shared" ref="F34:G34" si="70">F22</f>
        <v>848.5</v>
      </c>
      <c r="G34" s="59">
        <f t="shared" si="70"/>
        <v>908</v>
      </c>
      <c r="J34" s="61">
        <f>J22</f>
        <v>7.7307162131383258</v>
      </c>
      <c r="K34" s="61">
        <f t="shared" ref="K34:L34" si="71">K22</f>
        <v>6.8675341480901615</v>
      </c>
      <c r="L34" s="61">
        <f t="shared" si="71"/>
        <v>13.955378467480443</v>
      </c>
      <c r="M34" s="174">
        <f>Q16</f>
        <v>-7.0246432255271288E-3</v>
      </c>
      <c r="P34" s="288"/>
      <c r="Q34" s="181">
        <f t="shared" si="63"/>
        <v>-0.36881529883862074</v>
      </c>
      <c r="R34" s="182">
        <f t="shared" si="63"/>
        <v>4.0200954083687429E-2</v>
      </c>
      <c r="S34" s="182">
        <f t="shared" si="63"/>
        <v>0.40519588105055365</v>
      </c>
      <c r="T34" s="183">
        <f t="shared" si="63"/>
        <v>0</v>
      </c>
      <c r="W34" s="275"/>
      <c r="X34" s="253"/>
      <c r="Y34" s="71">
        <f>Y22</f>
        <v>3.326086612041593E-3</v>
      </c>
      <c r="Z34" s="72">
        <f t="shared" ref="Z34:AA34" si="72">Z22</f>
        <v>0.31031278717361488</v>
      </c>
      <c r="AA34" s="73">
        <f t="shared" si="72"/>
        <v>2.0064824818645244E-3</v>
      </c>
      <c r="AC34" s="301"/>
      <c r="AD34" s="181">
        <f t="shared" si="65"/>
        <v>-0.36881529883862074</v>
      </c>
      <c r="AE34" s="182">
        <f t="shared" si="65"/>
        <v>4.0200954083687429E-2</v>
      </c>
      <c r="AF34" s="183">
        <f t="shared" si="65"/>
        <v>0.40519588105055365</v>
      </c>
      <c r="AG34" s="171"/>
      <c r="AI34" s="288"/>
      <c r="AJ34" s="181">
        <f t="shared" si="66"/>
        <v>-0.41454513964307943</v>
      </c>
      <c r="AK34" s="182">
        <f t="shared" si="66"/>
        <v>3.1491982345941992E-2</v>
      </c>
      <c r="AL34" s="182">
        <f t="shared" si="66"/>
        <v>0.52121771418276075</v>
      </c>
      <c r="AM34" s="183">
        <f t="shared" si="66"/>
        <v>163.95591712087284</v>
      </c>
    </row>
    <row r="35" spans="2:42" ht="15.75" thickTop="1"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N35" s="74"/>
      <c r="O35" s="74"/>
      <c r="P35" s="74"/>
      <c r="Q35" s="74"/>
      <c r="R35" s="74"/>
      <c r="S35" s="74"/>
      <c r="T35" s="74"/>
      <c r="U35" s="74"/>
      <c r="V35" s="74"/>
      <c r="W35" s="275"/>
      <c r="X35" s="59" t="s">
        <v>76</v>
      </c>
      <c r="Y35" s="60">
        <f>MAX(Y25:Y34)</f>
        <v>1.7981552700253652E-2</v>
      </c>
      <c r="Z35" s="61">
        <f t="shared" ref="Z35:AA35" si="73">MAX(Z25:Z34)</f>
        <v>24.524758946350431</v>
      </c>
      <c r="AA35" s="63">
        <f t="shared" si="73"/>
        <v>9.8049986267508826E-2</v>
      </c>
    </row>
    <row r="36" spans="2:42" ht="15.75" thickBot="1">
      <c r="B36" s="192"/>
      <c r="C36" s="192"/>
      <c r="D36" s="192"/>
      <c r="E36" s="192"/>
      <c r="F36" s="192"/>
      <c r="G36" s="192"/>
      <c r="H36" s="192"/>
      <c r="I36" s="192"/>
      <c r="J36" s="192"/>
      <c r="K36" s="192"/>
      <c r="L36" s="192"/>
      <c r="N36" s="192"/>
      <c r="O36" s="192"/>
      <c r="P36" s="192"/>
      <c r="Q36" s="192"/>
      <c r="R36" s="192"/>
      <c r="S36" s="192"/>
      <c r="T36" s="192"/>
      <c r="U36" s="192"/>
      <c r="V36" s="192"/>
      <c r="W36" s="275"/>
      <c r="X36" s="59" t="s">
        <v>77</v>
      </c>
      <c r="Y36" s="59">
        <v>0.02</v>
      </c>
      <c r="Z36" s="59">
        <v>25</v>
      </c>
      <c r="AA36" s="59">
        <v>10</v>
      </c>
    </row>
    <row r="37" spans="2:42" ht="15" customHeight="1">
      <c r="B37" s="293" t="str">
        <f>IF(useDir,AJ40,AJ41)</f>
        <v>Standard RGB → XYZ Transform</v>
      </c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4"/>
      <c r="U37" s="294"/>
      <c r="V37" s="294"/>
      <c r="W37" s="294"/>
      <c r="X37" s="294"/>
      <c r="Y37" s="294"/>
      <c r="Z37" s="294"/>
      <c r="AA37" s="294"/>
      <c r="AB37" s="294"/>
      <c r="AC37" s="294"/>
      <c r="AD37" s="294"/>
      <c r="AE37" s="294"/>
      <c r="AF37" s="294"/>
      <c r="AG37" s="289" t="s">
        <v>116</v>
      </c>
      <c r="AH37" s="291">
        <v>0</v>
      </c>
      <c r="AJ37" s="242" t="str">
        <f>"LS2LS: "&amp;B37</f>
        <v>LS2LS: Standard RGB → XYZ Transform</v>
      </c>
      <c r="AK37" s="242"/>
      <c r="AL37" s="242"/>
      <c r="AM37" s="242"/>
      <c r="AN37" s="242"/>
      <c r="AO37" s="242"/>
      <c r="AP37" s="242"/>
    </row>
    <row r="38" spans="2:42" ht="15.75" customHeight="1" thickBot="1">
      <c r="B38" s="295"/>
      <c r="C38" s="296"/>
      <c r="D38" s="296"/>
      <c r="E38" s="296"/>
      <c r="F38" s="296"/>
      <c r="G38" s="296"/>
      <c r="H38" s="296"/>
      <c r="I38" s="296"/>
      <c r="J38" s="296"/>
      <c r="K38" s="296"/>
      <c r="L38" s="296"/>
      <c r="M38" s="296"/>
      <c r="N38" s="296"/>
      <c r="O38" s="296"/>
      <c r="P38" s="296"/>
      <c r="Q38" s="296"/>
      <c r="R38" s="296"/>
      <c r="S38" s="296"/>
      <c r="T38" s="296"/>
      <c r="U38" s="296"/>
      <c r="V38" s="296"/>
      <c r="W38" s="296"/>
      <c r="X38" s="296"/>
      <c r="Y38" s="296"/>
      <c r="Z38" s="296"/>
      <c r="AA38" s="296"/>
      <c r="AB38" s="296"/>
      <c r="AC38" s="296"/>
      <c r="AD38" s="296"/>
      <c r="AE38" s="296"/>
      <c r="AF38" s="296"/>
      <c r="AG38" s="290"/>
      <c r="AH38" s="292"/>
      <c r="AJ38" s="242" t="s">
        <v>124</v>
      </c>
      <c r="AK38" s="242"/>
      <c r="AL38" s="242"/>
      <c r="AM38" s="242"/>
      <c r="AN38" s="242"/>
      <c r="AO38" s="242"/>
      <c r="AP38" s="242"/>
    </row>
    <row r="39" spans="2:42" ht="15" customHeight="1">
      <c r="B39" s="262" t="str">
        <f>glass</f>
        <v>G10</v>
      </c>
      <c r="C39" s="263"/>
      <c r="D39" s="263"/>
      <c r="E39" s="188" t="str">
        <f>F54</f>
        <v>Mean</v>
      </c>
      <c r="F39" s="188" t="str">
        <f>G54</f>
        <v>Stdev</v>
      </c>
      <c r="G39" s="188" t="s">
        <v>83</v>
      </c>
      <c r="H39" s="188" t="s">
        <v>39</v>
      </c>
      <c r="I39" s="189" t="s">
        <v>84</v>
      </c>
      <c r="J39" s="171"/>
      <c r="K39" s="262" t="str">
        <f>B39</f>
        <v>G10</v>
      </c>
      <c r="L39" s="263"/>
      <c r="M39" s="263"/>
      <c r="N39" s="188" t="str">
        <f>E39</f>
        <v>Mean</v>
      </c>
      <c r="O39" s="188" t="str">
        <f>F39</f>
        <v>Stdev</v>
      </c>
      <c r="P39" s="188" t="str">
        <f>G39</f>
        <v>3σ</v>
      </c>
      <c r="Q39" s="188" t="str">
        <f>H39</f>
        <v>Max</v>
      </c>
      <c r="R39" s="189" t="str">
        <f>I39</f>
        <v>Spec</v>
      </c>
      <c r="S39" s="171"/>
      <c r="T39" s="262" t="str">
        <f>K39</f>
        <v>G10</v>
      </c>
      <c r="U39" s="263"/>
      <c r="V39" s="263"/>
      <c r="W39" s="190" t="str">
        <f>N39</f>
        <v>Mean</v>
      </c>
      <c r="X39" s="190" t="str">
        <f>O39</f>
        <v>Stdev</v>
      </c>
      <c r="Y39" s="190" t="str">
        <f>P39</f>
        <v>3σ</v>
      </c>
      <c r="Z39" s="190" t="str">
        <f>Q39</f>
        <v>Max</v>
      </c>
      <c r="AA39" s="191" t="str">
        <f>R39</f>
        <v>Spec</v>
      </c>
      <c r="AB39" s="171"/>
      <c r="AC39" s="262" t="str">
        <f>T39</f>
        <v>G10</v>
      </c>
      <c r="AD39" s="263"/>
      <c r="AE39" s="263"/>
      <c r="AF39" s="188" t="str">
        <f>W39</f>
        <v>Mean</v>
      </c>
      <c r="AG39" s="188" t="str">
        <f>X39</f>
        <v>Stdev</v>
      </c>
      <c r="AH39" s="189" t="str">
        <f>AA39</f>
        <v>Spec</v>
      </c>
      <c r="AJ39" s="242" t="s">
        <v>125</v>
      </c>
      <c r="AK39" s="242"/>
      <c r="AL39" s="242"/>
      <c r="AM39" s="242"/>
      <c r="AN39" s="242"/>
      <c r="AO39" s="242"/>
      <c r="AP39" s="242"/>
    </row>
    <row r="40" spans="2:42">
      <c r="B40" s="255" t="str">
        <f>E95</f>
        <v>Δxy</v>
      </c>
      <c r="C40" s="244" t="str">
        <f>B81</f>
        <v>HZ</v>
      </c>
      <c r="D40" s="162" t="str">
        <f>D95</f>
        <v>LO</v>
      </c>
      <c r="E40" s="169">
        <f>F95</f>
        <v>0.14875031063408392</v>
      </c>
      <c r="F40" s="169">
        <f>G95</f>
        <v>0.15897145141476979</v>
      </c>
      <c r="G40" s="169">
        <f>ABS(E40)+1.5*F40</f>
        <v>0.38720748775623859</v>
      </c>
      <c r="H40" s="251">
        <f>MAX(G40:G41)</f>
        <v>0.40226446438762831</v>
      </c>
      <c r="I40" s="258"/>
      <c r="J40" s="171"/>
      <c r="K40" s="282" t="str">
        <f>E97</f>
        <v>MK-1</v>
      </c>
      <c r="L40" s="244" t="str">
        <f>C40</f>
        <v>HZ</v>
      </c>
      <c r="M40" s="162" t="str">
        <f>D50</f>
        <v>LO</v>
      </c>
      <c r="N40" s="166">
        <f>F97</f>
        <v>-141.23482757798317</v>
      </c>
      <c r="O40" s="166">
        <f>G97</f>
        <v>292.76228971760366</v>
      </c>
      <c r="P40" s="166">
        <f t="shared" ref="P40:P51" si="74">ABS(N40)+1.5*O40</f>
        <v>580.37826215438872</v>
      </c>
      <c r="Q40" s="254">
        <f>MAX(P40:P41)</f>
        <v>580.37826215438872</v>
      </c>
      <c r="R40" s="258"/>
      <c r="S40" s="171"/>
      <c r="T40" s="271" t="str">
        <f>E99</f>
        <v>%/CCT</v>
      </c>
      <c r="U40" s="264" t="str">
        <f>L40</f>
        <v>HZ</v>
      </c>
      <c r="V40" s="164" t="str">
        <f>M50</f>
        <v>LO</v>
      </c>
      <c r="W40" s="157">
        <f>F99</f>
        <v>0.32596998204998512</v>
      </c>
      <c r="X40" s="157">
        <f>G99</f>
        <v>0.67569536466822933</v>
      </c>
      <c r="Y40" s="157">
        <f t="shared" ref="Y40:Y41" si="75">ABS(W40)+1.5*X40</f>
        <v>1.3395130290523292</v>
      </c>
      <c r="Z40" s="273">
        <f>MAX(Y40:Y41)</f>
        <v>1.3395130290523292</v>
      </c>
      <c r="AA40" s="258"/>
      <c r="AB40" s="171"/>
      <c r="AC40" s="282" t="s">
        <v>86</v>
      </c>
      <c r="AD40" s="244" t="str">
        <f>C69</f>
        <v>LO</v>
      </c>
      <c r="AE40" s="162" t="str">
        <f>D69</f>
        <v>A</v>
      </c>
      <c r="AF40" s="284">
        <f>F69</f>
        <v>0.62611175494430382</v>
      </c>
      <c r="AG40" s="284">
        <f>G69</f>
        <v>1.153166041151255</v>
      </c>
      <c r="AH40" s="260">
        <f>ROUNDUP(AF45*20,0)/20</f>
        <v>2.4</v>
      </c>
      <c r="AJ40" s="242" t="s">
        <v>126</v>
      </c>
      <c r="AK40" s="242"/>
      <c r="AL40" s="242"/>
      <c r="AM40" s="242"/>
      <c r="AO40" s="214">
        <f>AH40/5</f>
        <v>0.48</v>
      </c>
      <c r="AP40" s="59">
        <f>2*COUNT(I74:AN74)</f>
        <v>54</v>
      </c>
    </row>
    <row r="41" spans="2:42">
      <c r="B41" s="255"/>
      <c r="C41" s="244"/>
      <c r="D41" s="162" t="str">
        <f>D96</f>
        <v>HI</v>
      </c>
      <c r="E41" s="169">
        <f>F96</f>
        <v>0.15201487440433092</v>
      </c>
      <c r="F41" s="169">
        <f>G96</f>
        <v>0.16683305998886494</v>
      </c>
      <c r="G41" s="169">
        <f t="shared" ref="G41:G51" si="76">ABS(E41)+1.5*F41</f>
        <v>0.40226446438762831</v>
      </c>
      <c r="H41" s="251"/>
      <c r="I41" s="259"/>
      <c r="J41" s="171"/>
      <c r="K41" s="282"/>
      <c r="L41" s="244"/>
      <c r="M41" s="162" t="str">
        <f>D51</f>
        <v>HI</v>
      </c>
      <c r="N41" s="166">
        <f>F98</f>
        <v>-128.35783364685165</v>
      </c>
      <c r="O41" s="166">
        <f>G98</f>
        <v>282.85257875537854</v>
      </c>
      <c r="P41" s="166">
        <f t="shared" si="74"/>
        <v>552.63670177991946</v>
      </c>
      <c r="Q41" s="254"/>
      <c r="R41" s="259"/>
      <c r="S41" s="171"/>
      <c r="T41" s="271"/>
      <c r="U41" s="264"/>
      <c r="V41" s="164" t="str">
        <f>M51</f>
        <v>HI</v>
      </c>
      <c r="W41" s="157">
        <f>F100</f>
        <v>0.29624988005693359</v>
      </c>
      <c r="X41" s="157">
        <f>G100</f>
        <v>0.6528237517674137</v>
      </c>
      <c r="Y41" s="157">
        <f t="shared" si="75"/>
        <v>1.275485507708054</v>
      </c>
      <c r="Z41" s="273"/>
      <c r="AA41" s="259"/>
      <c r="AB41" s="171"/>
      <c r="AC41" s="282"/>
      <c r="AD41" s="244"/>
      <c r="AE41" s="162" t="str">
        <f t="shared" ref="AE41:AE51" si="77">D70</f>
        <v>U30</v>
      </c>
      <c r="AF41" s="284"/>
      <c r="AG41" s="284"/>
      <c r="AH41" s="280"/>
      <c r="AJ41" s="242" t="s">
        <v>127</v>
      </c>
      <c r="AK41" s="242"/>
      <c r="AL41" s="242"/>
      <c r="AM41" s="242"/>
      <c r="AO41" s="214">
        <v>0</v>
      </c>
      <c r="AP41" s="214">
        <f t="shared" ref="AP41:AP46" si="78">(histo($I$80:$AN$80,$AO$41:$AO$46,AO41)+histo($I$74:$AN$74,$AO$41:$AO$46,AO41))/AP$40</f>
        <v>0</v>
      </c>
    </row>
    <row r="42" spans="2:42">
      <c r="B42" s="255"/>
      <c r="C42" s="244" t="str">
        <f>B103</f>
        <v>A</v>
      </c>
      <c r="D42" s="162" t="str">
        <f t="shared" ref="D42:D51" si="79">D40</f>
        <v>LO</v>
      </c>
      <c r="E42" s="169">
        <f>F117</f>
        <v>0.10933435528422553</v>
      </c>
      <c r="F42" s="169">
        <f>G117</f>
        <v>0.31493011609348548</v>
      </c>
      <c r="G42" s="169">
        <f t="shared" si="76"/>
        <v>0.58172952942445377</v>
      </c>
      <c r="H42" s="251">
        <f t="shared" ref="H42" si="80">MAX(G42:G43)</f>
        <v>0.58172952942445377</v>
      </c>
      <c r="I42" s="266">
        <f>ROUNDUP(H42,ROUNDUP(ABS(LOG10(H42)),0))</f>
        <v>0.6</v>
      </c>
      <c r="J42" s="171"/>
      <c r="K42" s="282"/>
      <c r="L42" s="244" t="str">
        <f>C42</f>
        <v>A</v>
      </c>
      <c r="M42" s="162" t="str">
        <f t="shared" ref="M42:M51" si="81">M40</f>
        <v>LO</v>
      </c>
      <c r="N42" s="166">
        <f>F119</f>
        <v>-60.50475036515958</v>
      </c>
      <c r="O42" s="166">
        <f>G119</f>
        <v>200.91200863939881</v>
      </c>
      <c r="P42" s="166">
        <f t="shared" ref="P42:P43" si="82">ABS(N42)+1.5*O42</f>
        <v>361.87276332425779</v>
      </c>
      <c r="Q42" s="254">
        <f>MAX(P42:P43)</f>
        <v>361.95183690828424</v>
      </c>
      <c r="R42" s="268">
        <f>5*ROUND(Q42/5,0)</f>
        <v>360</v>
      </c>
      <c r="S42" s="171"/>
      <c r="T42" s="271"/>
      <c r="U42" s="264" t="str">
        <f>L42</f>
        <v>A</v>
      </c>
      <c r="V42" s="164" t="str">
        <f t="shared" ref="V42:V51" si="83">V40</f>
        <v>LO</v>
      </c>
      <c r="W42" s="157">
        <f>F121</f>
        <v>0.17171248153632293</v>
      </c>
      <c r="X42" s="157">
        <f>G121</f>
        <v>0.57018828051861392</v>
      </c>
      <c r="Y42" s="157">
        <f t="shared" ref="Y42:Y51" si="84">ABS(W42)+1.5*X42</f>
        <v>1.0269949023142437</v>
      </c>
      <c r="Z42" s="273">
        <f>MAX(Y42:Y43)</f>
        <v>1.0272193131457108</v>
      </c>
      <c r="AA42" s="260">
        <f>ROUNDUP(100*MAX(Z42:Z51)/5,0)/20</f>
        <v>1.05</v>
      </c>
      <c r="AB42" s="171"/>
      <c r="AC42" s="282"/>
      <c r="AD42" s="244"/>
      <c r="AE42" s="162" t="str">
        <f t="shared" si="77"/>
        <v>U35</v>
      </c>
      <c r="AF42" s="284"/>
      <c r="AG42" s="284"/>
      <c r="AH42" s="280"/>
      <c r="AO42" s="214">
        <f>AO41+AO$40</f>
        <v>0.48</v>
      </c>
      <c r="AP42" s="214">
        <f t="shared" si="78"/>
        <v>0.70370370370370372</v>
      </c>
    </row>
    <row r="43" spans="2:42">
      <c r="B43" s="255"/>
      <c r="C43" s="244"/>
      <c r="D43" s="162" t="str">
        <f t="shared" si="79"/>
        <v>HI</v>
      </c>
      <c r="E43" s="169">
        <f>F118</f>
        <v>0.10923402715288827</v>
      </c>
      <c r="F43" s="169">
        <f>G118</f>
        <v>0.31338015212466164</v>
      </c>
      <c r="G43" s="169">
        <f t="shared" si="76"/>
        <v>0.57930425533988072</v>
      </c>
      <c r="H43" s="251"/>
      <c r="I43" s="266"/>
      <c r="J43" s="171"/>
      <c r="K43" s="282"/>
      <c r="L43" s="244"/>
      <c r="M43" s="162" t="str">
        <f t="shared" si="81"/>
        <v>HI</v>
      </c>
      <c r="N43" s="166">
        <f>F120</f>
        <v>-60.768647648164659</v>
      </c>
      <c r="O43" s="166">
        <f>G120</f>
        <v>200.78879284007971</v>
      </c>
      <c r="P43" s="166">
        <f t="shared" si="82"/>
        <v>361.95183690828424</v>
      </c>
      <c r="Q43" s="254"/>
      <c r="R43" s="268"/>
      <c r="S43" s="171"/>
      <c r="T43" s="271"/>
      <c r="U43" s="264"/>
      <c r="V43" s="164" t="str">
        <f t="shared" si="83"/>
        <v>HI</v>
      </c>
      <c r="W43" s="157">
        <f>F122</f>
        <v>0.17246142202549136</v>
      </c>
      <c r="X43" s="157">
        <f>G122</f>
        <v>0.56983859408014625</v>
      </c>
      <c r="Y43" s="157">
        <f t="shared" si="84"/>
        <v>1.0272193131457108</v>
      </c>
      <c r="Z43" s="273"/>
      <c r="AA43" s="260"/>
      <c r="AB43" s="171"/>
      <c r="AC43" s="282"/>
      <c r="AD43" s="244"/>
      <c r="AE43" s="162" t="str">
        <f t="shared" si="77"/>
        <v>CWF</v>
      </c>
      <c r="AF43" s="284"/>
      <c r="AG43" s="284"/>
      <c r="AH43" s="280"/>
      <c r="AO43" s="214">
        <f>AO42+AO$40</f>
        <v>0.96</v>
      </c>
      <c r="AP43" s="214">
        <f t="shared" si="78"/>
        <v>0.20370370370370369</v>
      </c>
    </row>
    <row r="44" spans="2:42">
      <c r="B44" s="255"/>
      <c r="C44" s="244" t="str">
        <f>B125</f>
        <v>U30</v>
      </c>
      <c r="D44" s="162" t="str">
        <f t="shared" si="79"/>
        <v>LO</v>
      </c>
      <c r="E44" s="169">
        <f>F139</f>
        <v>1.116437098098113E-2</v>
      </c>
      <c r="F44" s="169">
        <f>G139</f>
        <v>2.7402890174998526E-3</v>
      </c>
      <c r="G44" s="169">
        <f t="shared" si="76"/>
        <v>1.527480450723091E-2</v>
      </c>
      <c r="H44" s="251">
        <f t="shared" ref="H44" si="85">MAX(G44:G45)</f>
        <v>1.527480450723091E-2</v>
      </c>
      <c r="I44" s="266">
        <f>ROUNDUP(MAX(H44:H51),ROUNDUP(ABS(LOG10(MAX(H44:H51))),0))</f>
        <v>9.9999999999999992E-2</v>
      </c>
      <c r="J44" s="171"/>
      <c r="K44" s="282"/>
      <c r="L44" s="244" t="str">
        <f>C44</f>
        <v>U30</v>
      </c>
      <c r="M44" s="162" t="str">
        <f t="shared" si="81"/>
        <v>LO</v>
      </c>
      <c r="N44" s="166">
        <f>F141</f>
        <v>-20.771119560706463</v>
      </c>
      <c r="O44" s="166">
        <f>G141</f>
        <v>5.4170242122322758</v>
      </c>
      <c r="P44" s="166">
        <f t="shared" si="74"/>
        <v>28.896655879054876</v>
      </c>
      <c r="Q44" s="254">
        <f>MAX(P44:P45)</f>
        <v>28.896655879054876</v>
      </c>
      <c r="R44" s="268">
        <f>5*ROUND(MAX(Q44:Q51)/5,0)</f>
        <v>150</v>
      </c>
      <c r="S44" s="171"/>
      <c r="T44" s="271"/>
      <c r="U44" s="264" t="str">
        <f>L44</f>
        <v>U30</v>
      </c>
      <c r="V44" s="164" t="str">
        <f t="shared" si="83"/>
        <v>LO</v>
      </c>
      <c r="W44" s="157">
        <f>F143</f>
        <v>5.853301492207081E-2</v>
      </c>
      <c r="X44" s="157">
        <f>G143</f>
        <v>1.5265174230070558E-2</v>
      </c>
      <c r="Y44" s="157">
        <f t="shared" si="84"/>
        <v>8.1430776267176652E-2</v>
      </c>
      <c r="Z44" s="273">
        <f>MAX(Y44:Y45)</f>
        <v>8.1430776267176652E-2</v>
      </c>
      <c r="AA44" s="260"/>
      <c r="AB44" s="171"/>
      <c r="AC44" s="282"/>
      <c r="AD44" s="244"/>
      <c r="AE44" s="162" t="str">
        <f t="shared" si="77"/>
        <v>D65</v>
      </c>
      <c r="AF44" s="284"/>
      <c r="AG44" s="284"/>
      <c r="AH44" s="280"/>
      <c r="AO44" s="214">
        <f>AO43+AO$40</f>
        <v>1.44</v>
      </c>
      <c r="AP44" s="214">
        <f t="shared" si="78"/>
        <v>5.5555555555555552E-2</v>
      </c>
    </row>
    <row r="45" spans="2:42">
      <c r="B45" s="255"/>
      <c r="C45" s="244"/>
      <c r="D45" s="162" t="str">
        <f t="shared" si="79"/>
        <v>HI</v>
      </c>
      <c r="E45" s="169">
        <f>F140</f>
        <v>1.0643646405396293E-2</v>
      </c>
      <c r="F45" s="169">
        <f>G140</f>
        <v>3.0118127371620302E-3</v>
      </c>
      <c r="G45" s="169">
        <f t="shared" si="76"/>
        <v>1.5161365511139339E-2</v>
      </c>
      <c r="H45" s="251"/>
      <c r="I45" s="266"/>
      <c r="J45" s="171"/>
      <c r="K45" s="282"/>
      <c r="L45" s="244"/>
      <c r="M45" s="162" t="str">
        <f t="shared" si="81"/>
        <v>HI</v>
      </c>
      <c r="N45" s="166">
        <f>F142</f>
        <v>-18.635592462112758</v>
      </c>
      <c r="O45" s="166">
        <f>G142</f>
        <v>6.2168484175397909</v>
      </c>
      <c r="P45" s="166">
        <f t="shared" si="74"/>
        <v>27.960865088422445</v>
      </c>
      <c r="Q45" s="254"/>
      <c r="R45" s="268"/>
      <c r="S45" s="171"/>
      <c r="T45" s="271"/>
      <c r="U45" s="264"/>
      <c r="V45" s="164" t="str">
        <f t="shared" si="83"/>
        <v>HI</v>
      </c>
      <c r="W45" s="157">
        <f>F144</f>
        <v>5.2515099558233733E-2</v>
      </c>
      <c r="X45" s="157">
        <f>G144</f>
        <v>1.7519078840627159E-2</v>
      </c>
      <c r="Y45" s="157">
        <f t="shared" si="84"/>
        <v>7.8793717819174464E-2</v>
      </c>
      <c r="Z45" s="273"/>
      <c r="AA45" s="260"/>
      <c r="AB45" s="171"/>
      <c r="AC45" s="282"/>
      <c r="AD45" s="244"/>
      <c r="AE45" s="162" t="str">
        <f t="shared" si="77"/>
        <v>No D65</v>
      </c>
      <c r="AF45" s="273">
        <f>F74</f>
        <v>2.3558608166711865</v>
      </c>
      <c r="AG45" s="273"/>
      <c r="AH45" s="280"/>
      <c r="AO45" s="214">
        <f>AO44+AO$40</f>
        <v>1.92</v>
      </c>
      <c r="AP45" s="214">
        <f t="shared" si="78"/>
        <v>0</v>
      </c>
    </row>
    <row r="46" spans="2:42">
      <c r="B46" s="255"/>
      <c r="C46" s="244" t="str">
        <f>B147</f>
        <v>U35</v>
      </c>
      <c r="D46" s="162" t="str">
        <f t="shared" si="79"/>
        <v>LO</v>
      </c>
      <c r="E46" s="169">
        <f>F161</f>
        <v>5.5021363134853821E-3</v>
      </c>
      <c r="F46" s="169">
        <f>G161</f>
        <v>3.0975061115367975E-3</v>
      </c>
      <c r="G46" s="169">
        <f t="shared" si="76"/>
        <v>1.0148395480790579E-2</v>
      </c>
      <c r="H46" s="251">
        <f t="shared" ref="H46" si="86">MAX(G46:G47)</f>
        <v>1.1118028721192963E-2</v>
      </c>
      <c r="I46" s="266"/>
      <c r="J46" s="171"/>
      <c r="K46" s="282"/>
      <c r="L46" s="244" t="str">
        <f>C46</f>
        <v>U35</v>
      </c>
      <c r="M46" s="162" t="str">
        <f t="shared" si="81"/>
        <v>LO</v>
      </c>
      <c r="N46" s="166">
        <f>F163</f>
        <v>-2.2752009708429539</v>
      </c>
      <c r="O46" s="166">
        <f>G163</f>
        <v>6.4976864708167819</v>
      </c>
      <c r="P46" s="166">
        <f t="shared" si="74"/>
        <v>12.021730677068128</v>
      </c>
      <c r="Q46" s="254">
        <f>MAX(P46:P47)</f>
        <v>12.021730677068128</v>
      </c>
      <c r="R46" s="268"/>
      <c r="S46" s="171"/>
      <c r="T46" s="271"/>
      <c r="U46" s="264" t="str">
        <f>L46</f>
        <v>U35</v>
      </c>
      <c r="V46" s="164" t="str">
        <f t="shared" si="83"/>
        <v>LO</v>
      </c>
      <c r="W46" s="157">
        <f>F165</f>
        <v>7.2920191115516233E-3</v>
      </c>
      <c r="X46" s="157">
        <f>G165</f>
        <v>2.0825085138967778E-2</v>
      </c>
      <c r="Y46" s="157">
        <f t="shared" si="84"/>
        <v>3.8529646820003295E-2</v>
      </c>
      <c r="Z46" s="273">
        <f>MAX(Y46:Y47)</f>
        <v>3.8529646820003295E-2</v>
      </c>
      <c r="AA46" s="260"/>
      <c r="AB46" s="171"/>
      <c r="AC46" s="282"/>
      <c r="AD46" s="244" t="str">
        <f>C75</f>
        <v>HI</v>
      </c>
      <c r="AE46" s="162" t="str">
        <f t="shared" si="77"/>
        <v>A</v>
      </c>
      <c r="AF46" s="273"/>
      <c r="AG46" s="273"/>
      <c r="AH46" s="280"/>
      <c r="AO46" s="214">
        <f>AO45+AO$40</f>
        <v>2.4</v>
      </c>
      <c r="AP46" s="214">
        <f t="shared" si="78"/>
        <v>3.7037037037037035E-2</v>
      </c>
    </row>
    <row r="47" spans="2:42">
      <c r="B47" s="255"/>
      <c r="C47" s="244"/>
      <c r="D47" s="162" t="str">
        <f t="shared" si="79"/>
        <v>HI</v>
      </c>
      <c r="E47" s="169">
        <f>F162</f>
        <v>6.5008933380292441E-3</v>
      </c>
      <c r="F47" s="169">
        <f>G162</f>
        <v>3.0780902554424796E-3</v>
      </c>
      <c r="G47" s="169">
        <f t="shared" si="76"/>
        <v>1.1118028721192963E-2</v>
      </c>
      <c r="H47" s="251"/>
      <c r="I47" s="266"/>
      <c r="J47" s="171"/>
      <c r="K47" s="282"/>
      <c r="L47" s="244"/>
      <c r="M47" s="162" t="str">
        <f t="shared" si="81"/>
        <v>HI</v>
      </c>
      <c r="N47" s="166">
        <f>F164</f>
        <v>-0.50196599131855579</v>
      </c>
      <c r="O47" s="166">
        <f>G164</f>
        <v>7.1066608232277355</v>
      </c>
      <c r="P47" s="166">
        <f t="shared" si="74"/>
        <v>11.16195722616016</v>
      </c>
      <c r="Q47" s="254"/>
      <c r="R47" s="268"/>
      <c r="S47" s="171"/>
      <c r="T47" s="271"/>
      <c r="U47" s="264"/>
      <c r="V47" s="164" t="str">
        <f t="shared" si="83"/>
        <v>HI</v>
      </c>
      <c r="W47" s="157">
        <f>F166</f>
        <v>1.6088010021759582E-3</v>
      </c>
      <c r="X47" s="157">
        <f>G166</f>
        <v>2.2776847938444891E-2</v>
      </c>
      <c r="Y47" s="157">
        <f t="shared" si="84"/>
        <v>3.5774072909843295E-2</v>
      </c>
      <c r="Z47" s="273"/>
      <c r="AA47" s="260"/>
      <c r="AB47" s="171"/>
      <c r="AC47" s="282"/>
      <c r="AD47" s="244"/>
      <c r="AE47" s="162" t="str">
        <f t="shared" si="77"/>
        <v>U30</v>
      </c>
      <c r="AF47" s="284">
        <f>F76</f>
        <v>0.60784600678876699</v>
      </c>
      <c r="AG47" s="284">
        <f>G76</f>
        <v>1.0847476230340278</v>
      </c>
      <c r="AH47" s="280"/>
    </row>
    <row r="48" spans="2:42">
      <c r="B48" s="255"/>
      <c r="C48" s="244" t="str">
        <f>B169</f>
        <v>CWF</v>
      </c>
      <c r="D48" s="162" t="str">
        <f t="shared" si="79"/>
        <v>LO</v>
      </c>
      <c r="E48" s="169">
        <f>F183</f>
        <v>1.9654037595441442E-2</v>
      </c>
      <c r="F48" s="169">
        <f>G183</f>
        <v>2.3654912865824478E-3</v>
      </c>
      <c r="G48" s="169">
        <f t="shared" si="76"/>
        <v>2.3202274525315113E-2</v>
      </c>
      <c r="H48" s="251">
        <f t="shared" ref="H48" si="87">MAX(G48:G49)</f>
        <v>2.3202274525315113E-2</v>
      </c>
      <c r="I48" s="266"/>
      <c r="J48" s="171"/>
      <c r="K48" s="282"/>
      <c r="L48" s="244" t="str">
        <f>C48</f>
        <v>CWF</v>
      </c>
      <c r="M48" s="162" t="str">
        <f t="shared" si="81"/>
        <v>LO</v>
      </c>
      <c r="N48" s="166">
        <f>F185</f>
        <v>21.0070107308883</v>
      </c>
      <c r="O48" s="166">
        <f>G185</f>
        <v>9.7045443082184626</v>
      </c>
      <c r="P48" s="166">
        <f t="shared" si="74"/>
        <v>35.563827193215992</v>
      </c>
      <c r="Q48" s="254">
        <f>MAX(P48:P49)</f>
        <v>39.323146705489194</v>
      </c>
      <c r="R48" s="268"/>
      <c r="S48" s="171"/>
      <c r="T48" s="271"/>
      <c r="U48" s="264" t="str">
        <f>L48</f>
        <v>CWF</v>
      </c>
      <c r="V48" s="164" t="str">
        <f t="shared" si="83"/>
        <v>LO</v>
      </c>
      <c r="W48" s="157">
        <f>F187</f>
        <v>-8.3986028902091392E-2</v>
      </c>
      <c r="X48" s="157">
        <f>G187</f>
        <v>3.8798768144257381E-2</v>
      </c>
      <c r="Y48" s="157">
        <f t="shared" si="84"/>
        <v>0.14218418111847747</v>
      </c>
      <c r="Z48" s="273">
        <f>MAX(Y48:Y49)</f>
        <v>0.15721394052854579</v>
      </c>
      <c r="AA48" s="260"/>
      <c r="AB48" s="171"/>
      <c r="AC48" s="282"/>
      <c r="AD48" s="244"/>
      <c r="AE48" s="162" t="str">
        <f t="shared" si="77"/>
        <v>U35</v>
      </c>
      <c r="AF48" s="284"/>
      <c r="AG48" s="284"/>
      <c r="AH48" s="280"/>
    </row>
    <row r="49" spans="1:42">
      <c r="B49" s="255"/>
      <c r="C49" s="244"/>
      <c r="D49" s="162" t="str">
        <f t="shared" si="79"/>
        <v>HI</v>
      </c>
      <c r="E49" s="169">
        <f>F184</f>
        <v>1.9805350529580518E-2</v>
      </c>
      <c r="F49" s="169">
        <f>G184</f>
        <v>1.8559292872164378E-3</v>
      </c>
      <c r="G49" s="169">
        <f t="shared" si="76"/>
        <v>2.2589244460405174E-2</v>
      </c>
      <c r="H49" s="251"/>
      <c r="I49" s="266"/>
      <c r="J49" s="171"/>
      <c r="K49" s="282"/>
      <c r="L49" s="244"/>
      <c r="M49" s="162" t="str">
        <f t="shared" si="81"/>
        <v>HI</v>
      </c>
      <c r="N49" s="166">
        <f>F186</f>
        <v>24.570625918328989</v>
      </c>
      <c r="O49" s="166">
        <f>G186</f>
        <v>9.8350138581068052</v>
      </c>
      <c r="P49" s="166">
        <f t="shared" si="74"/>
        <v>39.323146705489194</v>
      </c>
      <c r="Q49" s="254"/>
      <c r="R49" s="268"/>
      <c r="S49" s="171"/>
      <c r="T49" s="271"/>
      <c r="U49" s="264"/>
      <c r="V49" s="164" t="str">
        <f t="shared" si="83"/>
        <v>HI</v>
      </c>
      <c r="W49" s="157">
        <f>F188</f>
        <v>-9.8233362421479259E-2</v>
      </c>
      <c r="X49" s="157">
        <f>G188</f>
        <v>3.9320385404711021E-2</v>
      </c>
      <c r="Y49" s="157">
        <f t="shared" si="84"/>
        <v>0.15721394052854579</v>
      </c>
      <c r="Z49" s="273"/>
      <c r="AA49" s="260"/>
      <c r="AB49" s="171"/>
      <c r="AC49" s="282"/>
      <c r="AD49" s="244"/>
      <c r="AE49" s="162" t="str">
        <f t="shared" si="77"/>
        <v>CWF</v>
      </c>
      <c r="AF49" s="284"/>
      <c r="AG49" s="284"/>
      <c r="AH49" s="280"/>
    </row>
    <row r="50" spans="1:42">
      <c r="B50" s="255"/>
      <c r="C50" s="244" t="str">
        <f>B191</f>
        <v>D65</v>
      </c>
      <c r="D50" s="162" t="str">
        <f t="shared" si="79"/>
        <v>LO</v>
      </c>
      <c r="E50" s="169">
        <f>F205</f>
        <v>4.3129345538311548E-2</v>
      </c>
      <c r="F50" s="169">
        <f>G205</f>
        <v>3.1876457015939608E-2</v>
      </c>
      <c r="G50" s="169">
        <f t="shared" si="76"/>
        <v>9.0944031062220959E-2</v>
      </c>
      <c r="H50" s="251">
        <f>MAX(G50:G51)</f>
        <v>9.1893258956456447E-2</v>
      </c>
      <c r="I50" s="266"/>
      <c r="J50" s="171"/>
      <c r="K50" s="282"/>
      <c r="L50" s="244" t="str">
        <f>C50</f>
        <v>D65</v>
      </c>
      <c r="M50" s="162" t="str">
        <f t="shared" si="81"/>
        <v>LO</v>
      </c>
      <c r="N50" s="166">
        <f>F207</f>
        <v>-12.487671255841544</v>
      </c>
      <c r="O50" s="166">
        <f>G207</f>
        <v>80.52823010303608</v>
      </c>
      <c r="P50" s="166">
        <f t="shared" si="74"/>
        <v>133.28001641039566</v>
      </c>
      <c r="Q50" s="254">
        <f>MAX(P50:P51)</f>
        <v>151.11474777004776</v>
      </c>
      <c r="R50" s="268"/>
      <c r="S50" s="171"/>
      <c r="T50" s="271"/>
      <c r="U50" s="264" t="str">
        <f>L50</f>
        <v>D65</v>
      </c>
      <c r="V50" s="164" t="str">
        <f t="shared" si="83"/>
        <v>LO</v>
      </c>
      <c r="W50" s="157">
        <f>F209</f>
        <v>8.0745282340271382E-2</v>
      </c>
      <c r="X50" s="157">
        <f>G209</f>
        <v>0.52069553584623129</v>
      </c>
      <c r="Y50" s="157">
        <f t="shared" si="84"/>
        <v>0.86178858610961828</v>
      </c>
      <c r="Z50" s="273">
        <f>MAX(Y50:Y51)</f>
        <v>0.97710795908112891</v>
      </c>
      <c r="AA50" s="260"/>
      <c r="AB50" s="171"/>
      <c r="AC50" s="282"/>
      <c r="AD50" s="244"/>
      <c r="AE50" s="162" t="str">
        <f t="shared" si="77"/>
        <v>D65</v>
      </c>
      <c r="AF50" s="284"/>
      <c r="AG50" s="284"/>
      <c r="AH50" s="280"/>
    </row>
    <row r="51" spans="1:42" ht="15.75" thickBot="1">
      <c r="B51" s="256"/>
      <c r="C51" s="248"/>
      <c r="D51" s="163" t="str">
        <f t="shared" si="79"/>
        <v>HI</v>
      </c>
      <c r="E51" s="170">
        <f>F206</f>
        <v>4.4378059646744898E-2</v>
      </c>
      <c r="F51" s="170">
        <f>G206</f>
        <v>3.1676799539807697E-2</v>
      </c>
      <c r="G51" s="170">
        <f t="shared" si="76"/>
        <v>9.1893258956456447E-2</v>
      </c>
      <c r="H51" s="252"/>
      <c r="I51" s="267"/>
      <c r="J51" s="187"/>
      <c r="K51" s="283"/>
      <c r="L51" s="248"/>
      <c r="M51" s="163" t="str">
        <f t="shared" si="81"/>
        <v>HI</v>
      </c>
      <c r="N51" s="167">
        <f>F208</f>
        <v>-16.640360502035964</v>
      </c>
      <c r="O51" s="167">
        <f>G208</f>
        <v>89.649591512007859</v>
      </c>
      <c r="P51" s="167">
        <f t="shared" si="74"/>
        <v>151.11474777004776</v>
      </c>
      <c r="Q51" s="270"/>
      <c r="R51" s="269"/>
      <c r="S51" s="187"/>
      <c r="T51" s="272"/>
      <c r="U51" s="265"/>
      <c r="V51" s="165" t="str">
        <f t="shared" si="83"/>
        <v>HI</v>
      </c>
      <c r="W51" s="158">
        <f>F210</f>
        <v>0.10759657100616454</v>
      </c>
      <c r="X51" s="158">
        <f>G210</f>
        <v>0.57967425871664291</v>
      </c>
      <c r="Y51" s="158">
        <f t="shared" si="84"/>
        <v>0.97710795908112891</v>
      </c>
      <c r="Z51" s="274"/>
      <c r="AA51" s="261"/>
      <c r="AB51" s="187"/>
      <c r="AC51" s="283"/>
      <c r="AD51" s="248"/>
      <c r="AE51" s="163" t="str">
        <f t="shared" si="77"/>
        <v>No D65</v>
      </c>
      <c r="AF51" s="285"/>
      <c r="AG51" s="285"/>
      <c r="AH51" s="281"/>
    </row>
    <row r="52" spans="1:42">
      <c r="U52" s="76"/>
    </row>
    <row r="53" spans="1:42">
      <c r="D53" s="159"/>
      <c r="H53" s="133">
        <f ca="1">(H57*H63)^0.5</f>
        <v>175.48384391332254</v>
      </c>
      <c r="I53" s="59">
        <f>data0!F1</f>
        <v>0</v>
      </c>
      <c r="J53" s="59">
        <f>data0!G1</f>
        <v>1</v>
      </c>
      <c r="K53" s="59">
        <f>data0!H1</f>
        <v>2</v>
      </c>
      <c r="L53" s="59">
        <f>data0!I1</f>
        <v>3</v>
      </c>
      <c r="M53" s="59">
        <f>data0!J1</f>
        <v>4</v>
      </c>
      <c r="N53" s="59">
        <f>data0!K1</f>
        <v>5</v>
      </c>
      <c r="O53" s="59">
        <f>data0!L1</f>
        <v>6</v>
      </c>
      <c r="P53" s="59">
        <f>data0!M1</f>
        <v>7</v>
      </c>
      <c r="Q53" s="59">
        <f>data0!N1</f>
        <v>8</v>
      </c>
      <c r="R53" s="59">
        <f>data0!O1</f>
        <v>9</v>
      </c>
      <c r="S53" s="59">
        <f>data0!P1</f>
        <v>10</v>
      </c>
      <c r="T53" s="59">
        <f>data0!Q1</f>
        <v>11</v>
      </c>
      <c r="U53" s="59">
        <f>data0!R1</f>
        <v>12</v>
      </c>
      <c r="V53" s="59">
        <f>data0!S1</f>
        <v>13</v>
      </c>
      <c r="W53" s="59">
        <f>data0!T1</f>
        <v>14</v>
      </c>
      <c r="X53" s="59">
        <f>data0!U1</f>
        <v>15</v>
      </c>
      <c r="Y53" s="59">
        <f>data0!V1</f>
        <v>16</v>
      </c>
      <c r="Z53" s="59">
        <f>data0!W1</f>
        <v>17</v>
      </c>
      <c r="AA53" s="59">
        <f>data0!X1</f>
        <v>18</v>
      </c>
      <c r="AB53" s="59">
        <f>data0!Y1</f>
        <v>19</v>
      </c>
      <c r="AC53" s="59">
        <f>data0!Z1</f>
        <v>20</v>
      </c>
      <c r="AD53" s="59">
        <f>data0!AA1</f>
        <v>21</v>
      </c>
      <c r="AE53" s="59">
        <f>data0!AB1</f>
        <v>22</v>
      </c>
      <c r="AF53" s="59">
        <f>data0!AC1</f>
        <v>23</v>
      </c>
      <c r="AG53" s="59">
        <f>data0!AD1</f>
        <v>24</v>
      </c>
      <c r="AH53" s="59">
        <f>data0!AE1</f>
        <v>25</v>
      </c>
      <c r="AI53" s="59">
        <f>data0!AF1</f>
        <v>26</v>
      </c>
      <c r="AJ53" s="59">
        <f>data0!AG1</f>
        <v>27</v>
      </c>
      <c r="AK53" s="59">
        <f>data0!AH1</f>
        <v>28</v>
      </c>
      <c r="AL53" s="59">
        <f>data0!AI1</f>
        <v>29</v>
      </c>
      <c r="AM53" s="59">
        <f>data0!AJ1</f>
        <v>30</v>
      </c>
      <c r="AN53" s="59">
        <f>data0!AK1</f>
        <v>31</v>
      </c>
    </row>
    <row r="54" spans="1:42">
      <c r="B54" s="173"/>
      <c r="F54" s="59" t="s">
        <v>6</v>
      </c>
      <c r="G54" s="59" t="s">
        <v>81</v>
      </c>
      <c r="H54" s="59" t="s">
        <v>82</v>
      </c>
      <c r="I54" s="75">
        <f>data0!F305</f>
        <v>0</v>
      </c>
      <c r="J54" s="75">
        <f>data0!G305</f>
        <v>0</v>
      </c>
      <c r="K54" s="75">
        <f>data0!H305</f>
        <v>1</v>
      </c>
      <c r="L54" s="75">
        <f>data0!I305</f>
        <v>1</v>
      </c>
      <c r="M54" s="75">
        <f>data0!J305</f>
        <v>0</v>
      </c>
      <c r="N54" s="75">
        <f>data0!K305</f>
        <v>1</v>
      </c>
      <c r="O54" s="75">
        <f>data0!L305</f>
        <v>1</v>
      </c>
      <c r="P54" s="75">
        <f>data0!M305</f>
        <v>0</v>
      </c>
      <c r="Q54" s="75">
        <f>data0!N305</f>
        <v>1</v>
      </c>
      <c r="R54" s="75">
        <f>data0!O305</f>
        <v>1</v>
      </c>
      <c r="S54" s="75">
        <f>data0!P305</f>
        <v>1</v>
      </c>
      <c r="T54" s="75">
        <f>data0!Q305</f>
        <v>1</v>
      </c>
      <c r="U54" s="75">
        <f>data0!R305</f>
        <v>1</v>
      </c>
      <c r="V54" s="75">
        <f>data0!S305</f>
        <v>1</v>
      </c>
      <c r="W54" s="75">
        <f>data0!T305</f>
        <v>1</v>
      </c>
      <c r="X54" s="75">
        <f>data0!U305</f>
        <v>1</v>
      </c>
      <c r="Y54" s="75">
        <f>data0!V305</f>
        <v>1</v>
      </c>
      <c r="Z54" s="75">
        <f>data0!W305</f>
        <v>1</v>
      </c>
      <c r="AA54" s="75">
        <f>data0!X305</f>
        <v>1</v>
      </c>
      <c r="AB54" s="75">
        <f>data0!Y305</f>
        <v>1</v>
      </c>
      <c r="AC54" s="75">
        <f>data0!Z305</f>
        <v>1</v>
      </c>
      <c r="AD54" s="75">
        <f>data0!AA305</f>
        <v>1</v>
      </c>
      <c r="AE54" s="75">
        <f>data0!AB305</f>
        <v>1</v>
      </c>
      <c r="AF54" s="75">
        <f>data0!AC305</f>
        <v>1</v>
      </c>
      <c r="AG54" s="75">
        <f>data0!AD305</f>
        <v>1</v>
      </c>
      <c r="AH54" s="75">
        <f>data0!AE305</f>
        <v>1</v>
      </c>
      <c r="AI54" s="75">
        <f>data0!AF305</f>
        <v>0</v>
      </c>
      <c r="AJ54" s="75">
        <f>data0!AG305</f>
        <v>1</v>
      </c>
      <c r="AK54" s="75">
        <f>data0!AH305</f>
        <v>1</v>
      </c>
      <c r="AL54" s="75">
        <f>data0!AI305</f>
        <v>1</v>
      </c>
      <c r="AM54" s="75">
        <f>data0!AJ305</f>
        <v>1</v>
      </c>
      <c r="AN54" s="75">
        <f>data0!AK305</f>
        <v>1</v>
      </c>
    </row>
    <row r="55" spans="1:42" s="109" customFormat="1">
      <c r="A55" s="195" t="s">
        <v>120</v>
      </c>
      <c r="B55" s="109">
        <v>1</v>
      </c>
      <c r="H55" s="109" t="s">
        <v>114</v>
      </c>
      <c r="I55" s="108" t="str">
        <f>IF(I54,MAX(I117:I118,I139:I140,I161:I162,I183:I184,I205:I206),"")</f>
        <v/>
      </c>
      <c r="J55" s="108" t="str">
        <f t="shared" ref="J55:AN55" si="88">IF(J54,MAX(J117:J118,J139:J140,J161:J162,J183:J184,J205:J206),"")</f>
        <v/>
      </c>
      <c r="K55" s="108">
        <f t="shared" si="88"/>
        <v>0.13748919627513984</v>
      </c>
      <c r="L55" s="108">
        <f t="shared" si="88"/>
        <v>0.14277295001758997</v>
      </c>
      <c r="M55" s="108" t="str">
        <f t="shared" si="88"/>
        <v/>
      </c>
      <c r="N55" s="108">
        <f t="shared" si="88"/>
        <v>1.8132831559426417E-2</v>
      </c>
      <c r="O55" s="108">
        <f t="shared" si="88"/>
        <v>2.2862533014083648E-2</v>
      </c>
      <c r="P55" s="108" t="str">
        <f t="shared" si="88"/>
        <v/>
      </c>
      <c r="Q55" s="108">
        <f t="shared" si="88"/>
        <v>3.3753477187205283E-2</v>
      </c>
      <c r="R55" s="108">
        <f t="shared" si="88"/>
        <v>1.7942565533944122E-2</v>
      </c>
      <c r="S55" s="108">
        <f t="shared" si="88"/>
        <v>4.839186292803619E-2</v>
      </c>
      <c r="T55" s="108">
        <f t="shared" si="88"/>
        <v>2.1997896604910607E-2</v>
      </c>
      <c r="U55" s="108">
        <f t="shared" si="88"/>
        <v>5.2900170082451563E-2</v>
      </c>
      <c r="V55" s="108">
        <f t="shared" si="88"/>
        <v>4.2334963372889396E-2</v>
      </c>
      <c r="W55" s="108">
        <f t="shared" si="88"/>
        <v>4.1919843655524355E-2</v>
      </c>
      <c r="X55" s="108">
        <f t="shared" si="88"/>
        <v>8.1772886003049577E-2</v>
      </c>
      <c r="Y55" s="108">
        <f t="shared" si="88"/>
        <v>2.1018966199009219E-2</v>
      </c>
      <c r="Z55" s="108">
        <f t="shared" si="88"/>
        <v>5.2463160446421055E-2</v>
      </c>
      <c r="AA55" s="108">
        <f t="shared" si="88"/>
        <v>4.3655577231826878E-2</v>
      </c>
      <c r="AB55" s="108">
        <f t="shared" si="88"/>
        <v>7.2474880661150778E-2</v>
      </c>
      <c r="AC55" s="108">
        <f t="shared" si="88"/>
        <v>2.3755676487634686E-2</v>
      </c>
      <c r="AD55" s="108">
        <f t="shared" si="88"/>
        <v>2.8224989399423969E-2</v>
      </c>
      <c r="AE55" s="108">
        <f t="shared" si="88"/>
        <v>0.1169888235338431</v>
      </c>
      <c r="AF55" s="108">
        <f t="shared" si="88"/>
        <v>3.2025308342922817E-2</v>
      </c>
      <c r="AG55" s="108">
        <f t="shared" si="88"/>
        <v>0.13749054175377917</v>
      </c>
      <c r="AH55" s="108">
        <f t="shared" si="88"/>
        <v>1.6713058754342256</v>
      </c>
      <c r="AI55" s="108" t="str">
        <f t="shared" si="88"/>
        <v/>
      </c>
      <c r="AJ55" s="108">
        <f t="shared" si="88"/>
        <v>5.4659923640431402E-2</v>
      </c>
      <c r="AK55" s="108">
        <f t="shared" si="88"/>
        <v>0.11740054188419315</v>
      </c>
      <c r="AL55" s="108">
        <f t="shared" si="88"/>
        <v>0.10385275984255829</v>
      </c>
      <c r="AM55" s="108">
        <f t="shared" si="88"/>
        <v>2.2201940029552683E-2</v>
      </c>
      <c r="AN55" s="108">
        <f t="shared" si="88"/>
        <v>5.260011475593538E-2</v>
      </c>
      <c r="AO55" s="242" t="str">
        <f>F54</f>
        <v>Mean</v>
      </c>
      <c r="AP55" s="242" t="str">
        <f>G54</f>
        <v>Stdev</v>
      </c>
    </row>
    <row r="56" spans="1:42" s="109" customFormat="1">
      <c r="H56" s="109" t="s">
        <v>85</v>
      </c>
      <c r="I56" s="95" t="str">
        <f>IF(I54,I80,"")</f>
        <v/>
      </c>
      <c r="J56" s="95" t="str">
        <f t="shared" ref="J56:AN56" si="89">IF(J54,J80,"")</f>
        <v/>
      </c>
      <c r="K56" s="95">
        <f t="shared" si="89"/>
        <v>1.1213479876215677</v>
      </c>
      <c r="L56" s="95">
        <f t="shared" si="89"/>
        <v>0.93644701808746778</v>
      </c>
      <c r="M56" s="95" t="str">
        <f t="shared" si="89"/>
        <v/>
      </c>
      <c r="N56" s="95">
        <f t="shared" si="89"/>
        <v>0.16560129181613265</v>
      </c>
      <c r="O56" s="95">
        <f t="shared" si="89"/>
        <v>0.16088240032836992</v>
      </c>
      <c r="P56" s="95" t="str">
        <f t="shared" si="89"/>
        <v/>
      </c>
      <c r="Q56" s="95">
        <f t="shared" si="89"/>
        <v>0.21165306297373149</v>
      </c>
      <c r="R56" s="95">
        <f t="shared" si="89"/>
        <v>0.13675753313059391</v>
      </c>
      <c r="S56" s="95">
        <f t="shared" si="89"/>
        <v>0.26776332507645073</v>
      </c>
      <c r="T56" s="95">
        <f t="shared" si="89"/>
        <v>0.15621757815389981</v>
      </c>
      <c r="U56" s="95">
        <f t="shared" si="89"/>
        <v>0.32230582407058228</v>
      </c>
      <c r="V56" s="95">
        <f t="shared" si="89"/>
        <v>0.29078092523886806</v>
      </c>
      <c r="W56" s="95">
        <f t="shared" si="89"/>
        <v>0.24697628218606144</v>
      </c>
      <c r="X56" s="95">
        <f t="shared" si="89"/>
        <v>0.48578033486917355</v>
      </c>
      <c r="Y56" s="95">
        <f t="shared" si="89"/>
        <v>0.19604043486909595</v>
      </c>
      <c r="Z56" s="95">
        <f t="shared" si="89"/>
        <v>0.46355138055031925</v>
      </c>
      <c r="AA56" s="95">
        <f t="shared" si="89"/>
        <v>0.29339093872080468</v>
      </c>
      <c r="AB56" s="95">
        <f t="shared" si="89"/>
        <v>0.35661071226078062</v>
      </c>
      <c r="AC56" s="95">
        <f t="shared" si="89"/>
        <v>8.7580461859936287E-2</v>
      </c>
      <c r="AD56" s="95">
        <f t="shared" si="89"/>
        <v>0.24544779448074167</v>
      </c>
      <c r="AE56" s="95">
        <f t="shared" si="89"/>
        <v>0.96035679760429393</v>
      </c>
      <c r="AF56" s="95">
        <f t="shared" si="89"/>
        <v>0.27849134328647074</v>
      </c>
      <c r="AG56" s="95">
        <f t="shared" si="89"/>
        <v>0.92781118752263148</v>
      </c>
      <c r="AH56" s="95">
        <f t="shared" si="89"/>
        <v>5.8283986654130091</v>
      </c>
      <c r="AI56" s="95" t="str">
        <f t="shared" si="89"/>
        <v/>
      </c>
      <c r="AJ56" s="95">
        <f t="shared" si="89"/>
        <v>0.38233136308762045</v>
      </c>
      <c r="AK56" s="95">
        <f t="shared" si="89"/>
        <v>0.87669230156600686</v>
      </c>
      <c r="AL56" s="95">
        <f t="shared" si="89"/>
        <v>0.56819470923408888</v>
      </c>
      <c r="AM56" s="95">
        <f t="shared" si="89"/>
        <v>8.9825011204778871E-2</v>
      </c>
      <c r="AN56" s="95">
        <f t="shared" si="89"/>
        <v>0.35460551808322799</v>
      </c>
      <c r="AO56" s="242"/>
      <c r="AP56" s="242"/>
    </row>
    <row r="57" spans="1:42" s="64" customFormat="1">
      <c r="A57" s="91">
        <f ca="1">SUM(I57:AN61)</f>
        <v>-2.3822466755807348E-4</v>
      </c>
      <c r="B57" s="246" t="s">
        <v>122</v>
      </c>
      <c r="C57" s="242" t="str">
        <f>C69</f>
        <v>LO</v>
      </c>
      <c r="D57" s="64" t="str">
        <f>D69</f>
        <v>A</v>
      </c>
      <c r="E57" s="213">
        <f ca="1">AO57-AO$62</f>
        <v>-0.26097126215318767</v>
      </c>
      <c r="F57" s="245">
        <f ca="1">AVERAGE(I62:AN62)</f>
        <v>0.39452475206888127</v>
      </c>
      <c r="G57" s="245">
        <f ca="1">STDEV(I62:AN62)</f>
        <v>7.0029559340472183E-2</v>
      </c>
      <c r="H57" s="257">
        <f ca="1">P20*(1+A59)</f>
        <v>181.98974389471758</v>
      </c>
      <c r="I57" s="91" t="str">
        <f>IF(I$54,$H$57*data0!F428/$F12-1,"")</f>
        <v/>
      </c>
      <c r="J57" s="209" t="str">
        <f>IF(J$54,$H$57*data0!G428/$F12-1,"")</f>
        <v/>
      </c>
      <c r="K57" s="209">
        <f ca="1">IF(K$54,$H$57*data0!H428/$F12-1,"")</f>
        <v>-0.51682302820095072</v>
      </c>
      <c r="L57" s="209">
        <f ca="1">IF(L$54,$H$57*data0!I428/$F12-1,"")</f>
        <v>-0.42768558490940489</v>
      </c>
      <c r="M57" s="209" t="str">
        <f>IF(M$54,$H$57*data0!J428/$F12-1,"")</f>
        <v/>
      </c>
      <c r="N57" s="209">
        <f ca="1">IF(N$54,$H$57*data0!K428/$F12-1,"")</f>
        <v>4.2778135507880899E-2</v>
      </c>
      <c r="O57" s="209">
        <f ca="1">IF(O$54,$H$57*data0!L428/$F12-1,"")</f>
        <v>-0.17598426721558003</v>
      </c>
      <c r="P57" s="209" t="str">
        <f>IF(P$54,$H$57*data0!M428/$F12-1,"")</f>
        <v/>
      </c>
      <c r="Q57" s="209">
        <f ca="1">IF(Q$54,$H$57*data0!N428/$F12-1,"")</f>
        <v>-0.28480562315013846</v>
      </c>
      <c r="R57" s="209">
        <f ca="1">IF(R$54,$H$57*data0!O428/$F12-1,"")</f>
        <v>-9.9704566302440623E-2</v>
      </c>
      <c r="S57" s="209">
        <f ca="1">IF(S$54,$H$57*data0!P428/$F12-1,"")</f>
        <v>6.0511714649499115E-2</v>
      </c>
      <c r="T57" s="209">
        <f ca="1">IF(T$54,$H$57*data0!Q428/$F12-1,"")</f>
        <v>-0.20097736922263609</v>
      </c>
      <c r="U57" s="209">
        <f ca="1">IF(U$54,$H$57*data0!R428/$F12-1,"")</f>
        <v>9.3703506922355073E-2</v>
      </c>
      <c r="V57" s="209">
        <f ca="1">IF(V$54,$H$57*data0!S428/$F12-1,"")</f>
        <v>0.21942775721529717</v>
      </c>
      <c r="W57" s="209">
        <f ca="1">IF(W$54,$H$57*data0!T428/$F12-1,"")</f>
        <v>8.7996943239722736E-2</v>
      </c>
      <c r="X57" s="209">
        <f ca="1">IF(X$54,$H$57*data0!U428/$F12-1,"")</f>
        <v>0.63000896462848432</v>
      </c>
      <c r="Y57" s="209">
        <f ca="1">IF(Y$54,$H$57*data0!V428/$F12-1,"")</f>
        <v>-0.24034520654757119</v>
      </c>
      <c r="Z57" s="209">
        <f ca="1">IF(Z$54,$H$57*data0!W428/$F12-1,"")</f>
        <v>-0.35346454360895718</v>
      </c>
      <c r="AA57" s="209">
        <f ca="1">IF(AA$54,$H$57*data0!X428/$F12-1,"")</f>
        <v>-0.22062521931103718</v>
      </c>
      <c r="AB57" s="209">
        <f ca="1">IF(AB$54,$H$57*data0!Y428/$F12-1,"")</f>
        <v>-0.27400655242333327</v>
      </c>
      <c r="AC57" s="209">
        <f ca="1">IF(AC$54,$H$57*data0!Z428/$F12-1,"")</f>
        <v>0.11410977221785079</v>
      </c>
      <c r="AD57" s="209">
        <f ca="1">IF(AD$54,$H$57*data0!AA428/$F12-1,"")</f>
        <v>8.5468760121399256E-2</v>
      </c>
      <c r="AE57" s="209">
        <f ca="1">IF(AE$54,$H$57*data0!AB428/$F12-1,"")</f>
        <v>-0.49544158110612113</v>
      </c>
      <c r="AF57" s="209">
        <f ca="1">IF(AF$54,$H$57*data0!AC428/$F12-1,"")</f>
        <v>-0.27584854175506446</v>
      </c>
      <c r="AG57" s="209">
        <f ca="1">IF(AG$54,$H$57*data0!AD428/$F12-1,"")</f>
        <v>-0.43667877099527519</v>
      </c>
      <c r="AH57" s="209">
        <f ca="1">IF(AH$54,$H$57*data0!AE428/$F12-1,"")</f>
        <v>-0.73547703408451781</v>
      </c>
      <c r="AI57" s="209" t="str">
        <f>IF(AI$54,$H$57*data0!AF428/$F12-1,"")</f>
        <v/>
      </c>
      <c r="AJ57" s="209">
        <f ca="1">IF(AJ$54,$H$57*data0!AG428/$F12-1,"")</f>
        <v>0.22917940666390124</v>
      </c>
      <c r="AK57" s="209">
        <f ca="1">IF(AK$54,$H$57*data0!AH428/$F12-1,"")</f>
        <v>-0.478647042956311</v>
      </c>
      <c r="AL57" s="209">
        <f ca="1">IF(AL$54,$H$57*data0!AI428/$F12-1,"")</f>
        <v>0.7493765621429973</v>
      </c>
      <c r="AM57" s="209">
        <f ca="1">IF(AM$54,$H$57*data0!AJ428/$F12-1,"")</f>
        <v>-0.11848551856662093</v>
      </c>
      <c r="AN57" s="209">
        <f ca="1">IF(AN$54,$H$57*data0!AK428/$F12-1,"")</f>
        <v>0.25836224193940116</v>
      </c>
      <c r="AO57" s="213">
        <f ca="1">AVERAGE(I57:AN57)</f>
        <v>-0.10237321055952486</v>
      </c>
      <c r="AP57" s="213">
        <f ca="1">STDEV(I57:AN57)</f>
        <v>0.34532489732418647</v>
      </c>
    </row>
    <row r="58" spans="1:42">
      <c r="A58" s="159">
        <v>6510</v>
      </c>
      <c r="B58" s="247"/>
      <c r="C58" s="242"/>
      <c r="D58" s="64" t="str">
        <f t="shared" ref="D58:D67" si="90">D70</f>
        <v>U30</v>
      </c>
      <c r="E58" s="213">
        <f t="shared" ref="E58:E61" ca="1" si="91">AO58-AO$62</f>
        <v>-0.3165723978903261</v>
      </c>
      <c r="F58" s="245"/>
      <c r="G58" s="245"/>
      <c r="H58" s="257"/>
      <c r="I58" s="209" t="str">
        <f>IF(I$54,$H$57*data0!F429/$F13-1,"")</f>
        <v/>
      </c>
      <c r="J58" s="209" t="str">
        <f>IF(J$54,$H$57*data0!G429/$F13-1,"")</f>
        <v/>
      </c>
      <c r="K58" s="209">
        <f ca="1">IF(K$54,$H$57*data0!H429/$F13-1,"")</f>
        <v>-0.15172226024553115</v>
      </c>
      <c r="L58" s="209">
        <f ca="1">IF(L$54,$H$57*data0!I429/$F13-1,"")</f>
        <v>-2.7706069024210356E-2</v>
      </c>
      <c r="M58" s="209" t="str">
        <f>IF(M$54,$H$57*data0!J429/$F13-1,"")</f>
        <v/>
      </c>
      <c r="N58" s="209">
        <f ca="1">IF(N$54,$H$57*data0!K429/$F13-1,"")</f>
        <v>-0.13432975383985801</v>
      </c>
      <c r="O58" s="209">
        <f ca="1">IF(O$54,$H$57*data0!L429/$F13-1,"")</f>
        <v>-9.7217936283060746E-2</v>
      </c>
      <c r="P58" s="209" t="str">
        <f>IF(P$54,$H$57*data0!M429/$F13-1,"")</f>
        <v/>
      </c>
      <c r="Q58" s="209">
        <f ca="1">IF(Q$54,$H$57*data0!N429/$F13-1,"")</f>
        <v>-0.1871471701739521</v>
      </c>
      <c r="R58" s="209">
        <f ca="1">IF(R$54,$H$57*data0!O429/$F13-1,"")</f>
        <v>-0.21303231491729002</v>
      </c>
      <c r="S58" s="209">
        <f ca="1">IF(S$54,$H$57*data0!P429/$F13-1,"")</f>
        <v>-0.30249616798500434</v>
      </c>
      <c r="T58" s="209">
        <f ca="1">IF(T$54,$H$57*data0!Q429/$F13-1,"")</f>
        <v>-0.16527562631566373</v>
      </c>
      <c r="U58" s="209">
        <f ca="1">IF(U$54,$H$57*data0!R429/$F13-1,"")</f>
        <v>-0.28900097482072773</v>
      </c>
      <c r="V58" s="209">
        <f ca="1">IF(V$54,$H$57*data0!S429/$F13-1,"")</f>
        <v>-0.23030848762959688</v>
      </c>
      <c r="W58" s="209">
        <f ca="1">IF(W$54,$H$57*data0!T429/$F13-1,"")</f>
        <v>-0.23647440362655969</v>
      </c>
      <c r="X58" s="209">
        <f ca="1">IF(X$54,$H$57*data0!U429/$F13-1,"")</f>
        <v>-0.32215727956991302</v>
      </c>
      <c r="Y58" s="209">
        <f ca="1">IF(Y$54,$H$57*data0!V429/$F13-1,"")</f>
        <v>-0.13345723780943319</v>
      </c>
      <c r="Z58" s="209">
        <f ca="1">IF(Z$54,$H$57*data0!W429/$F13-1,"")</f>
        <v>-3.8990875964820093E-2</v>
      </c>
      <c r="AA58" s="209">
        <f ca="1">IF(AA$54,$H$57*data0!X429/$F13-1,"")</f>
        <v>-3.561703647137604E-2</v>
      </c>
      <c r="AB58" s="209">
        <f ca="1">IF(AB$54,$H$57*data0!Y429/$F13-1,"")</f>
        <v>-3.2169092119115339E-3</v>
      </c>
      <c r="AC58" s="209">
        <f ca="1">IF(AC$54,$H$57*data0!Z429/$F13-1,"")</f>
        <v>-2.05354804156066E-3</v>
      </c>
      <c r="AD58" s="209">
        <f ca="1">IF(AD$54,$H$57*data0!AA429/$F13-1,"")</f>
        <v>-0.22041976014312126</v>
      </c>
      <c r="AE58" s="209">
        <f ca="1">IF(AE$54,$H$57*data0!AB429/$F13-1,"")</f>
        <v>-0.10274399394165412</v>
      </c>
      <c r="AF58" s="209">
        <f ca="1">IF(AF$54,$H$57*data0!AC429/$F13-1,"")</f>
        <v>-4.5156791961782794E-2</v>
      </c>
      <c r="AG58" s="209">
        <f ca="1">IF(AG$54,$H$57*data0!AD429/$F13-1,"")</f>
        <v>-7.3019699168099361E-2</v>
      </c>
      <c r="AH58" s="209">
        <f ca="1">IF(AH$54,$H$57*data0!AE429/$F13-1,"")</f>
        <v>-0.10600149731806308</v>
      </c>
      <c r="AI58" s="209" t="str">
        <f>IF(AI$54,$H$57*data0!AF429/$F13-1,"")</f>
        <v/>
      </c>
      <c r="AJ58" s="209">
        <f ca="1">IF(AJ$54,$H$57*data0!AG429/$F13-1,"")</f>
        <v>-0.29534139741691234</v>
      </c>
      <c r="AK58" s="209">
        <f ca="1">IF(AK$54,$H$57*data0!AH429/$F13-1,"")</f>
        <v>-8.7561917385692078E-2</v>
      </c>
      <c r="AL58" s="209">
        <f ca="1">IF(AL$54,$H$57*data0!AI429/$F13-1,"")</f>
        <v>-0.37619622270920638</v>
      </c>
      <c r="AM58" s="209">
        <f ca="1">IF(AM$54,$H$57*data0!AJ429/$F13-1,"")</f>
        <v>-9.4367691721024438E-2</v>
      </c>
      <c r="AN58" s="209">
        <f ca="1">IF(AN$54,$H$57*data0!AK429/$F13-1,"")</f>
        <v>-0.29429432631388341</v>
      </c>
      <c r="AO58" s="213">
        <f t="shared" ref="AO58:AO61" ca="1" si="92">AVERAGE(I58:AN58)</f>
        <v>-0.15797434629666329</v>
      </c>
      <c r="AP58" s="213">
        <f t="shared" ref="AP58:AP61" ca="1" si="93">STDEV(I58:AN58)</f>
        <v>0.10800003286011992</v>
      </c>
    </row>
    <row r="59" spans="1:42">
      <c r="A59" s="213">
        <f>IF(balance,20%*(A58-10000)/10000,0)</f>
        <v>-6.9800000000000001E-2</v>
      </c>
      <c r="B59" s="247"/>
      <c r="C59" s="242"/>
      <c r="D59" s="64" t="str">
        <f t="shared" si="90"/>
        <v>U35</v>
      </c>
      <c r="E59" s="213">
        <f t="shared" ca="1" si="91"/>
        <v>-0.21991654069485911</v>
      </c>
      <c r="F59" s="245"/>
      <c r="G59" s="245"/>
      <c r="H59" s="257"/>
      <c r="I59" s="209" t="str">
        <f>IF(I$54,$H$57*data0!F430/$F14-1,"")</f>
        <v/>
      </c>
      <c r="J59" s="209" t="str">
        <f>IF(J$54,$H$57*data0!G430/$F14-1,"")</f>
        <v/>
      </c>
      <c r="K59" s="209">
        <f ca="1">IF(K$54,$H$57*data0!H430/$F14-1,"")</f>
        <v>-5.7799484775795884E-2</v>
      </c>
      <c r="L59" s="209">
        <f ca="1">IF(L$54,$H$57*data0!I430/$F14-1,"")</f>
        <v>8.180579280989031E-2</v>
      </c>
      <c r="M59" s="209" t="str">
        <f>IF(M$54,$H$57*data0!J430/$F14-1,"")</f>
        <v/>
      </c>
      <c r="N59" s="209">
        <f ca="1">IF(N$54,$H$57*data0!K430/$F14-1,"")</f>
        <v>-3.3520252936834583E-2</v>
      </c>
      <c r="O59" s="209">
        <f ca="1">IF(O$54,$H$57*data0!L430/$F14-1,"")</f>
        <v>4.8215537892799532E-3</v>
      </c>
      <c r="P59" s="209" t="str">
        <f>IF(P$54,$H$57*data0!M430/$F14-1,"")</f>
        <v/>
      </c>
      <c r="Q59" s="209">
        <f ca="1">IF(Q$54,$H$57*data0!N430/$F14-1,"")</f>
        <v>-9.0552367264249201E-2</v>
      </c>
      <c r="R59" s="209">
        <f ca="1">IF(R$54,$H$57*data0!O430/$F14-1,"")</f>
        <v>-0.1236056800088654</v>
      </c>
      <c r="S59" s="209">
        <f ca="1">IF(S$54,$H$57*data0!P430/$F14-1,"")</f>
        <v>-0.21351076879910902</v>
      </c>
      <c r="T59" s="209">
        <f ca="1">IF(T$54,$H$57*data0!Q430/$F14-1,"")</f>
        <v>-6.7895734248875628E-2</v>
      </c>
      <c r="U59" s="209">
        <f ca="1">IF(U$54,$H$57*data0!R430/$F14-1,"")</f>
        <v>-0.202032259699366</v>
      </c>
      <c r="V59" s="209">
        <f ca="1">IF(V$54,$H$57*data0!S430/$F14-1,"")</f>
        <v>-0.14734399215457095</v>
      </c>
      <c r="W59" s="209">
        <f ca="1">IF(W$54,$H$57*data0!T430/$F14-1,"")</f>
        <v>-0.14524058472898804</v>
      </c>
      <c r="X59" s="209">
        <f ca="1">IF(X$54,$H$57*data0!U430/$F14-1,"")</f>
        <v>-0.24061452581453957</v>
      </c>
      <c r="Y59" s="209">
        <f ca="1">IF(Y$54,$H$57*data0!V430/$F14-1,"")</f>
        <v>-3.3700541138565909E-2</v>
      </c>
      <c r="Z59" s="209">
        <f ca="1">IF(Z$54,$H$57*data0!W430/$F14-1,"")</f>
        <v>7.1288870866104137E-2</v>
      </c>
      <c r="AA59" s="209">
        <f ca="1">IF(AA$54,$H$57*data0!X430/$F14-1,"")</f>
        <v>7.1288870866104137E-2</v>
      </c>
      <c r="AB59" s="209">
        <f ca="1">IF(AB$54,$H$57*data0!Y430/$F14-1,"")</f>
        <v>0.10344069753001306</v>
      </c>
      <c r="AC59" s="209">
        <f ca="1">IF(AC$54,$H$57*data0!Z430/$F14-1,"")</f>
        <v>0.11227502474307971</v>
      </c>
      <c r="AD59" s="209">
        <f ca="1">IF(AD$54,$H$57*data0!AA430/$F14-1,"")</f>
        <v>-0.12985577617033717</v>
      </c>
      <c r="AE59" s="209">
        <f ca="1">IF(AE$54,$H$57*data0!AB430/$F14-1,"")</f>
        <v>-9.4815055269604764E-3</v>
      </c>
      <c r="AF59" s="209">
        <f ca="1">IF(AF$54,$H$57*data0!AC430/$F14-1,"")</f>
        <v>5.7586757198284877E-2</v>
      </c>
      <c r="AG59" s="209">
        <f ca="1">IF(AG$54,$H$57*data0!AD430/$F14-1,"")</f>
        <v>3.2345973259406025E-2</v>
      </c>
      <c r="AH59" s="209">
        <f ca="1">IF(AH$54,$H$57*data0!AE430/$F14-1,"")</f>
        <v>-1.4886184074131004E-3</v>
      </c>
      <c r="AI59" s="209" t="str">
        <f>IF(AI$54,$H$57*data0!AF430/$F14-1,"")</f>
        <v/>
      </c>
      <c r="AJ59" s="209">
        <f ca="1">IF(AJ$54,$H$57*data0!AG430/$F14-1,"")</f>
        <v>-0.2111669746005479</v>
      </c>
      <c r="AK59" s="209">
        <f ca="1">IF(AK$54,$H$57*data0!AH430/$F14-1,"")</f>
        <v>2.3872342641936495E-2</v>
      </c>
      <c r="AL59" s="209">
        <f ca="1">IF(AL$54,$H$57*data0!AI430/$F14-1,"")</f>
        <v>-0.29602393865425158</v>
      </c>
      <c r="AM59" s="209">
        <f ca="1">IF(AM$54,$H$57*data0!AJ430/$F14-1,"")</f>
        <v>3.1388789304707121E-3</v>
      </c>
      <c r="AN59" s="209">
        <f ca="1">IF(AN$54,$H$57*data0!AK430/$F14-1,"")</f>
        <v>-0.21363096343759935</v>
      </c>
      <c r="AO59" s="213">
        <f t="shared" ca="1" si="92"/>
        <v>-6.1318489101196319E-2</v>
      </c>
      <c r="AP59" s="213">
        <f t="shared" ca="1" si="93"/>
        <v>0.1175414064798673</v>
      </c>
    </row>
    <row r="60" spans="1:42">
      <c r="B60" s="247"/>
      <c r="C60" s="242"/>
      <c r="D60" s="64" t="str">
        <f t="shared" si="90"/>
        <v>CWF</v>
      </c>
      <c r="E60" s="213">
        <f t="shared" ca="1" si="91"/>
        <v>-0.31211127825610291</v>
      </c>
      <c r="F60" s="245"/>
      <c r="G60" s="245"/>
      <c r="H60" s="257"/>
      <c r="I60" s="209" t="str">
        <f>IF(I$54,$H$57*data0!F431/$F15-1,"")</f>
        <v/>
      </c>
      <c r="J60" s="209" t="str">
        <f>IF(J$54,$H$57*data0!G431/$F15-1,"")</f>
        <v/>
      </c>
      <c r="K60" s="209">
        <f ca="1">IF(K$54,$H$57*data0!H431/$F15-1,"")</f>
        <v>-0.16351472997529071</v>
      </c>
      <c r="L60" s="209">
        <f ca="1">IF(L$54,$H$57*data0!I431/$F15-1,"")</f>
        <v>-2.573251377468333E-2</v>
      </c>
      <c r="M60" s="209" t="str">
        <f>IF(M$54,$H$57*data0!J431/$F15-1,"")</f>
        <v/>
      </c>
      <c r="N60" s="209">
        <f ca="1">IF(N$54,$H$57*data0!K431/$F15-1,"")</f>
        <v>-0.12905346643447047</v>
      </c>
      <c r="O60" s="209">
        <f ca="1">IF(O$54,$H$57*data0!L431/$F15-1,"")</f>
        <v>-9.5973199594170278E-2</v>
      </c>
      <c r="P60" s="209" t="str">
        <f>IF(P$54,$H$57*data0!M431/$F15-1,"")</f>
        <v/>
      </c>
      <c r="Q60" s="209">
        <f ca="1">IF(Q$54,$H$57*data0!N431/$F15-1,"")</f>
        <v>-0.17537841754200267</v>
      </c>
      <c r="R60" s="209">
        <f ca="1">IF(R$54,$H$57*data0!O431/$F15-1,"")</f>
        <v>-0.20996521839117033</v>
      </c>
      <c r="S60" s="209">
        <f ca="1">IF(S$54,$H$57*data0!P431/$F15-1,"")</f>
        <v>-0.28133576613993549</v>
      </c>
      <c r="T60" s="209">
        <f ca="1">IF(T$54,$H$57*data0!Q431/$F15-1,"")</f>
        <v>-0.1609411092298566</v>
      </c>
      <c r="U60" s="209">
        <f ca="1">IF(U$54,$H$57*data0!R431/$F15-1,"")</f>
        <v>-0.27487035283414529</v>
      </c>
      <c r="V60" s="209">
        <f ca="1">IF(V$54,$H$57*data0!S431/$F15-1,"")</f>
        <v>-0.22452806924249435</v>
      </c>
      <c r="W60" s="209">
        <f ca="1">IF(W$54,$H$57*data0!T431/$F15-1,"")</f>
        <v>-0.22076181922131577</v>
      </c>
      <c r="X60" s="209">
        <f ca="1">IF(X$54,$H$57*data0!U431/$F15-1,"")</f>
        <v>-0.30801338963632674</v>
      </c>
      <c r="Y60" s="209">
        <f ca="1">IF(Y$54,$H$57*data0!V431/$F15-1,"")</f>
        <v>-0.13313357149588556</v>
      </c>
      <c r="Z60" s="209">
        <f ca="1">IF(Z$54,$H$57*data0!W431/$F15-1,"")</f>
        <v>-4.4563831881367588E-2</v>
      </c>
      <c r="AA60" s="209">
        <f ca="1">IF(AA$54,$H$57*data0!X431/$F15-1,"")</f>
        <v>-4.1990263444235176E-2</v>
      </c>
      <c r="AB60" s="209">
        <f ca="1">IF(AB$54,$H$57*data0!Y431/$F15-1,"")</f>
        <v>-2.0522601707706811E-2</v>
      </c>
      <c r="AC60" s="209">
        <f ca="1">IF(AC$54,$H$57*data0!Z431/$F15-1,"")</f>
        <v>7.2849307954341302E-3</v>
      </c>
      <c r="AD60" s="209">
        <f ca="1">IF(AD$54,$H$57*data0!AA431/$F15-1,"")</f>
        <v>-0.21655617423613815</v>
      </c>
      <c r="AE60" s="209">
        <f ca="1">IF(AE$54,$H$57*data0!AB431/$F15-1,"")</f>
        <v>-0.11317244638363966</v>
      </c>
      <c r="AF60" s="209">
        <f ca="1">IF(AF$54,$H$57*data0!AC431/$F15-1,"")</f>
        <v>-5.3665586201586679E-2</v>
      </c>
      <c r="AG60" s="209">
        <f ca="1">IF(AG$54,$H$57*data0!AD431/$F15-1,"")</f>
        <v>-6.9295526404892449E-2</v>
      </c>
      <c r="AH60" s="209">
        <f ca="1">IF(AH$54,$H$57*data0!AE431/$F15-1,"")</f>
        <v>-0.10086936123751322</v>
      </c>
      <c r="AI60" s="209" t="str">
        <f>IF(AI$54,$H$57*data0!AF431/$F15-1,"")</f>
        <v/>
      </c>
      <c r="AJ60" s="209">
        <f ca="1">IF(AJ$54,$H$57*data0!AG431/$F15-1,"")</f>
        <v>-0.28811498217766063</v>
      </c>
      <c r="AK60" s="209">
        <f ca="1">IF(AK$54,$H$57*data0!AH431/$F15-1,"")</f>
        <v>-6.2579135252765261E-2</v>
      </c>
      <c r="AL60" s="209">
        <f ca="1">IF(AL$54,$H$57*data0!AI431/$F15-1,"")</f>
        <v>-0.3570374491047541</v>
      </c>
      <c r="AM60" s="209">
        <f ca="1">IF(AM$54,$H$57*data0!AJ431/$F15-1,"")</f>
        <v>-9.3650716235393006E-2</v>
      </c>
      <c r="AN60" s="209">
        <f ca="1">IF(AN$54,$H$57*data0!AK431/$F15-1,"")</f>
        <v>-0.28692235290191626</v>
      </c>
      <c r="AO60" s="213">
        <f t="shared" ca="1" si="92"/>
        <v>-0.15351322666244011</v>
      </c>
      <c r="AP60" s="213">
        <f t="shared" ca="1" si="93"/>
        <v>0.10217818717419729</v>
      </c>
    </row>
    <row r="61" spans="1:42">
      <c r="B61" s="247"/>
      <c r="C61" s="242"/>
      <c r="D61" s="64" t="str">
        <f t="shared" si="90"/>
        <v>D65</v>
      </c>
      <c r="E61" s="213">
        <f t="shared" ca="1" si="91"/>
        <v>0.3165723978903261</v>
      </c>
      <c r="F61" s="245"/>
      <c r="G61" s="245"/>
      <c r="H61" s="257"/>
      <c r="I61" s="209" t="str">
        <f>IF(I$54,$H$57*data0!F432/$F16-1,"")</f>
        <v/>
      </c>
      <c r="J61" s="209" t="str">
        <f>IF(J$54,$H$57*data0!G432/$F16-1,"")</f>
        <v/>
      </c>
      <c r="K61" s="209">
        <f ca="1">IF(K$54,$H$57*data0!H432/$F16-1,"")</f>
        <v>0.30386700401702749</v>
      </c>
      <c r="L61" s="209">
        <f ca="1">IF(L$54,$H$57*data0!I432/$F16-1,"")</f>
        <v>0.55213359444588361</v>
      </c>
      <c r="M61" s="209" t="str">
        <f>IF(M$54,$H$57*data0!J432/$F16-1,"")</f>
        <v/>
      </c>
      <c r="N61" s="209">
        <f ca="1">IF(N$54,$H$57*data0!K432/$F16-1,"")</f>
        <v>0.55137384487779784</v>
      </c>
      <c r="O61" s="209">
        <f ca="1">IF(O$54,$H$57*data0!L432/$F16-1,"")</f>
        <v>0.51905477033758629</v>
      </c>
      <c r="P61" s="209" t="str">
        <f>IF(P$54,$H$57*data0!M432/$F16-1,"")</f>
        <v/>
      </c>
      <c r="Q61" s="209">
        <f ca="1">IF(Q$54,$H$57*data0!N432/$F16-1,"")</f>
        <v>0.40935693607531665</v>
      </c>
      <c r="R61" s="209">
        <f ca="1">IF(R$54,$H$57*data0!O432/$F16-1,"")</f>
        <v>0.3794924662839041</v>
      </c>
      <c r="S61" s="209">
        <f ca="1">IF(S$54,$H$57*data0!P432/$F16-1,"")</f>
        <v>0.40795431174770247</v>
      </c>
      <c r="T61" s="209">
        <f ca="1">IF(T$54,$H$57*data0!Q432/$F16-1,"")</f>
        <v>0.46341687763094219</v>
      </c>
      <c r="U61" s="209">
        <f ca="1">IF(U$54,$H$57*data0!R432/$F16-1,"")</f>
        <v>0.41186996361782557</v>
      </c>
      <c r="V61" s="209">
        <f ca="1">IF(V$54,$H$57*data0!S432/$F16-1,"")</f>
        <v>0.49614506757318866</v>
      </c>
      <c r="W61" s="209">
        <f ca="1">IF(W$54,$H$57*data0!T432/$F16-1,"")</f>
        <v>0.48241093826559545</v>
      </c>
      <c r="X61" s="209">
        <f ca="1">IF(X$54,$H$57*data0!U432/$F16-1,"")</f>
        <v>0.51858722240146182</v>
      </c>
      <c r="Y61" s="209">
        <f ca="1">IF(Y$54,$H$57*data0!V432/$F16-1,"")</f>
        <v>0.45278018887015992</v>
      </c>
      <c r="Z61" s="209">
        <f ca="1">IF(Z$54,$H$57*data0!W432/$F16-1,"")</f>
        <v>0.52735369019661005</v>
      </c>
      <c r="AA61" s="209">
        <f ca="1">IF(AA$54,$H$57*data0!X432/$F16-1,"")</f>
        <v>0.53477600515974921</v>
      </c>
      <c r="AB61" s="209">
        <f ca="1">IF(AB$54,$H$57*data0!Y432/$F16-1,"")</f>
        <v>0.54476975097834934</v>
      </c>
      <c r="AC61" s="209">
        <f ca="1">IF(AC$54,$H$57*data0!Z432/$F16-1,"")</f>
        <v>0.7514248088612534</v>
      </c>
      <c r="AD61" s="209">
        <f ca="1">IF(AD$54,$H$57*data0!AA432/$F16-1,"")</f>
        <v>0.43922140586672898</v>
      </c>
      <c r="AE61" s="209">
        <f ca="1">IF(AE$54,$H$57*data0!AB432/$F16-1,"")</f>
        <v>0.33904978896769378</v>
      </c>
      <c r="AF61" s="209">
        <f ca="1">IF(AF$54,$H$57*data0!AC432/$F16-1,"")</f>
        <v>0.4966710675241599</v>
      </c>
      <c r="AG61" s="209">
        <f ca="1">IF(AG$54,$H$57*data0!AD432/$F16-1,"")</f>
        <v>0.49462557817739561</v>
      </c>
      <c r="AH61" s="209">
        <f ca="1">IF(AH$54,$H$57*data0!AE432/$F16-1,"")</f>
        <v>0.36903120175031745</v>
      </c>
      <c r="AI61" s="209" t="str">
        <f>IF(AI$54,$H$57*data0!AF432/$F16-1,"")</f>
        <v/>
      </c>
      <c r="AJ61" s="209">
        <f ca="1">IF(AJ$54,$H$57*data0!AG432/$F16-1,"")</f>
        <v>0.41222068544728785</v>
      </c>
      <c r="AK61" s="209">
        <f ca="1">IF(AK$54,$H$57*data0!AH432/$F16-1,"")</f>
        <v>0.49450869362846017</v>
      </c>
      <c r="AL61" s="209">
        <f ca="1">IF(AL$54,$H$57*data0!AI432/$F16-1,"")</f>
        <v>0.53746434978528379</v>
      </c>
      <c r="AM61" s="209">
        <f ca="1">IF(AM$54,$H$57*data0!AJ432/$F16-1,"")</f>
        <v>0.52916544940701793</v>
      </c>
      <c r="AN61" s="209">
        <f ca="1">IF(AN$54,$H$57*data0!AK432/$F16-1,"")</f>
        <v>0.41087647417300444</v>
      </c>
      <c r="AO61" s="213">
        <f t="shared" ca="1" si="92"/>
        <v>0.4751704494839889</v>
      </c>
      <c r="AP61" s="213">
        <f t="shared" ca="1" si="93"/>
        <v>8.8286850562700275E-2</v>
      </c>
    </row>
    <row r="62" spans="1:42">
      <c r="B62" s="247"/>
      <c r="C62" s="242"/>
      <c r="D62" s="212" t="s">
        <v>123</v>
      </c>
      <c r="E62" s="213">
        <f ca="1">(MAX(E57:E60)-MIN(E57:E60))/2</f>
        <v>4.8327928597733494E-2</v>
      </c>
      <c r="F62" s="245">
        <f ca="1">MAX(F57+1.5*G57,F64+1.5*G64)</f>
        <v>0.50132963826971855</v>
      </c>
      <c r="G62" s="245"/>
      <c r="H62" s="257"/>
      <c r="I62" s="91" t="str">
        <f>IF(I$54,(MAX(I57:I61)-MIN(I57:I61))/2,"")</f>
        <v/>
      </c>
      <c r="J62" s="91" t="str">
        <f t="shared" ref="J62:AN62" si="94">IF(J$54,(MAX(J57:J61)-MIN(J57:J61))/2,"")</f>
        <v/>
      </c>
      <c r="K62" s="91">
        <f t="shared" ca="1" si="94"/>
        <v>0.4103450161089891</v>
      </c>
      <c r="L62" s="91">
        <f t="shared" ca="1" si="94"/>
        <v>0.48990958967764425</v>
      </c>
      <c r="M62" s="91" t="str">
        <f t="shared" si="94"/>
        <v/>
      </c>
      <c r="N62" s="91">
        <f t="shared" ca="1" si="94"/>
        <v>0.34285179935882792</v>
      </c>
      <c r="O62" s="91">
        <f t="shared" ca="1" si="94"/>
        <v>0.34751951877658316</v>
      </c>
      <c r="P62" s="91" t="str">
        <f t="shared" si="94"/>
        <v/>
      </c>
      <c r="Q62" s="91">
        <f t="shared" ca="1" si="94"/>
        <v>0.34708127961272756</v>
      </c>
      <c r="R62" s="91">
        <f t="shared" ca="1" si="94"/>
        <v>0.29626239060059706</v>
      </c>
      <c r="S62" s="91">
        <f t="shared" ca="1" si="94"/>
        <v>0.3552252398663534</v>
      </c>
      <c r="T62" s="91">
        <f t="shared" ca="1" si="94"/>
        <v>0.33219712342678914</v>
      </c>
      <c r="U62" s="91">
        <f t="shared" ca="1" si="94"/>
        <v>0.35043546921927665</v>
      </c>
      <c r="V62" s="91">
        <f t="shared" ca="1" si="94"/>
        <v>0.36322677760139277</v>
      </c>
      <c r="W62" s="91">
        <f t="shared" ca="1" si="94"/>
        <v>0.35944267094607757</v>
      </c>
      <c r="X62" s="91">
        <f t="shared" ca="1" si="94"/>
        <v>0.47608312209919867</v>
      </c>
      <c r="Y62" s="91">
        <f t="shared" ca="1" si="94"/>
        <v>0.34656269770886555</v>
      </c>
      <c r="Z62" s="91">
        <f t="shared" ca="1" si="94"/>
        <v>0.44040911690278362</v>
      </c>
      <c r="AA62" s="91">
        <f t="shared" ca="1" si="94"/>
        <v>0.3777006122353932</v>
      </c>
      <c r="AB62" s="91">
        <f t="shared" ca="1" si="94"/>
        <v>0.40938815170084131</v>
      </c>
      <c r="AC62" s="91">
        <f t="shared" ca="1" si="94"/>
        <v>0.37673917845140703</v>
      </c>
      <c r="AD62" s="91">
        <f t="shared" ca="1" si="94"/>
        <v>0.32982058300492512</v>
      </c>
      <c r="AE62" s="91">
        <f t="shared" ca="1" si="94"/>
        <v>0.41724568503690745</v>
      </c>
      <c r="AF62" s="91">
        <f t="shared" ca="1" si="94"/>
        <v>0.38625980463961218</v>
      </c>
      <c r="AG62" s="91">
        <f t="shared" ca="1" si="94"/>
        <v>0.4656521745863354</v>
      </c>
      <c r="AH62" s="91">
        <f t="shared" ca="1" si="94"/>
        <v>0.55225411791741763</v>
      </c>
      <c r="AI62" s="91" t="str">
        <f t="shared" si="94"/>
        <v/>
      </c>
      <c r="AJ62" s="91">
        <f t="shared" ca="1" si="94"/>
        <v>0.3537810414321001</v>
      </c>
      <c r="AK62" s="91">
        <f t="shared" ca="1" si="94"/>
        <v>0.48657786829238558</v>
      </c>
      <c r="AL62" s="91">
        <f t="shared" ca="1" si="94"/>
        <v>0.56278639242610184</v>
      </c>
      <c r="AM62" s="91">
        <f t="shared" ca="1" si="94"/>
        <v>0.32382548398681943</v>
      </c>
      <c r="AN62" s="91">
        <f t="shared" ca="1" si="94"/>
        <v>0.35258540024344392</v>
      </c>
      <c r="AO62" s="213">
        <f ca="1">(MAX(AO57:AO61)+MIN(AO57:AO61))/2</f>
        <v>0.1585980515936628</v>
      </c>
    </row>
    <row r="63" spans="1:42">
      <c r="A63" s="91">
        <f ca="1">SUM(I63:AN67)</f>
        <v>-2.1171519221674373E-3</v>
      </c>
      <c r="B63" s="247"/>
      <c r="C63" s="242" t="str">
        <f>C75</f>
        <v>HI</v>
      </c>
      <c r="D63" s="64" t="str">
        <f t="shared" si="90"/>
        <v>A</v>
      </c>
      <c r="E63" s="213">
        <f ca="1">AO63-AO$68</f>
        <v>-0.26681364905614346</v>
      </c>
      <c r="F63" s="245"/>
      <c r="G63" s="245"/>
      <c r="H63" s="250">
        <f ca="1">P21*(1+A65)</f>
        <v>169.21052151384004</v>
      </c>
      <c r="I63" s="91" t="str">
        <f>IF(I$54,$H$63*data0!F434/$F18-1,"")</f>
        <v/>
      </c>
      <c r="J63" s="209" t="str">
        <f>IF(J$54,$H$63*data0!G434/$F18-1,"")</f>
        <v/>
      </c>
      <c r="K63" s="209">
        <f ca="1">IF(K$54,$H$63*data0!H434/$F18-1,"")</f>
        <v>-0.51811058378148966</v>
      </c>
      <c r="L63" s="209">
        <f ca="1">IF(L$54,$H$63*data0!I434/$F18-1,"")</f>
        <v>-0.4410082655452422</v>
      </c>
      <c r="M63" s="209" t="str">
        <f>IF(M$54,$H$63*data0!J434/$F18-1,"")</f>
        <v/>
      </c>
      <c r="N63" s="209">
        <f ca="1">IF(N$54,$H$63*data0!K434/$F18-1,"")</f>
        <v>2.1605565517434089E-2</v>
      </c>
      <c r="O63" s="209">
        <f ca="1">IF(O$54,$H$63*data0!L434/$F18-1,"")</f>
        <v>-0.19042577045484199</v>
      </c>
      <c r="P63" s="209" t="str">
        <f>IF(P$54,$H$63*data0!M434/$F18-1,"")</f>
        <v/>
      </c>
      <c r="Q63" s="209">
        <f ca="1">IF(Q$54,$H$63*data0!N434/$F18-1,"")</f>
        <v>-0.24366308329538588</v>
      </c>
      <c r="R63" s="209">
        <f ca="1">IF(R$54,$H$63*data0!O434/$F18-1,"")</f>
        <v>-4.6317889851984817E-2</v>
      </c>
      <c r="S63" s="209">
        <f ca="1">IF(S$54,$H$63*data0!P434/$F18-1,"")</f>
        <v>9.3200570511002168E-2</v>
      </c>
      <c r="T63" s="209">
        <f ca="1">IF(T$54,$H$63*data0!Q434/$F18-1,"")</f>
        <v>-0.26018500063633576</v>
      </c>
      <c r="U63" s="209">
        <f ca="1">IF(U$54,$H$63*data0!R434/$F18-1,"")</f>
        <v>4.8224227534477748E-2</v>
      </c>
      <c r="V63" s="209">
        <f ca="1">IF(V$54,$H$63*data0!S434/$F18-1,"")</f>
        <v>0.23455485046024038</v>
      </c>
      <c r="W63" s="209">
        <f ca="1">IF(W$54,$H$63*data0!T434/$F18-1,"")</f>
        <v>8.0350180407112726E-2</v>
      </c>
      <c r="X63" s="209">
        <f ca="1">IF(X$54,$H$63*data0!U434/$F18-1,"")</f>
        <v>0.58151518178145656</v>
      </c>
      <c r="Y63" s="209">
        <f ca="1">IF(Y$54,$H$63*data0!V434/$F18-1,"")</f>
        <v>-0.27119961592815056</v>
      </c>
      <c r="Z63" s="209">
        <f ca="1">IF(Z$54,$H$63*data0!W434/$F18-1,"")</f>
        <v>-0.352891354404268</v>
      </c>
      <c r="AA63" s="209">
        <f ca="1">IF(AA$54,$H$63*data0!X434/$F18-1,"")</f>
        <v>-0.29690038494238513</v>
      </c>
      <c r="AB63" s="209">
        <f ca="1">IF(AB$54,$H$63*data0!Y434/$F18-1,"")</f>
        <v>-0.1913436522641071</v>
      </c>
      <c r="AC63" s="209">
        <f ca="1">IF(AC$54,$H$63*data0!Z434/$F18-1,"")</f>
        <v>5.1895754771538849E-2</v>
      </c>
      <c r="AD63" s="209">
        <f ca="1">IF(AD$54,$H$63*data0!AA434/$F18-1,"")</f>
        <v>6.3828263066162183E-2</v>
      </c>
      <c r="AE63" s="209">
        <f ca="1">IF(AE$54,$H$63*data0!AB434/$F18-1,"")</f>
        <v>-0.49791711681639084</v>
      </c>
      <c r="AF63" s="209">
        <f ca="1">IF(AF$54,$H$63*data0!AC434/$F18-1,"")</f>
        <v>-0.28680366265337931</v>
      </c>
      <c r="AG63" s="209">
        <f ca="1">IF(AG$54,$H$63*data0!AD434/$F18-1,"")</f>
        <v>-0.43917250192671176</v>
      </c>
      <c r="AH63" s="209">
        <f ca="1">IF(AH$54,$H$63*data0!AE434/$F18-1,"")</f>
        <v>-0.71545577722489007</v>
      </c>
      <c r="AI63" s="209" t="str">
        <f>IF(AI$54,$H$63*data0!AF434/$F18-1,"")</f>
        <v/>
      </c>
      <c r="AJ63" s="209">
        <f ca="1">IF(AJ$54,$H$63*data0!AG434/$F18-1,"")</f>
        <v>0.22354023516842525</v>
      </c>
      <c r="AK63" s="209">
        <f ca="1">IF(AK$54,$H$63*data0!AH434/$F18-1,"")</f>
        <v>-0.45018711721852689</v>
      </c>
      <c r="AL63" s="209">
        <f ca="1">IF(AL$54,$H$63*data0!AI434/$F18-1,"")</f>
        <v>0.69074345289033934</v>
      </c>
      <c r="AM63" s="209">
        <f ca="1">IF(AM$54,$H$63*data0!AJ434/$F18-1,"")</f>
        <v>-0.11424135641494804</v>
      </c>
      <c r="AN63" s="209">
        <f ca="1">IF(AN$54,$H$63*data0!AK434/$F18-1,"")</f>
        <v>0.25566619923460454</v>
      </c>
      <c r="AO63" s="213">
        <f ca="1">AVERAGE(I63:AN63)</f>
        <v>-0.11002587600060162</v>
      </c>
      <c r="AP63" s="213">
        <f ca="1">STDEV(I63:AN63)</f>
        <v>0.33313077162678983</v>
      </c>
    </row>
    <row r="64" spans="1:42">
      <c r="A64" s="159">
        <v>8496</v>
      </c>
      <c r="B64" s="247"/>
      <c r="C64" s="242"/>
      <c r="D64" s="64" t="str">
        <f t="shared" si="90"/>
        <v>U30</v>
      </c>
      <c r="E64" s="213">
        <f t="shared" ref="E64:E67" ca="1" si="95">AO64-AO$68</f>
        <v>-0.30763805749883855</v>
      </c>
      <c r="F64" s="245">
        <f ca="1">AVERAGE(I68:AN68)</f>
        <v>0.38845650610919691</v>
      </c>
      <c r="G64" s="245">
        <f ca="1">STDEV(I68:AN68)</f>
        <v>7.5248754773681051E-2</v>
      </c>
      <c r="H64" s="250"/>
      <c r="I64" s="209" t="str">
        <f>IF(I$54,$H$63*data0!F435/$F19-1,"")</f>
        <v/>
      </c>
      <c r="J64" s="209" t="str">
        <f>IF(J$54,$H$63*data0!G435/$F19-1,"")</f>
        <v/>
      </c>
      <c r="K64" s="209">
        <f ca="1">IF(K$54,$H$63*data0!H435/$F19-1,"")</f>
        <v>-0.12779966672136933</v>
      </c>
      <c r="L64" s="209">
        <f ca="1">IF(L$54,$H$63*data0!I435/$F19-1,"")</f>
        <v>-3.3188105145382285E-2</v>
      </c>
      <c r="M64" s="209" t="str">
        <f>IF(M$54,$H$63*data0!J435/$F19-1,"")</f>
        <v/>
      </c>
      <c r="N64" s="209">
        <f ca="1">IF(N$54,$H$63*data0!K435/$F19-1,"")</f>
        <v>-0.12632136107174463</v>
      </c>
      <c r="O64" s="209">
        <f ca="1">IF(O$54,$H$63*data0!L435/$F19-1,"")</f>
        <v>-0.12632136107174463</v>
      </c>
      <c r="P64" s="209" t="str">
        <f>IF(P$54,$H$63*data0!M435/$F19-1,"")</f>
        <v/>
      </c>
      <c r="Q64" s="209">
        <f ca="1">IF(Q$54,$H$63*data0!N435/$F19-1,"")</f>
        <v>-0.12632136107174463</v>
      </c>
      <c r="R64" s="209">
        <f ca="1">IF(R$54,$H$63*data0!O435/$F19-1,"")</f>
        <v>-0.15736577971386534</v>
      </c>
      <c r="S64" s="209">
        <f ca="1">IF(S$54,$H$63*data0!P435/$F19-1,"")</f>
        <v>-0.25197734128985227</v>
      </c>
      <c r="T64" s="209">
        <f ca="1">IF(T$54,$H$63*data0!Q435/$F19-1,"")</f>
        <v>-0.21945461699810687</v>
      </c>
      <c r="U64" s="209">
        <f ca="1">IF(U$54,$H$63*data0!R435/$F19-1,"")</f>
        <v>-0.3140661785740938</v>
      </c>
      <c r="V64" s="209">
        <f ca="1">IF(V$54,$H$63*data0!S435/$F19-1,"")</f>
        <v>-0.21945461699810687</v>
      </c>
      <c r="W64" s="209">
        <f ca="1">IF(W$54,$H$63*data0!T435/$F19-1,"")</f>
        <v>-0.22093292264773157</v>
      </c>
      <c r="X64" s="209">
        <f ca="1">IF(X$54,$H$63*data0!U435/$F19-1,"")</f>
        <v>-0.34363229156658981</v>
      </c>
      <c r="Y64" s="209">
        <f ca="1">IF(Y$54,$H$63*data0!V435/$F19-1,"")</f>
        <v>-0.15736577971386534</v>
      </c>
      <c r="Z64" s="209">
        <f ca="1">IF(Z$54,$H$63*data0!W435/$F19-1,"")</f>
        <v>-3.3188105145382285E-2</v>
      </c>
      <c r="AA64" s="209">
        <f ca="1">IF(AA$54,$H$63*data0!X435/$F19-1,"")</f>
        <v>-0.12632136107174463</v>
      </c>
      <c r="AB64" s="209">
        <f ca="1">IF(AB$54,$H$63*data0!Y435/$F19-1,"")</f>
        <v>0.12203398806522148</v>
      </c>
      <c r="AC64" s="209">
        <f ca="1">IF(AC$54,$H$63*data0!Z435/$F19-1,"")</f>
        <v>-3.3188105145382285E-2</v>
      </c>
      <c r="AD64" s="209">
        <f ca="1">IF(AD$54,$H$63*data0!AA435/$F19-1,"")</f>
        <v>-0.22093292264773157</v>
      </c>
      <c r="AE64" s="209">
        <f ca="1">IF(AE$54,$H$63*data0!AB435/$F19-1,"")</f>
        <v>-9.5276942429623923E-2</v>
      </c>
      <c r="AF64" s="209">
        <f ca="1">IF(AF$54,$H$63*data0!AC435/$F19-1,"")</f>
        <v>-6.4232523787502882E-2</v>
      </c>
      <c r="AG64" s="209">
        <f ca="1">IF(AG$54,$H$63*data0!AD435/$F19-1,"")</f>
        <v>-9.3798636779999001E-2</v>
      </c>
      <c r="AH64" s="209">
        <f ca="1">IF(AH$54,$H$63*data0!AE435/$F19-1,"")</f>
        <v>-3.3188105145382285E-2</v>
      </c>
      <c r="AI64" s="209" t="str">
        <f>IF(AI$54,$H$63*data0!AF435/$F19-1,"")</f>
        <v/>
      </c>
      <c r="AJ64" s="209">
        <f ca="1">IF(AJ$54,$H$63*data0!AG435/$F19-1,"")</f>
        <v>-0.28302175993197298</v>
      </c>
      <c r="AK64" s="209">
        <f ca="1">IF(AK$54,$H$63*data0!AH435/$F19-1,"")</f>
        <v>-3.3188105145382285E-2</v>
      </c>
      <c r="AL64" s="209">
        <f ca="1">IF(AL$54,$H$63*data0!AI435/$F19-1,"")</f>
        <v>-0.37615501585833522</v>
      </c>
      <c r="AM64" s="209">
        <f ca="1">IF(AM$54,$H$63*data0!AJ435/$F19-1,"")</f>
        <v>-9.5276942429623923E-2</v>
      </c>
      <c r="AN64" s="209">
        <f ca="1">IF(AN$54,$H$63*data0!AK435/$F19-1,"")</f>
        <v>-0.28302175993197298</v>
      </c>
      <c r="AO64" s="213">
        <f t="shared" ref="AO64:AO67" ca="1" si="96">AVERAGE(I64:AN64)</f>
        <v>-0.15085028444329673</v>
      </c>
      <c r="AP64" s="213">
        <f t="shared" ref="AP64:AP67" ca="1" si="97">STDEV(I64:AN64)</f>
        <v>0.11479297214159656</v>
      </c>
    </row>
    <row r="65" spans="1:45">
      <c r="A65" s="213">
        <f>IF(balance,50%*(A64-10000)/10000,0)</f>
        <v>-7.5200000000000003E-2</v>
      </c>
      <c r="B65" s="247"/>
      <c r="C65" s="242"/>
      <c r="D65" s="64" t="str">
        <f t="shared" si="90"/>
        <v>U35</v>
      </c>
      <c r="E65" s="213">
        <f t="shared" ca="1" si="95"/>
        <v>-0.21376190140154439</v>
      </c>
      <c r="F65" s="245"/>
      <c r="G65" s="245"/>
      <c r="H65" s="250"/>
      <c r="I65" s="209" t="str">
        <f>IF(I$54,$H$63*data0!F436/$F20-1,"")</f>
        <v/>
      </c>
      <c r="J65" s="209" t="str">
        <f>IF(J$54,$H$63*data0!G436/$F20-1,"")</f>
        <v/>
      </c>
      <c r="K65" s="209">
        <f ca="1">IF(K$54,$H$63*data0!H436/$F20-1,"")</f>
        <v>-3.3216053479786956E-2</v>
      </c>
      <c r="L65" s="209">
        <f ca="1">IF(L$54,$H$63*data0!I436/$F20-1,"")</f>
        <v>6.4531454541213895E-2</v>
      </c>
      <c r="M65" s="209" t="str">
        <f>IF(M$54,$H$63*data0!J436/$F20-1,"")</f>
        <v/>
      </c>
      <c r="N65" s="209">
        <f ca="1">IF(N$54,$H$63*data0!K436/$F20-1,"")</f>
        <v>-3.3216053479786956E-2</v>
      </c>
      <c r="O65" s="209">
        <f ca="1">IF(O$54,$H$63*data0!L436/$F20-1,"")</f>
        <v>-1.1426524103961277E-3</v>
      </c>
      <c r="P65" s="209" t="str">
        <f>IF(P$54,$H$63*data0!M436/$F20-1,"")</f>
        <v/>
      </c>
      <c r="Q65" s="209">
        <f ca="1">IF(Q$54,$H$63*data0!N436/$F20-1,"")</f>
        <v>-3.3216053479786956E-2</v>
      </c>
      <c r="R65" s="209">
        <f ca="1">IF(R$54,$H$63*data0!O436/$F20-1,"")</f>
        <v>-6.5289454549178116E-2</v>
      </c>
      <c r="S65" s="209">
        <f ca="1">IF(S$54,$H$63*data0!P436/$F20-1,"")</f>
        <v>-0.16303696257017897</v>
      </c>
      <c r="T65" s="209">
        <f ca="1">IF(T$54,$H$63*data0!Q436/$F20-1,"")</f>
        <v>-0.12943625668795999</v>
      </c>
      <c r="U65" s="209">
        <f ca="1">IF(U$54,$H$63*data0!R436/$F20-1,"")</f>
        <v>-0.22565645989613281</v>
      </c>
      <c r="V65" s="209">
        <f ca="1">IF(V$54,$H$63*data0!S436/$F20-1,"")</f>
        <v>-0.12943625668795999</v>
      </c>
      <c r="W65" s="209">
        <f ca="1">IF(W$54,$H$63*data0!T436/$F20-1,"")</f>
        <v>-0.13096356150078803</v>
      </c>
      <c r="X65" s="209">
        <f ca="1">IF(X$54,$H$63*data0!U436/$F20-1,"")</f>
        <v>-0.25925716577835178</v>
      </c>
      <c r="Y65" s="209">
        <f ca="1">IF(Y$54,$H$63*data0!V436/$F20-1,"")</f>
        <v>-6.5289454549178116E-2</v>
      </c>
      <c r="Z65" s="209">
        <f ca="1">IF(Z$54,$H$63*data0!W436/$F20-1,"")</f>
        <v>9.50775507977768E-2</v>
      </c>
      <c r="AA65" s="209">
        <f ca="1">IF(AA$54,$H$63*data0!X436/$F20-1,"")</f>
        <v>-3.3216053479786956E-2</v>
      </c>
      <c r="AB65" s="209">
        <f ca="1">IF(AB$54,$H$63*data0!Y436/$F20-1,"")</f>
        <v>0.2248984598881687</v>
      </c>
      <c r="AC65" s="209">
        <f ca="1">IF(AC$54,$H$63*data0!Z436/$F20-1,"")</f>
        <v>6.3004149728385972E-2</v>
      </c>
      <c r="AD65" s="209">
        <f ca="1">IF(AD$54,$H$63*data0!AA436/$F20-1,"")</f>
        <v>-0.13096356150078803</v>
      </c>
      <c r="AE65" s="209">
        <f ca="1">IF(AE$54,$H$63*data0!AB436/$F20-1,"")</f>
        <v>-1.1426524103961277E-3</v>
      </c>
      <c r="AF65" s="209">
        <f ca="1">IF(AF$54,$H$63*data0!AC436/$F20-1,"")</f>
        <v>3.0930748658994922E-2</v>
      </c>
      <c r="AG65" s="209">
        <f ca="1">IF(AG$54,$H$63*data0!AD436/$F20-1,"")</f>
        <v>3.0930748658994922E-2</v>
      </c>
      <c r="AH65" s="209">
        <f ca="1">IF(AH$54,$H$63*data0!AE436/$F20-1,"")</f>
        <v>6.4531454541213895E-2</v>
      </c>
      <c r="AI65" s="209" t="str">
        <f>IF(AI$54,$H$63*data0!AF436/$F20-1,"")</f>
        <v/>
      </c>
      <c r="AJ65" s="209">
        <f ca="1">IF(AJ$54,$H$63*data0!AG436/$F20-1,"")</f>
        <v>-0.22565645989613281</v>
      </c>
      <c r="AK65" s="209">
        <f ca="1">IF(AK$54,$H$63*data0!AH436/$F20-1,"")</f>
        <v>6.4531454541213895E-2</v>
      </c>
      <c r="AL65" s="209">
        <f ca="1">IF(AL$54,$H$63*data0!AI436/$F20-1,"")</f>
        <v>-0.32187666310430563</v>
      </c>
      <c r="AM65" s="209">
        <f ca="1">IF(AM$54,$H$63*data0!AJ436/$F20-1,"")</f>
        <v>3.8465240243201748E-4</v>
      </c>
      <c r="AN65" s="209">
        <f ca="1">IF(AN$54,$H$63*data0!AK436/$F20-1,"")</f>
        <v>-0.19511036363956991</v>
      </c>
      <c r="AO65" s="213">
        <f t="shared" ca="1" si="96"/>
        <v>-5.6974128346002566E-2</v>
      </c>
      <c r="AP65" s="213">
        <f t="shared" ca="1" si="97"/>
        <v>0.12533232700755242</v>
      </c>
    </row>
    <row r="66" spans="1:45">
      <c r="B66" s="247"/>
      <c r="C66" s="242"/>
      <c r="D66" s="64" t="str">
        <f t="shared" si="90"/>
        <v>CWF</v>
      </c>
      <c r="E66" s="213">
        <f t="shared" ca="1" si="95"/>
        <v>-0.30344172785417578</v>
      </c>
      <c r="F66" s="245"/>
      <c r="G66" s="245"/>
      <c r="H66" s="250"/>
      <c r="I66" s="209" t="str">
        <f>IF(I$54,$H$63*data0!F437/$F21-1,"")</f>
        <v/>
      </c>
      <c r="J66" s="209" t="str">
        <f>IF(J$54,$H$63*data0!G437/$F21-1,"")</f>
        <v/>
      </c>
      <c r="K66" s="209">
        <f ca="1">IF(K$54,$H$63*data0!H437/$F21-1,"")</f>
        <v>-0.15770260884922283</v>
      </c>
      <c r="L66" s="209">
        <f ca="1">IF(L$54,$H$63*data0!I437/$F21-1,"")</f>
        <v>-2.3700751166144784E-2</v>
      </c>
      <c r="M66" s="209" t="str">
        <f>IF(M$54,$H$63*data0!J437/$F21-1,"")</f>
        <v/>
      </c>
      <c r="N66" s="209">
        <f ca="1">IF(N$54,$H$63*data0!K437/$F21-1,"")</f>
        <v>-0.12420214442845334</v>
      </c>
      <c r="O66" s="209">
        <f ca="1">IF(O$54,$H$63*data0!L437/$F21-1,"")</f>
        <v>-0.12420214442845334</v>
      </c>
      <c r="P66" s="209" t="str">
        <f>IF(P$54,$H$63*data0!M437/$F21-1,"")</f>
        <v/>
      </c>
      <c r="Q66" s="209">
        <f ca="1">IF(Q$54,$H$63*data0!N437/$F21-1,"")</f>
        <v>-0.12420214442845334</v>
      </c>
      <c r="R66" s="209">
        <f ca="1">IF(R$54,$H$63*data0!O437/$F21-1,"")</f>
        <v>-0.15770260884922283</v>
      </c>
      <c r="S66" s="209">
        <f ca="1">IF(S$54,$H$63*data0!P437/$F21-1,"")</f>
        <v>-0.22629879790127472</v>
      </c>
      <c r="T66" s="209">
        <f ca="1">IF(T$54,$H$63*data0!Q437/$F21-1,"")</f>
        <v>-0.2247035376907619</v>
      </c>
      <c r="U66" s="209">
        <f ca="1">IF(U$54,$H$63*data0!R437/$F21-1,"")</f>
        <v>-0.29329972674281379</v>
      </c>
      <c r="V66" s="209">
        <f ca="1">IF(V$54,$H$63*data0!S437/$F21-1,"")</f>
        <v>-0.19279833348050512</v>
      </c>
      <c r="W66" s="209">
        <f ca="1">IF(W$54,$H$63*data0!T437/$F21-1,"")</f>
        <v>-0.2247035376907619</v>
      </c>
      <c r="X66" s="209">
        <f ca="1">IF(X$54,$H$63*data0!U437/$F21-1,"")</f>
        <v>-0.32520493095307046</v>
      </c>
      <c r="Y66" s="209">
        <f ca="1">IF(Y$54,$H$63*data0!V437/$F21-1,"")</f>
        <v>-0.15770260884922283</v>
      </c>
      <c r="Z66" s="209">
        <f ca="1">IF(Z$54,$H$63*data0!W437/$F21-1,"")</f>
        <v>-2.3700751166144784E-2</v>
      </c>
      <c r="AA66" s="209">
        <f ca="1">IF(AA$54,$H$63*data0!X437/$F21-1,"")</f>
        <v>-0.12420214442845334</v>
      </c>
      <c r="AB66" s="209">
        <f ca="1">IF(AB$54,$H$63*data0!Y437/$F21-1,"")</f>
        <v>7.8395902306676923E-2</v>
      </c>
      <c r="AC66" s="209">
        <f ca="1">IF(AC$54,$H$63*data0!Z437/$F21-1,"")</f>
        <v>-2.3700751166144784E-2</v>
      </c>
      <c r="AD66" s="209">
        <f ca="1">IF(AD$54,$H$63*data0!AA437/$F21-1,"")</f>
        <v>-0.2247035376907619</v>
      </c>
      <c r="AE66" s="209">
        <f ca="1">IF(AE$54,$H$63*data0!AB437/$F21-1,"")</f>
        <v>-9.070168000768386E-2</v>
      </c>
      <c r="AF66" s="209">
        <f ca="1">IF(AF$54,$H$63*data0!AC437/$F21-1,"")</f>
        <v>-5.7201215586914267E-2</v>
      </c>
      <c r="AG66" s="209">
        <f ca="1">IF(AG$54,$H$63*data0!AD437/$F21-1,"")</f>
        <v>-8.9106419797170711E-2</v>
      </c>
      <c r="AH66" s="209">
        <f ca="1">IF(AH$54,$H$63*data0!AE437/$F21-1,"")</f>
        <v>-2.3700751166144784E-2</v>
      </c>
      <c r="AI66" s="209" t="str">
        <f>IF(AI$54,$H$63*data0!AF437/$F21-1,"")</f>
        <v/>
      </c>
      <c r="AJ66" s="209">
        <f ca="1">IF(AJ$54,$H$63*data0!AG437/$F21-1,"")</f>
        <v>-0.29170446653230098</v>
      </c>
      <c r="AK66" s="209">
        <f ca="1">IF(AK$54,$H$63*data0!AH437/$F21-1,"")</f>
        <v>-2.2105490955631857E-2</v>
      </c>
      <c r="AL66" s="209">
        <f ca="1">IF(AL$54,$H$63*data0!AI437/$F21-1,"")</f>
        <v>-0.36030065558435298</v>
      </c>
      <c r="AM66" s="209">
        <f ca="1">IF(AM$54,$H$63*data0!AJ437/$F21-1,"")</f>
        <v>-9.070168000768386E-2</v>
      </c>
      <c r="AN66" s="209">
        <f ca="1">IF(AN$54,$H$63*data0!AK437/$F21-1,"")</f>
        <v>-0.2597992623220442</v>
      </c>
      <c r="AO66" s="213">
        <f t="shared" ca="1" si="96"/>
        <v>-0.14665395479863394</v>
      </c>
      <c r="AP66" s="213">
        <f t="shared" ca="1" si="97"/>
        <v>0.10852273295330163</v>
      </c>
    </row>
    <row r="67" spans="1:45">
      <c r="B67" s="247"/>
      <c r="C67" s="242"/>
      <c r="D67" s="64" t="str">
        <f t="shared" si="90"/>
        <v>D65</v>
      </c>
      <c r="E67" s="213">
        <f t="shared" ca="1" si="95"/>
        <v>0.30763805749883855</v>
      </c>
      <c r="F67" s="245"/>
      <c r="G67" s="245"/>
      <c r="H67" s="250"/>
      <c r="I67" s="209" t="str">
        <f>IF(I$54,$H$63*data0!F438/$F22-1,"")</f>
        <v/>
      </c>
      <c r="J67" s="209" t="str">
        <f>IF(J$54,$H$63*data0!G438/$F22-1,"")</f>
        <v/>
      </c>
      <c r="K67" s="209">
        <f ca="1">IF(K$54,$H$63*data0!H438/$F22-1,"")</f>
        <v>0.30258589922426848</v>
      </c>
      <c r="L67" s="209">
        <f ca="1">IF(L$54,$H$63*data0!I438/$F22-1,"")</f>
        <v>0.52686237143392334</v>
      </c>
      <c r="M67" s="209" t="str">
        <f>IF(M$54,$H$63*data0!J438/$F22-1,"")</f>
        <v/>
      </c>
      <c r="N67" s="209">
        <f ca="1">IF(N$54,$H$63*data0!K438/$F22-1,"")</f>
        <v>0.52092127271239086</v>
      </c>
      <c r="O67" s="209">
        <f ca="1">IF(O$54,$H$63*data0!L438/$F22-1,"")</f>
        <v>0.46002501534488749</v>
      </c>
      <c r="P67" s="209" t="str">
        <f>IF(P$54,$H$63*data0!M438/$F22-1,"")</f>
        <v/>
      </c>
      <c r="Q67" s="209">
        <f ca="1">IF(Q$54,$H$63*data0!N438/$F22-1,"")</f>
        <v>0.49121577910472669</v>
      </c>
      <c r="R67" s="209">
        <f ca="1">IF(R$54,$H$63*data0!O438/$F22-1,"")</f>
        <v>0.45705446598412092</v>
      </c>
      <c r="S67" s="209">
        <f ca="1">IF(S$54,$H$63*data0!P438/$F22-1,"")</f>
        <v>0.45111336726258799</v>
      </c>
      <c r="T67" s="209">
        <f ca="1">IF(T$54,$H$63*data0!Q438/$F22-1,"")</f>
        <v>0.36051160723100573</v>
      </c>
      <c r="U67" s="209">
        <f ca="1">IF(U$54,$H$63*data0!R438/$F22-1,"")</f>
        <v>0.35605578771806368</v>
      </c>
      <c r="V67" s="209">
        <f ca="1">IF(V$54,$H$63*data0!S438/$F22-1,"")</f>
        <v>0.51498017399085794</v>
      </c>
      <c r="W67" s="209">
        <f ca="1">IF(W$54,$H$63*data0!T438/$F22-1,"")</f>
        <v>0.45408391662335434</v>
      </c>
      <c r="X67" s="209">
        <f ca="1">IF(X$54,$H$63*data0!U438/$F22-1,"")</f>
        <v>0.47636303230089494</v>
      </c>
      <c r="Y67" s="209">
        <f ca="1">IF(Y$54,$H$63*data0!V438/$F22-1,"")</f>
        <v>0.39467292940802667</v>
      </c>
      <c r="Z67" s="209">
        <f ca="1">IF(Z$54,$H$63*data0!W438/$F22-1,"")</f>
        <v>0.52537710128174764</v>
      </c>
      <c r="AA67" s="209">
        <f ca="1">IF(AA$54,$H$63*data0!X438/$F22-1,"")</f>
        <v>0.39318765019943602</v>
      </c>
      <c r="AB67" s="209">
        <f ca="1">IF(AB$54,$H$63*data0!Y438/$F22-1,"")</f>
        <v>0.72143344965647782</v>
      </c>
      <c r="AC67" s="209">
        <f ca="1">IF(AC$54,$H$63*data0!Z438/$F22-1,"")</f>
        <v>0.65014017443393612</v>
      </c>
      <c r="AD67" s="209">
        <f ca="1">IF(AD$54,$H$63*data0!AA438/$F22-1,"")</f>
        <v>0.42140787365492405</v>
      </c>
      <c r="AE67" s="209">
        <f ca="1">IF(AE$54,$H$63*data0!AB438/$F22-1,"")</f>
        <v>0.33377666298410813</v>
      </c>
      <c r="AF67" s="209">
        <f ca="1">IF(AF$54,$H$63*data0!AC438/$F22-1,"")</f>
        <v>0.45853973613629639</v>
      </c>
      <c r="AG67" s="209">
        <f ca="1">IF(AG$54,$H$63*data0!AD438/$F22-1,"")</f>
        <v>0.46596611406641975</v>
      </c>
      <c r="AH67" s="209">
        <f ca="1">IF(AH$54,$H$63*data0!AE438/$F22-1,"")</f>
        <v>0.44071643997169829</v>
      </c>
      <c r="AI67" s="209" t="str">
        <f>IF(AI$54,$H$63*data0!AF438/$F22-1,"")</f>
        <v/>
      </c>
      <c r="AJ67" s="209">
        <f ca="1">IF(AJ$54,$H$63*data0!AG438/$F22-1,"")</f>
        <v>0.38724655147790332</v>
      </c>
      <c r="AK67" s="209">
        <f ca="1">IF(AK$54,$H$63*data0!AH438/$F22-1,"")</f>
        <v>0.56399424297171064</v>
      </c>
      <c r="AL67" s="209">
        <f ca="1">IF(AL$54,$H$63*data0!AI438/$F22-1,"")</f>
        <v>0.47487776214871902</v>
      </c>
      <c r="AM67" s="209">
        <f ca="1">IF(AM$54,$H$63*data0!AJ438/$F22-1,"")</f>
        <v>0.52092127271239086</v>
      </c>
      <c r="AN67" s="209">
        <f ca="1">IF(AN$54,$H$63*data0!AK438/$F22-1,"")</f>
        <v>0.41546677493339113</v>
      </c>
      <c r="AO67" s="213">
        <f t="shared" ca="1" si="96"/>
        <v>0.46442583055438036</v>
      </c>
      <c r="AP67" s="213">
        <f t="shared" ca="1" si="97"/>
        <v>9.0910731746134982E-2</v>
      </c>
    </row>
    <row r="68" spans="1:45">
      <c r="B68" s="247"/>
      <c r="C68" s="242"/>
      <c r="D68" s="64" t="str">
        <f>D62</f>
        <v>No D65</v>
      </c>
      <c r="E68" s="213">
        <f ca="1">(MAX(E63:E66)-MIN(E63:E66))/2</f>
        <v>4.6938078048647081E-2</v>
      </c>
      <c r="F68" s="245"/>
      <c r="G68" s="245"/>
      <c r="H68" s="250"/>
      <c r="I68" s="91" t="str">
        <f>IF(I$54,(MAX(I63:I67)-MIN(I63:I67))/2,"")</f>
        <v/>
      </c>
      <c r="J68" s="91" t="str">
        <f t="shared" ref="J68:AN68" si="98">IF(J$54,(MAX(J63:J67)-MIN(J63:J67))/2,"")</f>
        <v/>
      </c>
      <c r="K68" s="91">
        <f t="shared" ca="1" si="98"/>
        <v>0.41034824150287907</v>
      </c>
      <c r="L68" s="91">
        <f t="shared" ca="1" si="98"/>
        <v>0.48393531848958277</v>
      </c>
      <c r="M68" s="91" t="str">
        <f t="shared" si="98"/>
        <v/>
      </c>
      <c r="N68" s="91">
        <f t="shared" ca="1" si="98"/>
        <v>0.32362131689206775</v>
      </c>
      <c r="O68" s="91">
        <f t="shared" ca="1" si="98"/>
        <v>0.32522539289986474</v>
      </c>
      <c r="P68" s="91" t="str">
        <f t="shared" si="98"/>
        <v/>
      </c>
      <c r="Q68" s="91">
        <f t="shared" ca="1" si="98"/>
        <v>0.36743943120005629</v>
      </c>
      <c r="R68" s="91">
        <f t="shared" ca="1" si="98"/>
        <v>0.30737853741667187</v>
      </c>
      <c r="S68" s="91">
        <f t="shared" ca="1" si="98"/>
        <v>0.35154535427622013</v>
      </c>
      <c r="T68" s="91">
        <f t="shared" ca="1" si="98"/>
        <v>0.31034830393367074</v>
      </c>
      <c r="U68" s="91">
        <f t="shared" ca="1" si="98"/>
        <v>0.33506098314607874</v>
      </c>
      <c r="V68" s="91">
        <f t="shared" ca="1" si="98"/>
        <v>0.3672173954944824</v>
      </c>
      <c r="W68" s="91">
        <f t="shared" ca="1" si="98"/>
        <v>0.33939372715705812</v>
      </c>
      <c r="X68" s="91">
        <f t="shared" ca="1" si="98"/>
        <v>0.46257373667402318</v>
      </c>
      <c r="Y68" s="91">
        <f t="shared" ca="1" si="98"/>
        <v>0.33293627266808862</v>
      </c>
      <c r="Z68" s="91">
        <f t="shared" ca="1" si="98"/>
        <v>0.43913422784300782</v>
      </c>
      <c r="AA68" s="91">
        <f t="shared" ca="1" si="98"/>
        <v>0.34504401757091058</v>
      </c>
      <c r="AB68" s="91">
        <f t="shared" ca="1" si="98"/>
        <v>0.45638855096029246</v>
      </c>
      <c r="AC68" s="91">
        <f t="shared" ca="1" si="98"/>
        <v>0.3416641397896592</v>
      </c>
      <c r="AD68" s="91">
        <f t="shared" ca="1" si="98"/>
        <v>0.32305570567284297</v>
      </c>
      <c r="AE68" s="91">
        <f t="shared" ca="1" si="98"/>
        <v>0.41584688990024948</v>
      </c>
      <c r="AF68" s="91">
        <f t="shared" ca="1" si="98"/>
        <v>0.37267169939483785</v>
      </c>
      <c r="AG68" s="91">
        <f t="shared" ca="1" si="98"/>
        <v>0.45256930799656575</v>
      </c>
      <c r="AH68" s="91">
        <f t="shared" ca="1" si="98"/>
        <v>0.57808610859829423</v>
      </c>
      <c r="AI68" s="91" t="str">
        <f t="shared" si="98"/>
        <v/>
      </c>
      <c r="AJ68" s="91">
        <f t="shared" ca="1" si="98"/>
        <v>0.33947550900510215</v>
      </c>
      <c r="AK68" s="91">
        <f t="shared" ca="1" si="98"/>
        <v>0.50709068009511871</v>
      </c>
      <c r="AL68" s="91">
        <f t="shared" ca="1" si="98"/>
        <v>0.53344923437433733</v>
      </c>
      <c r="AM68" s="91">
        <f t="shared" ca="1" si="98"/>
        <v>0.31758131456366945</v>
      </c>
      <c r="AN68" s="91">
        <f t="shared" ca="1" si="98"/>
        <v>0.34924426743268205</v>
      </c>
      <c r="AO68" s="213">
        <f ca="1">(MAX(AO63:AO67)+MIN(AO63:AO67))/2</f>
        <v>0.15678777305554181</v>
      </c>
    </row>
    <row r="69" spans="1:45">
      <c r="A69" s="91">
        <f>SUM(I69:AN73)</f>
        <v>-1.3033259160888377E-4</v>
      </c>
      <c r="B69" s="249" t="s">
        <v>119</v>
      </c>
      <c r="C69" s="242" t="str">
        <f>C81</f>
        <v>LO</v>
      </c>
      <c r="D69" s="64" t="str">
        <f>B12</f>
        <v>A</v>
      </c>
      <c r="E69" s="213">
        <f>AO69-AO$74</f>
        <v>0.16350791701997186</v>
      </c>
      <c r="F69" s="245">
        <f>AVERAGE(I74:AN74)</f>
        <v>0.62611175494430382</v>
      </c>
      <c r="G69" s="245">
        <f>STDEV(I74:AN74)</f>
        <v>1.153166041151255</v>
      </c>
      <c r="H69" s="250">
        <f>R29*(1+A71)</f>
        <v>300.40366906227416</v>
      </c>
      <c r="I69" s="91" t="str">
        <f t="shared" ref="I69" si="99">I123</f>
        <v/>
      </c>
      <c r="J69" s="91" t="str">
        <f t="shared" ref="J69:AN69" si="100">J123</f>
        <v/>
      </c>
      <c r="K69" s="91">
        <f t="shared" si="100"/>
        <v>-2.0606968270813613</v>
      </c>
      <c r="L69" s="91">
        <f t="shared" si="100"/>
        <v>-1.7109018664237339</v>
      </c>
      <c r="M69" s="91" t="str">
        <f t="shared" si="100"/>
        <v/>
      </c>
      <c r="N69" s="91">
        <f t="shared" si="100"/>
        <v>0.19954149887011363</v>
      </c>
      <c r="O69" s="91">
        <f t="shared" si="100"/>
        <v>-0.15697967757629017</v>
      </c>
      <c r="P69" s="91" t="str">
        <f t="shared" si="100"/>
        <v/>
      </c>
      <c r="Q69" s="91">
        <f t="shared" si="100"/>
        <v>-0.43443071521271936</v>
      </c>
      <c r="R69" s="91">
        <f t="shared" si="100"/>
        <v>6.9030097309113914E-2</v>
      </c>
      <c r="S69" s="91">
        <f t="shared" si="100"/>
        <v>0.26014274921426239</v>
      </c>
      <c r="T69" s="91">
        <f t="shared" si="100"/>
        <v>-0.17937593124816487</v>
      </c>
      <c r="U69" s="91">
        <f t="shared" si="100"/>
        <v>0.29861581376199364</v>
      </c>
      <c r="V69" s="91">
        <f t="shared" si="100"/>
        <v>0.36101854623497243</v>
      </c>
      <c r="W69" s="91">
        <f t="shared" si="100"/>
        <v>0.25495758877456931</v>
      </c>
      <c r="X69" s="91">
        <f t="shared" si="100"/>
        <v>0.55933955495352139</v>
      </c>
      <c r="Y69" s="91">
        <f t="shared" si="100"/>
        <v>-0.24994016744871339</v>
      </c>
      <c r="Z69" s="91">
        <f t="shared" si="100"/>
        <v>-0.69592375149914809</v>
      </c>
      <c r="AA69" s="91">
        <f t="shared" si="100"/>
        <v>-0.32268221368321526</v>
      </c>
      <c r="AB69" s="91">
        <f t="shared" si="100"/>
        <v>-0.61235558587882255</v>
      </c>
      <c r="AC69" s="91">
        <f t="shared" si="100"/>
        <v>0.2467845701600162</v>
      </c>
      <c r="AD69" s="91">
        <f t="shared" si="100"/>
        <v>0.26099660430763516</v>
      </c>
      <c r="AE69" s="91">
        <f t="shared" si="100"/>
        <v>-1.8099111457770052</v>
      </c>
      <c r="AF69" s="91">
        <f t="shared" si="100"/>
        <v>-0.39756790667915065</v>
      </c>
      <c r="AG69" s="91">
        <f t="shared" si="100"/>
        <v>-1.7148409621103911</v>
      </c>
      <c r="AH69" s="91">
        <f t="shared" si="100"/>
        <v>11.900802441914049</v>
      </c>
      <c r="AI69" s="91" t="str">
        <f t="shared" si="100"/>
        <v/>
      </c>
      <c r="AJ69" s="91">
        <f t="shared" si="100"/>
        <v>0.38958855721185048</v>
      </c>
      <c r="AK69" s="91">
        <f t="shared" si="100"/>
        <v>-1.7947271803024343</v>
      </c>
      <c r="AL69" s="91">
        <f t="shared" si="100"/>
        <v>0.60162944041181743</v>
      </c>
      <c r="AM69" s="91">
        <f t="shared" si="100"/>
        <v>-5.1305153575356144E-3</v>
      </c>
      <c r="AN69" s="91">
        <f t="shared" si="100"/>
        <v>0.37707460575884133</v>
      </c>
      <c r="AO69" s="213">
        <f>AVERAGE(I69:AN69)</f>
        <v>0.13459472676311371</v>
      </c>
      <c r="AP69" s="213">
        <f>STDEV(I69:AN69)</f>
        <v>2.485923620723145</v>
      </c>
    </row>
    <row r="70" spans="1:45">
      <c r="A70" s="59">
        <v>11135</v>
      </c>
      <c r="B70" s="242"/>
      <c r="C70" s="242"/>
      <c r="D70" s="64" t="str">
        <f>B13</f>
        <v>U30</v>
      </c>
      <c r="E70" s="213">
        <f t="shared" ref="E70:E73" si="101">AO70-AO$74</f>
        <v>4.3736857674983066E-2</v>
      </c>
      <c r="F70" s="245"/>
      <c r="G70" s="245"/>
      <c r="H70" s="250"/>
      <c r="I70" s="91" t="str">
        <f t="shared" ref="I70" si="102">I145</f>
        <v/>
      </c>
      <c r="J70" s="91" t="str">
        <f t="shared" ref="J70:AN70" si="103">J145</f>
        <v/>
      </c>
      <c r="K70" s="91">
        <f t="shared" si="103"/>
        <v>3.4114696137456768E-2</v>
      </c>
      <c r="L70" s="91">
        <f t="shared" si="103"/>
        <v>0.15955372596616857</v>
      </c>
      <c r="M70" s="91" t="str">
        <f t="shared" si="103"/>
        <v/>
      </c>
      <c r="N70" s="91">
        <f t="shared" si="103"/>
        <v>6.440340250437071E-2</v>
      </c>
      <c r="O70" s="91">
        <f t="shared" si="103"/>
        <v>9.3529004452952536E-2</v>
      </c>
      <c r="P70" s="91" t="str">
        <f t="shared" si="103"/>
        <v/>
      </c>
      <c r="Q70" s="91">
        <f t="shared" si="103"/>
        <v>-2.5280310063192868E-2</v>
      </c>
      <c r="R70" s="91">
        <f t="shared" si="103"/>
        <v>-2.7510567604093428E-2</v>
      </c>
      <c r="S70" s="91">
        <f t="shared" si="103"/>
        <v>-0.19680965809153972</v>
      </c>
      <c r="T70" s="91">
        <f t="shared" si="103"/>
        <v>3.2906613019720643E-2</v>
      </c>
      <c r="U70" s="91">
        <f t="shared" si="103"/>
        <v>-0.14538284954039349</v>
      </c>
      <c r="V70" s="91">
        <f t="shared" si="103"/>
        <v>-6.0406108496685817E-2</v>
      </c>
      <c r="W70" s="91">
        <f t="shared" si="103"/>
        <v>-8.2636868597784741E-2</v>
      </c>
      <c r="X70" s="91">
        <f t="shared" si="103"/>
        <v>-0.20038623709412806</v>
      </c>
      <c r="Y70" s="91">
        <f t="shared" si="103"/>
        <v>7.8524914926358491E-2</v>
      </c>
      <c r="Z70" s="91">
        <f t="shared" si="103"/>
        <v>0.17602603633676428</v>
      </c>
      <c r="AA70" s="91">
        <f t="shared" si="103"/>
        <v>0.16305113316301056</v>
      </c>
      <c r="AB70" s="91">
        <f t="shared" si="103"/>
        <v>0.1737912884797097</v>
      </c>
      <c r="AC70" s="91">
        <f t="shared" si="103"/>
        <v>0.20151022342499714</v>
      </c>
      <c r="AD70" s="91">
        <f t="shared" si="103"/>
        <v>-3.0832329317403762E-2</v>
      </c>
      <c r="AE70" s="91">
        <f t="shared" si="103"/>
        <v>8.9934802710374795E-2</v>
      </c>
      <c r="AF70" s="91">
        <f t="shared" si="103"/>
        <v>0.17183429559529839</v>
      </c>
      <c r="AG70" s="91">
        <f t="shared" si="103"/>
        <v>8.6112486261582188E-2</v>
      </c>
      <c r="AH70" s="91">
        <f t="shared" si="103"/>
        <v>5.7294977778950873E-2</v>
      </c>
      <c r="AI70" s="91" t="str">
        <f t="shared" si="103"/>
        <v/>
      </c>
      <c r="AJ70" s="91">
        <f t="shared" si="103"/>
        <v>-0.13665302648158417</v>
      </c>
      <c r="AK70" s="91">
        <f t="shared" si="103"/>
        <v>8.3445687048597228E-2</v>
      </c>
      <c r="AL70" s="91">
        <f t="shared" si="103"/>
        <v>-0.31221977057815709</v>
      </c>
      <c r="AM70" s="91">
        <f t="shared" si="103"/>
        <v>0.12071718726874947</v>
      </c>
      <c r="AN70" s="91">
        <f t="shared" si="103"/>
        <v>-0.16839372892072646</v>
      </c>
      <c r="AO70" s="213">
        <f t="shared" ref="AO70:AO73" si="104">AVERAGE(I70:AN70)</f>
        <v>1.4823667418124917E-2</v>
      </c>
      <c r="AP70" s="213">
        <f t="shared" ref="AP70:AP73" si="105">STDEV(I70:AN70)</f>
        <v>0.138178164474343</v>
      </c>
    </row>
    <row r="71" spans="1:45">
      <c r="A71" s="213">
        <f>IF(balance,10%*(A70-10000)/10000,0)</f>
        <v>1.1350000000000001E-2</v>
      </c>
      <c r="B71" s="242"/>
      <c r="C71" s="242"/>
      <c r="D71" s="64" t="str">
        <f>B14</f>
        <v>U35</v>
      </c>
      <c r="E71" s="213">
        <f t="shared" si="101"/>
        <v>7.2301049794447E-2</v>
      </c>
      <c r="F71" s="245"/>
      <c r="G71" s="245"/>
      <c r="H71" s="250"/>
      <c r="I71" s="91" t="str">
        <f t="shared" ref="I71" si="106">I167</f>
        <v/>
      </c>
      <c r="J71" s="91" t="str">
        <f t="shared" ref="J71:AN71" si="107">J167</f>
        <v/>
      </c>
      <c r="K71" s="91">
        <f t="shared" si="107"/>
        <v>4.9420431200034809E-2</v>
      </c>
      <c r="L71" s="91">
        <f t="shared" si="107"/>
        <v>0.17762579573851311</v>
      </c>
      <c r="M71" s="91" t="str">
        <f t="shared" si="107"/>
        <v/>
      </c>
      <c r="N71" s="91">
        <f t="shared" si="107"/>
        <v>8.7713521412748574E-2</v>
      </c>
      <c r="O71" s="91">
        <f t="shared" si="107"/>
        <v>0.11259555218725092</v>
      </c>
      <c r="P71" s="91" t="str">
        <f t="shared" si="107"/>
        <v/>
      </c>
      <c r="Q71" s="91">
        <f t="shared" si="107"/>
        <v>8.9773757313817981E-3</v>
      </c>
      <c r="R71" s="91">
        <f t="shared" si="107"/>
        <v>-2.5308151490106567E-3</v>
      </c>
      <c r="S71" s="91">
        <f t="shared" si="107"/>
        <v>-0.14399148699592579</v>
      </c>
      <c r="T71" s="91">
        <f t="shared" si="107"/>
        <v>6.7244803068538528E-2</v>
      </c>
      <c r="U71" s="91">
        <f t="shared" si="107"/>
        <v>-9.7537335909161582E-2</v>
      </c>
      <c r="V71" s="91">
        <f t="shared" si="107"/>
        <v>-3.8046422100802113E-2</v>
      </c>
      <c r="W71" s="91">
        <f t="shared" si="107"/>
        <v>-3.9563850145995172E-2</v>
      </c>
      <c r="X71" s="91">
        <f t="shared" si="107"/>
        <v>-0.15629629451800398</v>
      </c>
      <c r="Y71" s="91">
        <f t="shared" si="107"/>
        <v>0.10641681216741605</v>
      </c>
      <c r="Z71" s="91">
        <f t="shared" si="107"/>
        <v>0.20163728857371699</v>
      </c>
      <c r="AA71" s="91">
        <f t="shared" si="107"/>
        <v>0.18906046094172757</v>
      </c>
      <c r="AB71" s="91">
        <f t="shared" si="107"/>
        <v>0.18535669956002099</v>
      </c>
      <c r="AC71" s="91">
        <f t="shared" si="107"/>
        <v>0.22315868627163593</v>
      </c>
      <c r="AD71" s="91">
        <f t="shared" si="107"/>
        <v>-2.4689560831525625E-3</v>
      </c>
      <c r="AE71" s="91">
        <f t="shared" si="107"/>
        <v>9.7740156956739432E-2</v>
      </c>
      <c r="AF71" s="91">
        <f t="shared" si="107"/>
        <v>0.18827315916444554</v>
      </c>
      <c r="AG71" s="91">
        <f t="shared" si="107"/>
        <v>0.10418291906841193</v>
      </c>
      <c r="AH71" s="91">
        <f t="shared" si="107"/>
        <v>7.8735403513233271E-2</v>
      </c>
      <c r="AI71" s="91" t="str">
        <f t="shared" si="107"/>
        <v/>
      </c>
      <c r="AJ71" s="91">
        <f t="shared" si="107"/>
        <v>-9.588243728593504E-2</v>
      </c>
      <c r="AK71" s="91">
        <f t="shared" si="107"/>
        <v>0.10835021551547119</v>
      </c>
      <c r="AL71" s="91">
        <f t="shared" si="107"/>
        <v>-0.24781808469522804</v>
      </c>
      <c r="AM71" s="91">
        <f t="shared" si="107"/>
        <v>0.13982756358277837</v>
      </c>
      <c r="AN71" s="91">
        <f t="shared" si="107"/>
        <v>-0.13070895425595119</v>
      </c>
      <c r="AO71" s="213">
        <f t="shared" si="104"/>
        <v>4.3387859537588849E-2</v>
      </c>
      <c r="AP71" s="213">
        <f t="shared" si="105"/>
        <v>0.12691005350076826</v>
      </c>
    </row>
    <row r="72" spans="1:45">
      <c r="B72" s="242"/>
      <c r="C72" s="242"/>
      <c r="D72" s="64" t="str">
        <f>B15</f>
        <v>CWF</v>
      </c>
      <c r="E72" s="213">
        <f t="shared" si="101"/>
        <v>-0.16350791701997186</v>
      </c>
      <c r="F72" s="245"/>
      <c r="G72" s="245"/>
      <c r="H72" s="250"/>
      <c r="I72" s="91" t="str">
        <f t="shared" ref="I72" si="108">I189</f>
        <v/>
      </c>
      <c r="J72" s="91" t="str">
        <f t="shared" ref="J72:AN72" si="109">J189</f>
        <v/>
      </c>
      <c r="K72" s="91">
        <f t="shared" si="109"/>
        <v>-0.23031046194332827</v>
      </c>
      <c r="L72" s="91">
        <f t="shared" si="109"/>
        <v>-4.1064722828418443E-2</v>
      </c>
      <c r="M72" s="91" t="str">
        <f t="shared" si="109"/>
        <v/>
      </c>
      <c r="N72" s="91">
        <f t="shared" si="109"/>
        <v>-0.14721152894781198</v>
      </c>
      <c r="O72" s="91">
        <f t="shared" si="109"/>
        <v>-0.12223888639082281</v>
      </c>
      <c r="P72" s="91" t="str">
        <f t="shared" si="109"/>
        <v/>
      </c>
      <c r="Q72" s="91">
        <f t="shared" si="109"/>
        <v>-0.23043077742336227</v>
      </c>
      <c r="R72" s="91">
        <f t="shared" si="109"/>
        <v>-0.25441257182670873</v>
      </c>
      <c r="S72" s="91">
        <f t="shared" si="109"/>
        <v>-0.39570344690376946</v>
      </c>
      <c r="T72" s="91">
        <f t="shared" si="109"/>
        <v>-0.16010995044825438</v>
      </c>
      <c r="U72" s="91">
        <f t="shared" si="109"/>
        <v>-0.34648262608912228</v>
      </c>
      <c r="V72" s="91">
        <f t="shared" si="109"/>
        <v>-0.27764387098300691</v>
      </c>
      <c r="W72" s="91">
        <f t="shared" si="109"/>
        <v>-0.2609847244234873</v>
      </c>
      <c r="X72" s="91">
        <f t="shared" si="109"/>
        <v>-0.41163763560447353</v>
      </c>
      <c r="Y72" s="91">
        <f t="shared" si="109"/>
        <v>-0.11904448836542469</v>
      </c>
      <c r="Z72" s="91">
        <f t="shared" si="109"/>
        <v>-3.7886127429556105E-3</v>
      </c>
      <c r="AA72" s="91">
        <f t="shared" si="109"/>
        <v>-1.1658662435855005E-2</v>
      </c>
      <c r="AB72" s="91">
        <f t="shared" si="109"/>
        <v>-4.9740518819851642E-2</v>
      </c>
      <c r="AC72" s="91">
        <f t="shared" si="109"/>
        <v>3.6639411852161241E-2</v>
      </c>
      <c r="AD72" s="91">
        <f t="shared" si="109"/>
        <v>-0.2546932122743264</v>
      </c>
      <c r="AE72" s="91">
        <f t="shared" si="109"/>
        <v>-0.14557597772897135</v>
      </c>
      <c r="AF72" s="91">
        <f t="shared" si="109"/>
        <v>-2.1570185755756643E-2</v>
      </c>
      <c r="AG72" s="91">
        <f t="shared" si="109"/>
        <v>-0.14094787279535037</v>
      </c>
      <c r="AH72" s="91">
        <f t="shared" si="109"/>
        <v>-0.17141214041804287</v>
      </c>
      <c r="AI72" s="91" t="str">
        <f t="shared" si="109"/>
        <v/>
      </c>
      <c r="AJ72" s="91">
        <f t="shared" si="109"/>
        <v>-0.35919467977953579</v>
      </c>
      <c r="AK72" s="91">
        <f t="shared" si="109"/>
        <v>-0.10750470287146729</v>
      </c>
      <c r="AL72" s="91">
        <f t="shared" si="109"/>
        <v>-0.51007383623538849</v>
      </c>
      <c r="AM72" s="91">
        <f t="shared" si="109"/>
        <v>-6.7002888444587017E-2</v>
      </c>
      <c r="AN72" s="91">
        <f t="shared" si="109"/>
        <v>-0.39157032584649043</v>
      </c>
      <c r="AO72" s="213">
        <f t="shared" si="104"/>
        <v>-0.19242110727683001</v>
      </c>
      <c r="AP72" s="213">
        <f t="shared" si="105"/>
        <v>0.14396348607240375</v>
      </c>
    </row>
    <row r="73" spans="1:45">
      <c r="B73" s="242"/>
      <c r="C73" s="242"/>
      <c r="D73" s="64" t="str">
        <f>B16</f>
        <v>D65</v>
      </c>
      <c r="E73" s="213">
        <f t="shared" si="101"/>
        <v>2.8523216681838087E-2</v>
      </c>
      <c r="F73" s="245"/>
      <c r="G73" s="245"/>
      <c r="H73" s="250"/>
      <c r="I73" s="91" t="str">
        <f t="shared" ref="I73" si="110">I211</f>
        <v/>
      </c>
      <c r="J73" s="91" t="str">
        <f t="shared" ref="J73:AN73" si="111">J211</f>
        <v/>
      </c>
      <c r="K73" s="91">
        <f t="shared" si="111"/>
        <v>-0.41820823127336859</v>
      </c>
      <c r="L73" s="91">
        <f t="shared" si="111"/>
        <v>-0.11176165909485891</v>
      </c>
      <c r="M73" s="91" t="str">
        <f t="shared" si="111"/>
        <v/>
      </c>
      <c r="N73" s="91">
        <f t="shared" si="111"/>
        <v>0.10032011393579154</v>
      </c>
      <c r="O73" s="91">
        <f t="shared" si="111"/>
        <v>-1.1766734320142636E-2</v>
      </c>
      <c r="P73" s="91" t="str">
        <f t="shared" si="111"/>
        <v/>
      </c>
      <c r="Q73" s="91">
        <f t="shared" si="111"/>
        <v>-6.6801997352069709E-2</v>
      </c>
      <c r="R73" s="91">
        <f t="shared" si="111"/>
        <v>-3.1484706226461601E-2</v>
      </c>
      <c r="S73" s="91">
        <f t="shared" si="111"/>
        <v>0.12003118136245428</v>
      </c>
      <c r="T73" s="91">
        <f t="shared" si="111"/>
        <v>6.3537939498619411E-2</v>
      </c>
      <c r="U73" s="91">
        <f t="shared" si="111"/>
        <v>0.14362354099271091</v>
      </c>
      <c r="V73" s="91">
        <f t="shared" si="111"/>
        <v>0.17026386724351084</v>
      </c>
      <c r="W73" s="91">
        <f t="shared" si="111"/>
        <v>0.16148322317578301</v>
      </c>
      <c r="X73" s="91">
        <f t="shared" si="111"/>
        <v>0.2814754674877733</v>
      </c>
      <c r="Y73" s="91">
        <f t="shared" si="111"/>
        <v>1.1132854745268594E-2</v>
      </c>
      <c r="Z73" s="91">
        <f t="shared" si="111"/>
        <v>2.4897946062020893E-2</v>
      </c>
      <c r="AA73" s="91">
        <f t="shared" si="111"/>
        <v>5.0109194093135745E-2</v>
      </c>
      <c r="AB73" s="91">
        <f t="shared" si="111"/>
        <v>-0.16598397967669865</v>
      </c>
      <c r="AC73" s="91">
        <f t="shared" si="111"/>
        <v>0.22401601841452989</v>
      </c>
      <c r="AD73" s="91">
        <f t="shared" si="111"/>
        <v>7.2345055377046275E-2</v>
      </c>
      <c r="AE73" s="91">
        <f t="shared" si="111"/>
        <v>-0.41032032983880584</v>
      </c>
      <c r="AF73" s="91">
        <f t="shared" si="111"/>
        <v>-4.0163627015870063E-2</v>
      </c>
      <c r="AG73" s="91">
        <f t="shared" si="111"/>
        <v>-0.22475001571395437</v>
      </c>
      <c r="AH73" s="91">
        <f t="shared" si="111"/>
        <v>-0.51349759822550256</v>
      </c>
      <c r="AI73" s="91" t="str">
        <f t="shared" si="111"/>
        <v/>
      </c>
      <c r="AJ73" s="91">
        <f t="shared" si="111"/>
        <v>0.15613661494841091</v>
      </c>
      <c r="AK73" s="91">
        <f t="shared" si="111"/>
        <v>-0.17161504271099948</v>
      </c>
      <c r="AL73" s="91">
        <f t="shared" si="111"/>
        <v>0.33966422657254114</v>
      </c>
      <c r="AM73" s="91">
        <f t="shared" si="111"/>
        <v>9.3922388779135724E-2</v>
      </c>
      <c r="AN73" s="91">
        <f t="shared" si="111"/>
        <v>0.14286500223445819</v>
      </c>
      <c r="AO73" s="213">
        <f t="shared" si="104"/>
        <v>-3.8997357502006471E-4</v>
      </c>
      <c r="AP73" s="213">
        <f t="shared" si="105"/>
        <v>0.2098747846506448</v>
      </c>
    </row>
    <row r="74" spans="1:45">
      <c r="B74" s="242"/>
      <c r="C74" s="242"/>
      <c r="D74" s="64" t="str">
        <f>D68</f>
        <v>No D65</v>
      </c>
      <c r="E74" s="213">
        <f>(MAX(E69:E72)-MIN(E69:E72))/2</f>
        <v>0.16350791701997186</v>
      </c>
      <c r="F74" s="245">
        <f>MAX(F69+1.5*G69,F76+1.5*G76)</f>
        <v>2.3558608166711865</v>
      </c>
      <c r="G74" s="245"/>
      <c r="H74" s="250"/>
      <c r="I74" s="91" t="str">
        <f>IF(I$54,(MAX(I69:I73)-MIN(I69:I73))/2,"")</f>
        <v/>
      </c>
      <c r="J74" s="91" t="str">
        <f t="shared" ref="J74:AN74" si="112">IF(J$54,(MAX(J69:J73)-MIN(J69:J73))/2,"")</f>
        <v/>
      </c>
      <c r="K74" s="91">
        <f t="shared" si="112"/>
        <v>1.055058629140698</v>
      </c>
      <c r="L74" s="91">
        <f t="shared" si="112"/>
        <v>0.94426383108112355</v>
      </c>
      <c r="M74" s="91" t="str">
        <f t="shared" si="112"/>
        <v/>
      </c>
      <c r="N74" s="91">
        <f t="shared" si="112"/>
        <v>0.1733765139089628</v>
      </c>
      <c r="O74" s="91">
        <f t="shared" si="112"/>
        <v>0.13478761488177055</v>
      </c>
      <c r="P74" s="91" t="str">
        <f t="shared" si="112"/>
        <v/>
      </c>
      <c r="Q74" s="91">
        <f t="shared" si="112"/>
        <v>0.22170404547205058</v>
      </c>
      <c r="R74" s="91">
        <f t="shared" si="112"/>
        <v>0.16172133456791132</v>
      </c>
      <c r="S74" s="91">
        <f t="shared" si="112"/>
        <v>0.32792309805901593</v>
      </c>
      <c r="T74" s="91">
        <f t="shared" si="112"/>
        <v>0.1233103671583517</v>
      </c>
      <c r="U74" s="91">
        <f t="shared" si="112"/>
        <v>0.32254921992555796</v>
      </c>
      <c r="V74" s="91">
        <f t="shared" si="112"/>
        <v>0.31933120860898967</v>
      </c>
      <c r="W74" s="91">
        <f t="shared" si="112"/>
        <v>0.25797115659902831</v>
      </c>
      <c r="X74" s="91">
        <f t="shared" si="112"/>
        <v>0.48548859527899746</v>
      </c>
      <c r="Y74" s="91">
        <f t="shared" si="112"/>
        <v>0.17817848980806472</v>
      </c>
      <c r="Z74" s="91">
        <f t="shared" si="112"/>
        <v>0.44878052003643254</v>
      </c>
      <c r="AA74" s="91">
        <f t="shared" si="112"/>
        <v>0.25587133731247141</v>
      </c>
      <c r="AB74" s="91">
        <f t="shared" si="112"/>
        <v>0.39885614271942177</v>
      </c>
      <c r="AC74" s="91">
        <f t="shared" si="112"/>
        <v>0.10507257915392748</v>
      </c>
      <c r="AD74" s="91">
        <f t="shared" si="112"/>
        <v>0.25784490829098078</v>
      </c>
      <c r="AE74" s="91">
        <f t="shared" si="112"/>
        <v>0.95382565136687236</v>
      </c>
      <c r="AF74" s="91">
        <f t="shared" si="112"/>
        <v>0.29292053292179809</v>
      </c>
      <c r="AG74" s="91">
        <f t="shared" si="112"/>
        <v>0.90951194058940144</v>
      </c>
      <c r="AH74" s="91">
        <f t="shared" si="112"/>
        <v>6.2071500200697756</v>
      </c>
      <c r="AI74" s="91" t="str">
        <f t="shared" si="112"/>
        <v/>
      </c>
      <c r="AJ74" s="91">
        <f t="shared" si="112"/>
        <v>0.37439161849569313</v>
      </c>
      <c r="AK74" s="91">
        <f t="shared" si="112"/>
        <v>0.95153869790895274</v>
      </c>
      <c r="AL74" s="91">
        <f t="shared" si="112"/>
        <v>0.55585163832360296</v>
      </c>
      <c r="AM74" s="91">
        <f t="shared" si="112"/>
        <v>0.10341522601368269</v>
      </c>
      <c r="AN74" s="91">
        <f t="shared" si="112"/>
        <v>0.38432246580266588</v>
      </c>
      <c r="AO74" s="213">
        <f>(MAX(AO69:AO73)+MIN(AO69:AO73))/2</f>
        <v>-2.8913190256858151E-2</v>
      </c>
    </row>
    <row r="75" spans="1:45">
      <c r="A75" s="91">
        <f>SUM(I75:AN79)</f>
        <v>2.6764909215870603E-4</v>
      </c>
      <c r="B75" s="242"/>
      <c r="C75" s="242" t="str">
        <f>C84</f>
        <v>HI</v>
      </c>
      <c r="D75" s="64" t="str">
        <f t="shared" ref="D75:D80" si="113">D69</f>
        <v>A</v>
      </c>
      <c r="E75" s="213">
        <f>AO75-AO$80</f>
        <v>0.13913940648970044</v>
      </c>
      <c r="F75" s="245"/>
      <c r="G75" s="245"/>
      <c r="H75" s="250">
        <f>R29*O20*(1+A77)</f>
        <v>298.11878010797614</v>
      </c>
      <c r="I75" s="91" t="str">
        <f>I124</f>
        <v/>
      </c>
      <c r="J75" s="91" t="str">
        <f t="shared" ref="J75:AN75" si="114">J124</f>
        <v/>
      </c>
      <c r="K75" s="91">
        <f t="shared" si="114"/>
        <v>-2.1725955026472761</v>
      </c>
      <c r="L75" s="91">
        <f t="shared" si="114"/>
        <v>-1.7035886299857959</v>
      </c>
      <c r="M75" s="91" t="str">
        <f t="shared" si="114"/>
        <v/>
      </c>
      <c r="N75" s="91">
        <f t="shared" si="114"/>
        <v>0.18888469858576873</v>
      </c>
      <c r="O75" s="91">
        <f t="shared" si="114"/>
        <v>-0.18823434659100036</v>
      </c>
      <c r="P75" s="91" t="str">
        <f t="shared" si="114"/>
        <v/>
      </c>
      <c r="Q75" s="91">
        <f t="shared" si="114"/>
        <v>-0.35320565335160348</v>
      </c>
      <c r="R75" s="91">
        <f t="shared" si="114"/>
        <v>9.810919821625852E-2</v>
      </c>
      <c r="S75" s="91">
        <f t="shared" si="114"/>
        <v>0.28373545666822331</v>
      </c>
      <c r="T75" s="91">
        <f t="shared" si="114"/>
        <v>-0.28528622596034303</v>
      </c>
      <c r="U75" s="91">
        <f t="shared" si="114"/>
        <v>0.26060618693671689</v>
      </c>
      <c r="V75" s="91">
        <f t="shared" si="114"/>
        <v>0.36723038362992477</v>
      </c>
      <c r="W75" s="91">
        <f t="shared" si="114"/>
        <v>0.2517317771549018</v>
      </c>
      <c r="X75" s="91">
        <f t="shared" si="114"/>
        <v>0.54406162151266357</v>
      </c>
      <c r="Y75" s="91">
        <f t="shared" si="114"/>
        <v>-0.31598283093590185</v>
      </c>
      <c r="Z75" s="91">
        <f t="shared" si="114"/>
        <v>-0.70628613745975266</v>
      </c>
      <c r="AA75" s="91">
        <f t="shared" si="114"/>
        <v>-0.49205573191654972</v>
      </c>
      <c r="AB75" s="91">
        <f t="shared" si="114"/>
        <v>-0.44512383390088783</v>
      </c>
      <c r="AC75" s="91">
        <f t="shared" si="114"/>
        <v>0.21128722873894057</v>
      </c>
      <c r="AD75" s="91">
        <f t="shared" si="114"/>
        <v>0.24320964578952109</v>
      </c>
      <c r="AE75" s="91">
        <f t="shared" si="114"/>
        <v>-1.8097166411975776</v>
      </c>
      <c r="AF75" s="91">
        <f t="shared" si="114"/>
        <v>-0.40609391855734733</v>
      </c>
      <c r="AG75" s="91">
        <f t="shared" si="114"/>
        <v>-1.7464340704484931</v>
      </c>
      <c r="AH75" s="91">
        <f t="shared" si="114"/>
        <v>11.216423276283709</v>
      </c>
      <c r="AI75" s="91" t="str">
        <f t="shared" si="114"/>
        <v/>
      </c>
      <c r="AJ75" s="91">
        <f t="shared" si="114"/>
        <v>0.38567376779782048</v>
      </c>
      <c r="AK75" s="91">
        <f t="shared" si="114"/>
        <v>-1.6053826327898348</v>
      </c>
      <c r="AL75" s="91">
        <f t="shared" si="114"/>
        <v>0.58894251401650488</v>
      </c>
      <c r="AM75" s="91">
        <f t="shared" si="114"/>
        <v>1.1602464937707668E-2</v>
      </c>
      <c r="AN75" s="91">
        <f t="shared" si="114"/>
        <v>0.37085191180873334</v>
      </c>
      <c r="AO75" s="213">
        <f>AVERAGE(I75:AN75)</f>
        <v>0.1034208880124086</v>
      </c>
      <c r="AP75" s="213">
        <f>STDEV(I75:AN75)</f>
        <v>2.3608549995706185</v>
      </c>
      <c r="AR75" s="174"/>
      <c r="AS75" s="212"/>
    </row>
    <row r="76" spans="1:45">
      <c r="A76" s="159">
        <v>17319</v>
      </c>
      <c r="B76" s="242"/>
      <c r="C76" s="242"/>
      <c r="D76" s="64" t="str">
        <f t="shared" si="113"/>
        <v>U30</v>
      </c>
      <c r="E76" s="213">
        <f t="shared" ref="E76:E79" si="115">AO76-AO$80</f>
        <v>6.2591881661052187E-2</v>
      </c>
      <c r="F76" s="245">
        <f>AVERAGE(I80:AN80)</f>
        <v>0.60784600678876699</v>
      </c>
      <c r="G76" s="245">
        <f>STDEV(I80:AN80)</f>
        <v>1.0847476230340278</v>
      </c>
      <c r="H76" s="250"/>
      <c r="I76" s="91" t="str">
        <f>I146</f>
        <v/>
      </c>
      <c r="J76" s="91" t="str">
        <f t="shared" ref="J76:AN76" si="116">J146</f>
        <v/>
      </c>
      <c r="K76" s="91">
        <f t="shared" si="116"/>
        <v>6.9292976625462077E-2</v>
      </c>
      <c r="L76" s="91">
        <f t="shared" si="116"/>
        <v>0.16580371109287939</v>
      </c>
      <c r="M76" s="91" t="str">
        <f t="shared" si="116"/>
        <v/>
      </c>
      <c r="N76" s="91">
        <f t="shared" si="116"/>
        <v>7.1398100860827651E-2</v>
      </c>
      <c r="O76" s="91">
        <f t="shared" si="116"/>
        <v>7.1398100860827651E-2</v>
      </c>
      <c r="P76" s="91" t="str">
        <f t="shared" si="116"/>
        <v/>
      </c>
      <c r="Q76" s="91">
        <f t="shared" si="116"/>
        <v>4.9285735278604137E-2</v>
      </c>
      <c r="R76" s="91">
        <f t="shared" si="116"/>
        <v>5.1279583091640712E-2</v>
      </c>
      <c r="S76" s="91">
        <f t="shared" si="116"/>
        <v>-7.5564125490524825E-2</v>
      </c>
      <c r="T76" s="91">
        <f t="shared" si="116"/>
        <v>-1.6951088200392039E-2</v>
      </c>
      <c r="U76" s="91">
        <f t="shared" si="116"/>
        <v>-0.16411073451069713</v>
      </c>
      <c r="V76" s="91">
        <f t="shared" si="116"/>
        <v>-4.7101944459938094E-2</v>
      </c>
      <c r="W76" s="91">
        <f t="shared" si="116"/>
        <v>-4.6190675316785335E-2</v>
      </c>
      <c r="X76" s="91">
        <f t="shared" si="116"/>
        <v>-0.23409630617378441</v>
      </c>
      <c r="Y76" s="91">
        <f t="shared" si="116"/>
        <v>7.6098038802290047E-2</v>
      </c>
      <c r="Z76" s="91">
        <f t="shared" si="116"/>
        <v>0.18505272057937872</v>
      </c>
      <c r="AA76" s="91">
        <f t="shared" si="116"/>
        <v>7.1398100860827651E-2</v>
      </c>
      <c r="AB76" s="91">
        <f t="shared" si="116"/>
        <v>0.2680975906206734</v>
      </c>
      <c r="AC76" s="91">
        <f t="shared" si="116"/>
        <v>0.18505272057937872</v>
      </c>
      <c r="AD76" s="91">
        <f t="shared" si="116"/>
        <v>-4.9779399485330389E-2</v>
      </c>
      <c r="AE76" s="91">
        <f t="shared" si="116"/>
        <v>0.11093026404705186</v>
      </c>
      <c r="AF76" s="91">
        <f t="shared" si="116"/>
        <v>0.14960360607523171</v>
      </c>
      <c r="AG76" s="91">
        <f t="shared" si="116"/>
        <v>4.6527842901738392E-2</v>
      </c>
      <c r="AH76" s="91">
        <f t="shared" si="116"/>
        <v>0.14800197034217899</v>
      </c>
      <c r="AI76" s="91" t="str">
        <f t="shared" si="116"/>
        <v/>
      </c>
      <c r="AJ76" s="91">
        <f t="shared" si="116"/>
        <v>-0.13396525419183281</v>
      </c>
      <c r="AK76" s="91">
        <f t="shared" si="116"/>
        <v>0.14800197034217899</v>
      </c>
      <c r="AL76" s="91">
        <f t="shared" si="116"/>
        <v>-0.31580618892699475</v>
      </c>
      <c r="AM76" s="91">
        <f t="shared" si="116"/>
        <v>0.11350565393242229</v>
      </c>
      <c r="AN76" s="91">
        <f t="shared" si="116"/>
        <v>-0.17158216417578309</v>
      </c>
      <c r="AO76" s="213">
        <f t="shared" ref="AO76:AO79" si="117">AVERAGE(I76:AN76)</f>
        <v>2.6873363183760345E-2</v>
      </c>
      <c r="AP76" s="213">
        <f t="shared" ref="AP76:AP79" si="118">STDEV(I76:AN76)</f>
        <v>0.1406752144824413</v>
      </c>
      <c r="AR76" s="174"/>
      <c r="AS76" s="212"/>
    </row>
    <row r="77" spans="1:45">
      <c r="A77" s="213">
        <f>IF(balance,10%*(A76-10000)/10000,0)</f>
        <v>7.3190000000000005E-2</v>
      </c>
      <c r="B77" s="242"/>
      <c r="C77" s="242"/>
      <c r="D77" s="64" t="str">
        <f t="shared" si="113"/>
        <v>U35</v>
      </c>
      <c r="E77" s="213">
        <f t="shared" si="115"/>
        <v>8.604164168110312E-2</v>
      </c>
      <c r="F77" s="245"/>
      <c r="G77" s="245"/>
      <c r="H77" s="250"/>
      <c r="I77" s="91" t="str">
        <f>I168</f>
        <v/>
      </c>
      <c r="J77" s="91" t="str">
        <f t="shared" ref="J77:AN77" si="119">J168</f>
        <v/>
      </c>
      <c r="K77" s="91">
        <f t="shared" si="119"/>
        <v>7.0100472595859498E-2</v>
      </c>
      <c r="L77" s="91">
        <f t="shared" si="119"/>
        <v>0.1693054061891397</v>
      </c>
      <c r="M77" s="91" t="str">
        <f t="shared" si="119"/>
        <v/>
      </c>
      <c r="N77" s="91">
        <f t="shared" si="119"/>
        <v>9.4726145525059646E-2</v>
      </c>
      <c r="O77" s="91">
        <f t="shared" si="119"/>
        <v>0.13353045406573949</v>
      </c>
      <c r="P77" s="91" t="str">
        <f t="shared" si="119"/>
        <v/>
      </c>
      <c r="Q77" s="91">
        <f t="shared" si="119"/>
        <v>7.0100472595859498E-2</v>
      </c>
      <c r="R77" s="91">
        <f t="shared" si="119"/>
        <v>4.9241353640597119E-2</v>
      </c>
      <c r="S77" s="91">
        <f t="shared" si="119"/>
        <v>-4.9738830659299182E-2</v>
      </c>
      <c r="T77" s="91">
        <f t="shared" si="119"/>
        <v>7.9176741959683383E-3</v>
      </c>
      <c r="U77" s="91">
        <f t="shared" si="119"/>
        <v>-0.13369622456829156</v>
      </c>
      <c r="V77" s="91">
        <f t="shared" si="119"/>
        <v>4.5838317208061197E-3</v>
      </c>
      <c r="W77" s="91">
        <f t="shared" si="119"/>
        <v>5.4346686755131213E-3</v>
      </c>
      <c r="X77" s="91">
        <f t="shared" si="119"/>
        <v>-0.17290395400004832</v>
      </c>
      <c r="Y77" s="91">
        <f t="shared" si="119"/>
        <v>7.4968920221917257E-2</v>
      </c>
      <c r="Z77" s="91">
        <f t="shared" si="119"/>
        <v>0.22081662364088583</v>
      </c>
      <c r="AA77" s="91">
        <f t="shared" si="119"/>
        <v>9.4726145525059646E-2</v>
      </c>
      <c r="AB77" s="91">
        <f t="shared" si="119"/>
        <v>0.25797076988399614</v>
      </c>
      <c r="AC77" s="91">
        <f t="shared" si="119"/>
        <v>0.18735423767677761</v>
      </c>
      <c r="AD77" s="91">
        <f t="shared" si="119"/>
        <v>2.0840891074437318E-3</v>
      </c>
      <c r="AE77" s="91">
        <f t="shared" si="119"/>
        <v>0.11099695401101017</v>
      </c>
      <c r="AF77" s="91">
        <f t="shared" si="119"/>
        <v>0.15088876801559414</v>
      </c>
      <c r="AG77" s="91">
        <f t="shared" si="119"/>
        <v>0.10918830459676987</v>
      </c>
      <c r="AH77" s="91">
        <f t="shared" si="119"/>
        <v>0.12943670173070065</v>
      </c>
      <c r="AI77" s="91" t="str">
        <f t="shared" si="119"/>
        <v/>
      </c>
      <c r="AJ77" s="91">
        <f t="shared" si="119"/>
        <v>-0.1380518590285067</v>
      </c>
      <c r="AK77" s="91">
        <f t="shared" si="119"/>
        <v>0.12943670173070065</v>
      </c>
      <c r="AL77" s="91">
        <f t="shared" si="119"/>
        <v>-0.27871133161614914</v>
      </c>
      <c r="AM77" s="91">
        <f t="shared" si="119"/>
        <v>0.1354156536150416</v>
      </c>
      <c r="AN77" s="91">
        <f t="shared" si="119"/>
        <v>-7.6397822585240638E-2</v>
      </c>
      <c r="AO77" s="213">
        <f t="shared" si="117"/>
        <v>5.0323123203811278E-2</v>
      </c>
      <c r="AP77" s="213">
        <f t="shared" si="118"/>
        <v>0.1265125618390596</v>
      </c>
      <c r="AR77" s="174"/>
      <c r="AS77" s="212"/>
    </row>
    <row r="78" spans="1:45">
      <c r="A78" s="109" t="s">
        <v>108</v>
      </c>
      <c r="B78" s="242"/>
      <c r="C78" s="242"/>
      <c r="D78" s="64" t="str">
        <f t="shared" si="113"/>
        <v>CWF</v>
      </c>
      <c r="E78" s="213">
        <f t="shared" si="115"/>
        <v>-0.13913940648970044</v>
      </c>
      <c r="F78" s="245"/>
      <c r="G78" s="245"/>
      <c r="H78" s="250"/>
      <c r="I78" s="91" t="str">
        <f>I190</f>
        <v/>
      </c>
      <c r="J78" s="91" t="str">
        <f t="shared" ref="J78:AN78" si="120">J190</f>
        <v/>
      </c>
      <c r="K78" s="91">
        <f t="shared" si="120"/>
        <v>-0.21919213516341629</v>
      </c>
      <c r="L78" s="91">
        <f t="shared" si="120"/>
        <v>-2.4200898131174764E-2</v>
      </c>
      <c r="M78" s="91" t="str">
        <f t="shared" si="120"/>
        <v/>
      </c>
      <c r="N78" s="91">
        <f t="shared" si="120"/>
        <v>-0.14231788504649656</v>
      </c>
      <c r="O78" s="91">
        <f t="shared" si="120"/>
        <v>-0.14693770757775115</v>
      </c>
      <c r="P78" s="91" t="str">
        <f t="shared" si="120"/>
        <v/>
      </c>
      <c r="Q78" s="91">
        <f t="shared" si="120"/>
        <v>-0.14231788504649656</v>
      </c>
      <c r="R78" s="91">
        <f t="shared" si="120"/>
        <v>-0.1754058680449293</v>
      </c>
      <c r="S78" s="91">
        <f t="shared" si="120"/>
        <v>-0.25179119348467816</v>
      </c>
      <c r="T78" s="91">
        <f t="shared" si="120"/>
        <v>-0.29123030365474678</v>
      </c>
      <c r="U78" s="91">
        <f t="shared" si="120"/>
        <v>-0.38400546120444767</v>
      </c>
      <c r="V78" s="91">
        <f t="shared" si="120"/>
        <v>-0.21433146684781135</v>
      </c>
      <c r="W78" s="91">
        <f t="shared" si="120"/>
        <v>-0.24222078721722107</v>
      </c>
      <c r="X78" s="91">
        <f t="shared" si="120"/>
        <v>-0.42749904822568352</v>
      </c>
      <c r="Y78" s="91">
        <f t="shared" si="120"/>
        <v>-0.1346556578925906</v>
      </c>
      <c r="Z78" s="91">
        <f t="shared" si="120"/>
        <v>3.6126305019067995E-2</v>
      </c>
      <c r="AA78" s="91">
        <f t="shared" si="120"/>
        <v>-0.10379204205927084</v>
      </c>
      <c r="AB78" s="91">
        <f t="shared" si="120"/>
        <v>4.7076882020143707E-2</v>
      </c>
      <c r="AC78" s="91">
        <f t="shared" si="120"/>
        <v>3.6126305019067995E-2</v>
      </c>
      <c r="AD78" s="91">
        <f t="shared" si="120"/>
        <v>-0.24768594317196224</v>
      </c>
      <c r="AE78" s="91">
        <f t="shared" si="120"/>
        <v>-0.11541159311054416</v>
      </c>
      <c r="AF78" s="91">
        <f t="shared" si="120"/>
        <v>-1.8037039141078903E-2</v>
      </c>
      <c r="AG78" s="91">
        <f t="shared" si="120"/>
        <v>-0.14661812176227662</v>
      </c>
      <c r="AH78" s="91">
        <f t="shared" si="120"/>
        <v>-5.336074276398417E-2</v>
      </c>
      <c r="AI78" s="91" t="str">
        <f t="shared" si="120"/>
        <v/>
      </c>
      <c r="AJ78" s="91">
        <f t="shared" si="120"/>
        <v>-0.37898895837742042</v>
      </c>
      <c r="AK78" s="91">
        <f t="shared" si="120"/>
        <v>-5.0452330639177756E-2</v>
      </c>
      <c r="AL78" s="91">
        <f t="shared" si="120"/>
        <v>-0.54744690445167299</v>
      </c>
      <c r="AM78" s="91">
        <f t="shared" si="120"/>
        <v>-4.4234368794516143E-2</v>
      </c>
      <c r="AN78" s="91">
        <f t="shared" si="120"/>
        <v>-0.33835912435772264</v>
      </c>
      <c r="AO78" s="213">
        <f t="shared" si="117"/>
        <v>-0.17485792496699229</v>
      </c>
      <c r="AP78" s="213">
        <f t="shared" si="118"/>
        <v>0.1511992961352116</v>
      </c>
      <c r="AR78" s="174"/>
      <c r="AS78" s="212"/>
    </row>
    <row r="79" spans="1:45">
      <c r="B79" s="242"/>
      <c r="C79" s="242"/>
      <c r="D79" s="64" t="str">
        <f t="shared" si="113"/>
        <v>D65</v>
      </c>
      <c r="E79" s="213">
        <f t="shared" si="115"/>
        <v>2.9968981973643179E-2</v>
      </c>
      <c r="F79" s="245"/>
      <c r="G79" s="245"/>
      <c r="H79" s="250"/>
      <c r="I79" s="91" t="str">
        <f>I212</f>
        <v/>
      </c>
      <c r="J79" s="91" t="str">
        <f t="shared" ref="J79:AN79" si="121">J212</f>
        <v/>
      </c>
      <c r="K79" s="91">
        <f t="shared" si="121"/>
        <v>-0.46344148412646713</v>
      </c>
      <c r="L79" s="91">
        <f t="shared" si="121"/>
        <v>-0.12659101565517372</v>
      </c>
      <c r="M79" s="91" t="str">
        <f t="shared" si="121"/>
        <v/>
      </c>
      <c r="N79" s="91">
        <f t="shared" si="121"/>
        <v>8.2664101024713776E-2</v>
      </c>
      <c r="O79" s="91">
        <f t="shared" si="121"/>
        <v>-5.0995288937195848E-2</v>
      </c>
      <c r="P79" s="91" t="str">
        <f t="shared" si="121"/>
        <v/>
      </c>
      <c r="Q79" s="91">
        <f t="shared" si="121"/>
        <v>-7.0270431779244635E-3</v>
      </c>
      <c r="R79" s="91">
        <f t="shared" si="121"/>
        <v>3.4014085310930531E-2</v>
      </c>
      <c r="S79" s="91">
        <f t="shared" si="121"/>
        <v>0.15934265757109745</v>
      </c>
      <c r="T79" s="91">
        <f t="shared" si="121"/>
        <v>2.120485265305283E-2</v>
      </c>
      <c r="U79" s="91">
        <f t="shared" si="121"/>
        <v>0.11356545521845141</v>
      </c>
      <c r="V79" s="91">
        <f t="shared" si="121"/>
        <v>0.17316595207722885</v>
      </c>
      <c r="W79" s="91">
        <f t="shared" si="121"/>
        <v>0.12595790945192464</v>
      </c>
      <c r="X79" s="91">
        <f t="shared" si="121"/>
        <v>0.26187813967631268</v>
      </c>
      <c r="Y79" s="91">
        <f t="shared" si="121"/>
        <v>-7.4485198639167027E-3</v>
      </c>
      <c r="Z79" s="91">
        <f t="shared" si="121"/>
        <v>5.5139954573130145E-3</v>
      </c>
      <c r="AA79" s="91">
        <f t="shared" si="121"/>
        <v>-5.2988148800610313E-2</v>
      </c>
      <c r="AB79" s="91">
        <f t="shared" si="121"/>
        <v>-3.7104512907060405E-2</v>
      </c>
      <c r="AC79" s="91">
        <f t="shared" si="121"/>
        <v>0.17579956782115125</v>
      </c>
      <c r="AD79" s="91">
        <f t="shared" si="121"/>
        <v>8.2796205241512988E-2</v>
      </c>
      <c r="AE79" s="91">
        <f t="shared" si="121"/>
        <v>-0.3733492102631446</v>
      </c>
      <c r="AF79" s="91">
        <f t="shared" si="121"/>
        <v>-7.476877037139773E-2</v>
      </c>
      <c r="AG79" s="91">
        <f t="shared" si="121"/>
        <v>-0.28085212447294383</v>
      </c>
      <c r="AH79" s="91">
        <f t="shared" si="121"/>
        <v>-0.44037405454230916</v>
      </c>
      <c r="AI79" s="91" t="str">
        <f t="shared" si="121"/>
        <v/>
      </c>
      <c r="AJ79" s="91">
        <f t="shared" si="121"/>
        <v>0.13370559169483875</v>
      </c>
      <c r="AK79" s="91">
        <f t="shared" si="121"/>
        <v>-0.14649918452010091</v>
      </c>
      <c r="AL79" s="91">
        <f t="shared" si="121"/>
        <v>0.31332169611654226</v>
      </c>
      <c r="AM79" s="91">
        <f t="shared" si="121"/>
        <v>7.1478636861802225E-2</v>
      </c>
      <c r="AN79" s="91">
        <f t="shared" si="121"/>
        <v>0.15179302586285826</v>
      </c>
      <c r="AO79" s="213">
        <f t="shared" si="117"/>
        <v>-5.7495365036486631E-3</v>
      </c>
      <c r="AP79" s="213">
        <f t="shared" si="118"/>
        <v>0.1979897144334698</v>
      </c>
      <c r="AR79" s="174"/>
      <c r="AS79" s="212"/>
    </row>
    <row r="80" spans="1:45">
      <c r="B80" s="242"/>
      <c r="C80" s="242"/>
      <c r="D80" s="64" t="str">
        <f t="shared" si="113"/>
        <v>No D65</v>
      </c>
      <c r="E80" s="213">
        <f>(MAX(E75:E78)-MIN(E75:E78))/2</f>
        <v>0.13913940648970044</v>
      </c>
      <c r="F80" s="245"/>
      <c r="G80" s="245"/>
      <c r="H80" s="250"/>
      <c r="I80" s="91" t="str">
        <f>IF(I$54,(MAX(I75:I79)-MIN(I75:I79))/2,"")</f>
        <v/>
      </c>
      <c r="J80" s="91" t="str">
        <f t="shared" ref="J80:AN80" si="122">IF(J$54,(MAX(J75:J79)-MIN(J75:J79))/2,"")</f>
        <v/>
      </c>
      <c r="K80" s="91">
        <f t="shared" si="122"/>
        <v>1.1213479876215677</v>
      </c>
      <c r="L80" s="91">
        <f t="shared" si="122"/>
        <v>0.93644701808746778</v>
      </c>
      <c r="M80" s="91" t="str">
        <f t="shared" si="122"/>
        <v/>
      </c>
      <c r="N80" s="91">
        <f t="shared" si="122"/>
        <v>0.16560129181613265</v>
      </c>
      <c r="O80" s="91">
        <f t="shared" si="122"/>
        <v>0.16088240032836992</v>
      </c>
      <c r="P80" s="91" t="str">
        <f t="shared" si="122"/>
        <v/>
      </c>
      <c r="Q80" s="91">
        <f t="shared" si="122"/>
        <v>0.21165306297373149</v>
      </c>
      <c r="R80" s="91">
        <f t="shared" si="122"/>
        <v>0.13675753313059391</v>
      </c>
      <c r="S80" s="91">
        <f t="shared" si="122"/>
        <v>0.26776332507645073</v>
      </c>
      <c r="T80" s="91">
        <f t="shared" si="122"/>
        <v>0.15621757815389981</v>
      </c>
      <c r="U80" s="91">
        <f t="shared" si="122"/>
        <v>0.32230582407058228</v>
      </c>
      <c r="V80" s="91">
        <f t="shared" si="122"/>
        <v>0.29078092523886806</v>
      </c>
      <c r="W80" s="91">
        <f t="shared" si="122"/>
        <v>0.24697628218606144</v>
      </c>
      <c r="X80" s="91">
        <f t="shared" si="122"/>
        <v>0.48578033486917355</v>
      </c>
      <c r="Y80" s="91">
        <f t="shared" si="122"/>
        <v>0.19604043486909595</v>
      </c>
      <c r="Z80" s="91">
        <f t="shared" si="122"/>
        <v>0.46355138055031925</v>
      </c>
      <c r="AA80" s="91">
        <f t="shared" si="122"/>
        <v>0.29339093872080468</v>
      </c>
      <c r="AB80" s="91">
        <f t="shared" si="122"/>
        <v>0.35661071226078062</v>
      </c>
      <c r="AC80" s="91">
        <f t="shared" si="122"/>
        <v>8.7580461859936287E-2</v>
      </c>
      <c r="AD80" s="91">
        <f t="shared" si="122"/>
        <v>0.24544779448074167</v>
      </c>
      <c r="AE80" s="91">
        <f t="shared" si="122"/>
        <v>0.96035679760429393</v>
      </c>
      <c r="AF80" s="91">
        <f t="shared" si="122"/>
        <v>0.27849134328647074</v>
      </c>
      <c r="AG80" s="91">
        <f t="shared" si="122"/>
        <v>0.92781118752263148</v>
      </c>
      <c r="AH80" s="91">
        <f t="shared" si="122"/>
        <v>5.8283986654130091</v>
      </c>
      <c r="AI80" s="91" t="str">
        <f t="shared" si="122"/>
        <v/>
      </c>
      <c r="AJ80" s="91">
        <f t="shared" si="122"/>
        <v>0.38233136308762045</v>
      </c>
      <c r="AK80" s="91">
        <f t="shared" si="122"/>
        <v>0.87669230156600686</v>
      </c>
      <c r="AL80" s="91">
        <f t="shared" si="122"/>
        <v>0.56819470923408888</v>
      </c>
      <c r="AM80" s="91">
        <f t="shared" si="122"/>
        <v>8.9825011204778871E-2</v>
      </c>
      <c r="AN80" s="91">
        <f t="shared" si="122"/>
        <v>0.35460551808322799</v>
      </c>
      <c r="AO80" s="213">
        <f>(MAX(AO75:AO79)+MIN(AO75:AO79))/2</f>
        <v>-3.5718518477291843E-2</v>
      </c>
      <c r="AR80" s="174"/>
      <c r="AS80" s="212"/>
    </row>
    <row r="81" spans="1:40">
      <c r="A81" s="74"/>
      <c r="B81" s="242" t="str">
        <f>data0!A3</f>
        <v>HZ</v>
      </c>
      <c r="C81" s="242" t="str">
        <f>data0!B3</f>
        <v>LO</v>
      </c>
      <c r="D81" s="242"/>
      <c r="E81" s="59" t="str">
        <f>T10</f>
        <v>X</v>
      </c>
      <c r="F81" s="61">
        <f t="shared" ref="F81:F114" si="123">AVERAGE(I81:AN81)</f>
        <v>934.38178940606008</v>
      </c>
      <c r="G81" s="61">
        <f t="shared" ref="G81:G114" si="124">STDEV(I81:AN81)</f>
        <v>997.16196273534445</v>
      </c>
      <c r="H81" s="59">
        <f>E11</f>
        <v>1005</v>
      </c>
      <c r="I81" s="61" t="str">
        <f>IF(I$54,$V$32*($Q$32*data0!F306+$R$32*data0!F307+$S$32*data0!F308+$T$32*data0!F309),"")</f>
        <v/>
      </c>
      <c r="J81" s="168" t="str">
        <f>IF(J$54,$V$32*($Q$32*data0!G306+$R$32*data0!G307+$S$32*data0!G308+$T$32*data0!G309),"")</f>
        <v/>
      </c>
      <c r="K81" s="168">
        <f>IF(K$54,$V$32*($Q$32*data0!H306+$R$32*data0!H307+$S$32*data0!H308+$T$32*data0!H309),"")</f>
        <v>123.97828354492975</v>
      </c>
      <c r="L81" s="168">
        <f>IF(L$54,$V$32*($Q$32*data0!I306+$R$32*data0!I307+$S$32*data0!I308+$T$32*data0!I309),"")</f>
        <v>48.951159567482307</v>
      </c>
      <c r="M81" s="168" t="str">
        <f>IF(M$54,$V$32*($Q$32*data0!J306+$R$32*data0!J307+$S$32*data0!J308+$T$32*data0!J309),"")</f>
        <v/>
      </c>
      <c r="N81" s="168">
        <f>IF(N$54,$V$32*($Q$32*data0!K306+$R$32*data0!K307+$S$32*data0!K308+$T$32*data0!K309),"")</f>
        <v>1178.5699279669432</v>
      </c>
      <c r="O81" s="168">
        <f>IF(O$54,$V$32*($Q$32*data0!L306+$R$32*data0!L307+$S$32*data0!L308+$T$32*data0!L309),"")</f>
        <v>379.18085788270605</v>
      </c>
      <c r="P81" s="168" t="str">
        <f>IF(P$54,$V$32*($Q$32*data0!M306+$R$32*data0!M307+$S$32*data0!M308+$T$32*data0!M309),"")</f>
        <v/>
      </c>
      <c r="Q81" s="168">
        <f>IF(Q$54,$V$32*($Q$32*data0!N306+$R$32*data0!N307+$S$32*data0!N308+$T$32*data0!N309),"")</f>
        <v>159.54898776640499</v>
      </c>
      <c r="R81" s="168">
        <f>IF(R$54,$V$32*($Q$32*data0!O306+$R$32*data0!O307+$S$32*data0!O308+$T$32*data0!O309),"")</f>
        <v>901.90817828295621</v>
      </c>
      <c r="S81" s="168">
        <f>IF(S$54,$V$32*($Q$32*data0!P306+$R$32*data0!P307+$S$32*data0!P308+$T$32*data0!P309),"")</f>
        <v>1607.1832736774988</v>
      </c>
      <c r="T81" s="168">
        <f>IF(T$54,$V$32*($Q$32*data0!Q306+$R$32*data0!Q307+$S$32*data0!Q308+$T$32*data0!Q309),"")</f>
        <v>400.24562376925371</v>
      </c>
      <c r="U81" s="168">
        <f>IF(U$54,$V$32*($Q$32*data0!R306+$R$32*data0!R307+$S$32*data0!R308+$T$32*data0!R309),"")</f>
        <v>1667.0641212242026</v>
      </c>
      <c r="V81" s="168">
        <f>IF(V$54,$V$32*($Q$32*data0!S306+$R$32*data0!S307+$S$32*data0!S308+$T$32*data0!S309),"")</f>
        <v>1865.6410692043439</v>
      </c>
      <c r="W81" s="168">
        <f>IF(W$54,$V$32*($Q$32*data0!T306+$R$32*data0!T307+$S$32*data0!T308+$T$32*data0!T309),"")</f>
        <v>1438.0788638104966</v>
      </c>
      <c r="X81" s="168">
        <f>IF(X$54,$V$32*($Q$32*data0!U306+$R$32*data0!U307+$S$32*data0!U308+$T$32*data0!U309),"")</f>
        <v>2833.2504192980987</v>
      </c>
      <c r="Y81" s="168">
        <f>IF(Y$54,$V$32*($Q$32*data0!V306+$R$32*data0!V307+$S$32*data0!V308+$T$32*data0!V309),"")</f>
        <v>345.54927856494709</v>
      </c>
      <c r="Z81" s="168">
        <f>IF(Z$54,$V$32*($Q$32*data0!W306+$R$32*data0!W307+$S$32*data0!W308+$T$32*data0!W309),"")</f>
        <v>145.0864824870323</v>
      </c>
      <c r="AA81" s="168">
        <f>IF(AA$54,$V$32*($Q$32*data0!X306+$R$32*data0!X307+$S$32*data0!X308+$T$32*data0!X309),"")</f>
        <v>122.26593709741077</v>
      </c>
      <c r="AB81" s="168">
        <f>IF(AB$54,$V$32*($Q$32*data0!Y306+$R$32*data0!Y307+$S$32*data0!Y308+$T$32*data0!Y309),"")</f>
        <v>95.728551473540563</v>
      </c>
      <c r="AC81" s="168">
        <f>IF(AC$54,$V$32*($Q$32*data0!Z306+$R$32*data0!Z307+$S$32*data0!Z308+$T$32*data0!Z309),"")</f>
        <v>1155.9940397513765</v>
      </c>
      <c r="AD81" s="168">
        <f>IF(AD$54,$V$32*($Q$32*data0!AA306+$R$32*data0!AA307+$S$32*data0!AA308+$T$32*data0!AA309),"")</f>
        <v>1427.1574644331095</v>
      </c>
      <c r="AE81" s="168">
        <f>IF(AE$54,$V$32*($Q$32*data0!AB306+$R$32*data0!AB307+$S$32*data0!AB308+$T$32*data0!AB309),"")</f>
        <v>137.39045896849083</v>
      </c>
      <c r="AF81" s="168">
        <f>IF(AF$54,$V$32*($Q$32*data0!AC306+$R$32*data0!AC307+$S$32*data0!AC308+$T$32*data0!AC309),"")</f>
        <v>118.18974835563755</v>
      </c>
      <c r="AG81" s="168">
        <f>IF(AG$54,$V$32*($Q$32*data0!AD306+$R$32*data0!AD307+$S$32*data0!AD308+$T$32*data0!AD309),"")</f>
        <v>84.886103673374379</v>
      </c>
      <c r="AH81" s="168">
        <f>IF(AH$54,$V$32*($Q$32*data0!AE306+$R$32*data0!AE307+$S$32*data0!AE308+$T$32*data0!AE309),"")</f>
        <v>88.307495262377984</v>
      </c>
      <c r="AI81" s="168" t="str">
        <f>IF(AI$54,$V$32*($Q$32*data0!AF306+$R$32*data0!AF307+$S$32*data0!AF308+$T$32*data0!AF309),"")</f>
        <v/>
      </c>
      <c r="AJ81" s="168">
        <f>IF(AJ$54,$V$32*($Q$32*data0!AG306+$R$32*data0!AG307+$S$32*data0!AG308+$T$32*data0!AG309),"")</f>
        <v>2126.4415665999418</v>
      </c>
      <c r="AK81" s="168">
        <f>IF(AK$54,$V$32*($Q$32*data0!AH306+$R$32*data0!AH307+$S$32*data0!AH308+$T$32*data0!AH309),"")</f>
        <v>218.21717036850768</v>
      </c>
      <c r="AL81" s="168">
        <f>IF(AL$54,$V$32*($Q$32*data0!AI306+$R$32*data0!AI307+$S$32*data0!AI308+$T$32*data0!AI309),"")</f>
        <v>3888.5121904055513</v>
      </c>
      <c r="AM81" s="168">
        <f>IF(AM$54,$V$32*($Q$32*data0!AJ306+$R$32*data0!AJ307+$S$32*data0!AJ308+$T$32*data0!AJ309),"")</f>
        <v>595.48441954904217</v>
      </c>
      <c r="AN81" s="168">
        <f>IF(AN$54,$V$32*($Q$32*data0!AK306+$R$32*data0!AK307+$S$32*data0!AK308+$T$32*data0!AK309),"")</f>
        <v>2075.4966409779631</v>
      </c>
    </row>
    <row r="82" spans="1:40">
      <c r="A82" s="74"/>
      <c r="B82" s="242"/>
      <c r="C82" s="242"/>
      <c r="D82" s="242"/>
      <c r="E82" s="59" t="str">
        <f>U10</f>
        <v>Y</v>
      </c>
      <c r="F82" s="61">
        <f t="shared" si="123"/>
        <v>792.72459253614431</v>
      </c>
      <c r="G82" s="61">
        <f t="shared" si="124"/>
        <v>905.07782908982938</v>
      </c>
      <c r="H82" s="59">
        <f>F11</f>
        <v>844.5</v>
      </c>
      <c r="I82" s="61" t="str">
        <f>IF(I$54,$V$32*($Q$33*data0!F306+$R$33*data0!F307+$S$33*data0!F308+$T$33*data0!F309),"")</f>
        <v/>
      </c>
      <c r="J82" s="168" t="str">
        <f>IF(J$54,$V$32*($Q$33*data0!G306+$R$33*data0!G307+$S$33*data0!G308+$T$33*data0!G309),"")</f>
        <v/>
      </c>
      <c r="K82" s="168">
        <f>IF(K$54,$V$32*($Q$33*data0!H306+$R$33*data0!H307+$S$33*data0!H308+$T$33*data0!H309),"")</f>
        <v>65.661248451959338</v>
      </c>
      <c r="L82" s="168">
        <f>IF(L$54,$V$32*($Q$33*data0!I306+$R$33*data0!I307+$S$33*data0!I308+$T$33*data0!I309),"")</f>
        <v>-3.395032605714658</v>
      </c>
      <c r="M82" s="168" t="str">
        <f>IF(M$54,$V$32*($Q$33*data0!J306+$R$33*data0!J307+$S$33*data0!J308+$T$33*data0!J309),"")</f>
        <v/>
      </c>
      <c r="N82" s="168">
        <f>IF(N$54,$V$32*($Q$33*data0!K306+$R$33*data0!K307+$S$33*data0!K308+$T$33*data0!K309),"")</f>
        <v>1018.1823354278062</v>
      </c>
      <c r="O82" s="168">
        <f>IF(O$54,$V$32*($Q$33*data0!L306+$R$33*data0!L307+$S$33*data0!L308+$T$33*data0!L309),"")</f>
        <v>287.53407587683273</v>
      </c>
      <c r="P82" s="168" t="str">
        <f>IF(P$54,$V$32*($Q$33*data0!M306+$R$33*data0!M307+$S$33*data0!M308+$T$33*data0!M309),"")</f>
        <v/>
      </c>
      <c r="Q82" s="168">
        <f>IF(Q$54,$V$32*($Q$33*data0!N306+$R$33*data0!N307+$S$33*data0!N308+$T$33*data0!N309),"")</f>
        <v>86.288548038717195</v>
      </c>
      <c r="R82" s="168">
        <f>IF(R$54,$V$32*($Q$33*data0!O306+$R$33*data0!O307+$S$33*data0!O308+$T$33*data0!O309),"")</f>
        <v>764.84072207886436</v>
      </c>
      <c r="S82" s="168">
        <f>IF(S$54,$V$32*($Q$33*data0!P306+$R$33*data0!P307+$S$33*data0!P308+$T$33*data0!P309),"")</f>
        <v>1395.565157415672</v>
      </c>
      <c r="T82" s="168">
        <f>IF(T$54,$V$32*($Q$33*data0!Q306+$R$33*data0!Q307+$S$33*data0!Q308+$T$33*data0!Q309),"")</f>
        <v>307.04651630145656</v>
      </c>
      <c r="U82" s="168">
        <f>IF(U$54,$V$32*($Q$33*data0!R306+$R$33*data0!R307+$S$33*data0!R308+$T$33*data0!R309),"")</f>
        <v>1448.8667185911397</v>
      </c>
      <c r="V82" s="168">
        <f>IF(V$54,$V$32*($Q$33*data0!S306+$R$33*data0!S307+$S$33*data0!S308+$T$33*data0!S309),"")</f>
        <v>1641.0601181156328</v>
      </c>
      <c r="W82" s="168">
        <f>IF(W$54,$V$32*($Q$33*data0!T306+$R$33*data0!T307+$S$33*data0!T308+$T$33*data0!T309),"")</f>
        <v>1252.0291122929455</v>
      </c>
      <c r="X82" s="168">
        <f>IF(X$54,$V$32*($Q$33*data0!U306+$R$33*data0!U307+$S$33*data0!U308+$T$33*data0!U309),"")</f>
        <v>2520.0642800880501</v>
      </c>
      <c r="Y82" s="168">
        <f>IF(Y$54,$V$32*($Q$33*data0!V306+$R$33*data0!V307+$S$33*data0!V308+$T$33*data0!V309),"")</f>
        <v>254.59271381935659</v>
      </c>
      <c r="Z82" s="168">
        <f>IF(Z$54,$V$32*($Q$33*data0!W306+$R$33*data0!W307+$S$33*data0!W308+$T$33*data0!W309),"")</f>
        <v>77.862287219874773</v>
      </c>
      <c r="AA82" s="168">
        <f>IF(AA$54,$V$32*($Q$33*data0!X306+$R$33*data0!X307+$S$33*data0!X308+$T$33*data0!X309),"")</f>
        <v>65.683911865099574</v>
      </c>
      <c r="AB82" s="168">
        <f>IF(AB$54,$V$32*($Q$33*data0!Y306+$R$33*data0!Y307+$S$33*data0!Y308+$T$33*data0!Y309),"")</f>
        <v>40.007216598941667</v>
      </c>
      <c r="AC82" s="168">
        <f>IF(AC$54,$V$32*($Q$33*data0!Z306+$R$33*data0!Z307+$S$33*data0!Z308+$T$33*data0!Z309),"")</f>
        <v>974.91255034651238</v>
      </c>
      <c r="AD82" s="168">
        <f>IF(AD$54,$V$32*($Q$33*data0!AA306+$R$33*data0!AA307+$S$33*data0!AA308+$T$33*data0!AA309),"")</f>
        <v>1245.8499891454207</v>
      </c>
      <c r="AE82" s="168">
        <f>IF(AE$54,$V$32*($Q$33*data0!AB306+$R$33*data0!AB307+$S$33*data0!AB308+$T$33*data0!AB309),"")</f>
        <v>73.525128627654667</v>
      </c>
      <c r="AF82" s="168">
        <f>IF(AF$54,$V$32*($Q$33*data0!AC306+$R$33*data0!AC307+$S$33*data0!AC308+$T$33*data0!AC309),"")</f>
        <v>56.918625694339269</v>
      </c>
      <c r="AG82" s="168">
        <f>IF(AG$54,$V$32*($Q$33*data0!AD306+$R$33*data0!AD307+$S$33*data0!AD308+$T$33*data0!AD309),"")</f>
        <v>18.149515136991294</v>
      </c>
      <c r="AH82" s="168">
        <f>IF(AH$54,$V$32*($Q$33*data0!AE306+$R$33*data0!AE307+$S$33*data0!AE308+$T$33*data0!AE309),"")</f>
        <v>18.614755144022361</v>
      </c>
      <c r="AI82" s="168" t="str">
        <f>IF(AI$54,$V$32*($Q$33*data0!AF306+$R$33*data0!AF307+$S$33*data0!AF308+$T$33*data0!AF309),"")</f>
        <v/>
      </c>
      <c r="AJ82" s="168">
        <f>IF(AJ$54,$V$32*($Q$33*data0!AG306+$R$33*data0!AG307+$S$33*data0!AG308+$T$33*data0!AG309),"")</f>
        <v>1876.094761146612</v>
      </c>
      <c r="AK82" s="168">
        <f>IF(AK$54,$V$32*($Q$33*data0!AH306+$R$33*data0!AH307+$S$33*data0!AH308+$T$33*data0!AH309),"")</f>
        <v>122.86075270833481</v>
      </c>
      <c r="AL82" s="168">
        <f>IF(AL$54,$V$32*($Q$33*data0!AI306+$R$33*data0!AI307+$S$33*data0!AI308+$T$33*data0!AI309),"")</f>
        <v>3467.9407563390769</v>
      </c>
      <c r="AM82" s="168">
        <f>IF(AM$54,$V$32*($Q$33*data0!AJ306+$R$33*data0!AJ307+$S$33*data0!AJ308+$T$33*data0!AJ309),"")</f>
        <v>477.95446821820303</v>
      </c>
      <c r="AN82" s="168">
        <f>IF(AN$54,$V$32*($Q$33*data0!AK306+$R$33*data0!AK307+$S$33*data0!AK308+$T$33*data0!AK309),"")</f>
        <v>1848.8527663920929</v>
      </c>
    </row>
    <row r="83" spans="1:40">
      <c r="A83" s="74"/>
      <c r="B83" s="242"/>
      <c r="C83" s="242"/>
      <c r="D83" s="242"/>
      <c r="E83" s="59" t="str">
        <f>V10</f>
        <v>Z</v>
      </c>
      <c r="F83" s="61">
        <f t="shared" si="123"/>
        <v>200.20137264152726</v>
      </c>
      <c r="G83" s="61">
        <f t="shared" si="124"/>
        <v>50.274627170899969</v>
      </c>
      <c r="H83" s="59">
        <f>G11</f>
        <v>176</v>
      </c>
      <c r="I83" s="61" t="str">
        <f>IF(I$54,$V$32*($Q$34*data0!F306+$R$34*data0!F307+$S$34*data0!F308+$T$34*data0!F309),"")</f>
        <v/>
      </c>
      <c r="J83" s="168" t="str">
        <f>IF(J$54,$V$32*($Q$34*data0!G306+$R$34*data0!G307+$S$34*data0!G308+$T$34*data0!G309),"")</f>
        <v/>
      </c>
      <c r="K83" s="168">
        <f>IF(K$54,$V$32*($Q$34*data0!H306+$R$34*data0!H307+$S$34*data0!H308+$T$34*data0!H309),"")</f>
        <v>149.78854060692552</v>
      </c>
      <c r="L83" s="168">
        <f>IF(L$54,$V$32*($Q$34*data0!I306+$R$34*data0!I307+$S$34*data0!I308+$T$34*data0!I309),"")</f>
        <v>229.15600402891167</v>
      </c>
      <c r="M83" s="168" t="str">
        <f>IF(M$54,$V$32*($Q$34*data0!J306+$R$34*data0!J307+$S$34*data0!J308+$T$34*data0!J309),"")</f>
        <v/>
      </c>
      <c r="N83" s="168">
        <f>IF(N$54,$V$32*($Q$34*data0!K306+$R$34*data0!K307+$S$34*data0!K308+$T$34*data0!K309),"")</f>
        <v>195.79465038158492</v>
      </c>
      <c r="O83" s="168">
        <f>IF(O$54,$V$32*($Q$34*data0!L306+$R$34*data0!L307+$S$34*data0!L308+$T$34*data0!L309),"")</f>
        <v>177.3169408561705</v>
      </c>
      <c r="P83" s="168" t="str">
        <f>IF(P$54,$V$32*($Q$34*data0!M306+$R$34*data0!M307+$S$34*data0!M308+$T$34*data0!M309),"")</f>
        <v/>
      </c>
      <c r="Q83" s="168">
        <f>IF(Q$54,$V$32*($Q$34*data0!N306+$R$34*data0!N307+$S$34*data0!N308+$T$34*data0!N309),"")</f>
        <v>162.55378550672989</v>
      </c>
      <c r="R83" s="168">
        <f>IF(R$54,$V$32*($Q$34*data0!O306+$R$34*data0!O307+$S$34*data0!O308+$T$34*data0!O309),"")</f>
        <v>152.63402489908651</v>
      </c>
      <c r="S83" s="168">
        <f>IF(S$54,$V$32*($Q$34*data0!P306+$R$34*data0!P307+$S$34*data0!P308+$T$34*data0!P309),"")</f>
        <v>176.12021568493145</v>
      </c>
      <c r="T83" s="168">
        <f>IF(T$54,$V$32*($Q$34*data0!Q306+$R$34*data0!Q307+$S$34*data0!Q308+$T$34*data0!Q309),"")</f>
        <v>196.77210398309705</v>
      </c>
      <c r="U83" s="168">
        <f>IF(U$54,$V$32*($Q$34*data0!R306+$R$34*data0!R307+$S$34*data0!R308+$T$34*data0!R309),"")</f>
        <v>168.77302733026778</v>
      </c>
      <c r="V83" s="168">
        <f>IF(V$54,$V$32*($Q$34*data0!S306+$R$34*data0!S307+$S$34*data0!S308+$T$34*data0!S309),"")</f>
        <v>245.35770945395529</v>
      </c>
      <c r="W83" s="168">
        <f>IF(W$54,$V$32*($Q$34*data0!T306+$R$34*data0!T307+$S$34*data0!T308+$T$34*data0!T309),"")</f>
        <v>233.33657298902915</v>
      </c>
      <c r="X83" s="168">
        <f>IF(X$54,$V$32*($Q$34*data0!U306+$R$34*data0!U307+$S$34*data0!U308+$T$34*data0!U309),"")</f>
        <v>293.42198723097795</v>
      </c>
      <c r="Y83" s="168">
        <f>IF(Y$54,$V$32*($Q$34*data0!V306+$R$34*data0!V307+$S$34*data0!V308+$T$34*data0!V309),"")</f>
        <v>154.20205617056396</v>
      </c>
      <c r="Z83" s="168">
        <f>IF(Z$54,$V$32*($Q$34*data0!W306+$R$34*data0!W307+$S$34*data0!W308+$T$34*data0!W309),"")</f>
        <v>163.49138500054551</v>
      </c>
      <c r="AA83" s="168">
        <f>IF(AA$54,$V$32*($Q$34*data0!X306+$R$34*data0!X307+$S$34*data0!X308+$T$34*data0!X309),"")</f>
        <v>215.50106416511238</v>
      </c>
      <c r="AB83" s="168">
        <f>IF(AB$54,$V$32*($Q$34*data0!Y306+$R$34*data0!Y307+$S$34*data0!Y308+$T$34*data0!Y309),"")</f>
        <v>215.29271679391348</v>
      </c>
      <c r="AC83" s="168">
        <f>IF(AC$54,$V$32*($Q$34*data0!Z306+$R$34*data0!Z307+$S$34*data0!Z308+$T$34*data0!Z309),"")</f>
        <v>189.67047283875107</v>
      </c>
      <c r="AD83" s="168">
        <f>IF(AD$54,$V$32*($Q$34*data0!AA306+$R$34*data0!AA307+$S$34*data0!AA308+$T$34*data0!AA309),"")</f>
        <v>239.39823977924979</v>
      </c>
      <c r="AE83" s="168">
        <f>IF(AE$54,$V$32*($Q$34*data0!AB306+$R$34*data0!AB307+$S$34*data0!AB308+$T$34*data0!AB309),"")</f>
        <v>148.28760254705429</v>
      </c>
      <c r="AF83" s="168">
        <f>IF(AF$54,$V$32*($Q$34*data0!AC306+$R$34*data0!AC307+$S$34*data0!AC308+$T$34*data0!AC309),"")</f>
        <v>176.45922288384392</v>
      </c>
      <c r="AG83" s="168">
        <f>IF(AG$54,$V$32*($Q$34*data0!AD306+$R$34*data0!AD307+$S$34*data0!AD308+$T$34*data0!AD309),"")</f>
        <v>211.35986873698261</v>
      </c>
      <c r="AH83" s="168">
        <f>IF(AH$54,$V$32*($Q$34*data0!AE306+$R$34*data0!AE307+$S$34*data0!AE308+$T$34*data0!AE309),"")</f>
        <v>182.63017790867906</v>
      </c>
      <c r="AI83" s="168" t="str">
        <f>IF(AI$54,$V$32*($Q$34*data0!AF306+$R$34*data0!AF307+$S$34*data0!AF308+$T$34*data0!AF309),"")</f>
        <v/>
      </c>
      <c r="AJ83" s="168">
        <f>IF(AJ$54,$V$32*($Q$34*data0!AG306+$R$34*data0!AG307+$S$34*data0!AG308+$T$34*data0!AG309),"")</f>
        <v>222.10102093096702</v>
      </c>
      <c r="AK83" s="168">
        <f>IF(AK$54,$V$32*($Q$34*data0!AH306+$R$34*data0!AH307+$S$34*data0!AH308+$T$34*data0!AH309),"")</f>
        <v>119.79933777607691</v>
      </c>
      <c r="AL83" s="168">
        <f>IF(AL$54,$V$32*($Q$34*data0!AI306+$R$34*data0!AI307+$S$34*data0!AI308+$T$34*data0!AI309),"")</f>
        <v>304.97144887374736</v>
      </c>
      <c r="AM83" s="168">
        <f>IF(AM$54,$V$32*($Q$34*data0!AJ306+$R$34*data0!AJ307+$S$34*data0!AJ308+$T$34*data0!AJ309),"")</f>
        <v>156.2044709143388</v>
      </c>
      <c r="AN83" s="168">
        <f>IF(AN$54,$V$32*($Q$34*data0!AK306+$R$34*data0!AK307+$S$34*data0!AK308+$T$34*data0!AK309),"")</f>
        <v>325.04241304974278</v>
      </c>
    </row>
    <row r="84" spans="1:40">
      <c r="A84" s="74"/>
      <c r="B84" s="242"/>
      <c r="C84" s="242" t="str">
        <f>data0!B9</f>
        <v>HI</v>
      </c>
      <c r="D84" s="242"/>
      <c r="E84" s="59" t="str">
        <f>E81</f>
        <v>X</v>
      </c>
      <c r="F84" s="61">
        <f t="shared" si="123"/>
        <v>1000.8617100445553</v>
      </c>
      <c r="G84" s="61">
        <f t="shared" si="124"/>
        <v>1078.9579676473952</v>
      </c>
      <c r="H84" s="242"/>
      <c r="I84" s="168" t="str">
        <f>IF(I$54,$V$33*($Q$32*data0!F310+$R$32*data0!F311+$S$32*data0!F312+$T$32*data0!F313),"")</f>
        <v/>
      </c>
      <c r="J84" s="168" t="str">
        <f>IF(J$54,$V$33*($Q$32*data0!G310+$R$32*data0!G311+$S$32*data0!G312+$T$32*data0!G313),"")</f>
        <v/>
      </c>
      <c r="K84" s="168">
        <f>IF(K$54,$V$33*($Q$32*data0!H310+$R$32*data0!H311+$S$32*data0!H312+$T$32*data0!H313),"")</f>
        <v>136.16402377001867</v>
      </c>
      <c r="L84" s="168">
        <f>IF(L$54,$V$33*($Q$32*data0!I310+$R$32*data0!I311+$S$32*data0!I312+$T$32*data0!I313),"")</f>
        <v>42.776383349888356</v>
      </c>
      <c r="M84" s="168" t="str">
        <f>IF(M$54,$V$33*($Q$32*data0!J310+$R$32*data0!J311+$S$32*data0!J312+$T$32*data0!J313),"")</f>
        <v/>
      </c>
      <c r="N84" s="168">
        <f>IF(N$54,$V$33*($Q$32*data0!K310+$R$32*data0!K311+$S$32*data0!K312+$T$32*data0!K313),"")</f>
        <v>1220.8180565310204</v>
      </c>
      <c r="O84" s="168">
        <f>IF(O$54,$V$33*($Q$32*data0!L310+$R$32*data0!L311+$S$32*data0!L312+$T$32*data0!L313),"")</f>
        <v>435.51660929257821</v>
      </c>
      <c r="P84" s="168" t="str">
        <f>IF(P$54,$V$33*($Q$32*data0!M310+$R$32*data0!M311+$S$32*data0!M312+$T$32*data0!M313),"")</f>
        <v/>
      </c>
      <c r="Q84" s="168">
        <f>IF(Q$54,$V$33*($Q$32*data0!N310+$R$32*data0!N311+$S$32*data0!N312+$T$32*data0!N313),"")</f>
        <v>149.34850023122462</v>
      </c>
      <c r="R84" s="168">
        <f>IF(R$54,$V$33*($Q$32*data0!O310+$R$32*data0!O311+$S$32*data0!O312+$T$32*data0!O313),"")</f>
        <v>1024.1647232066771</v>
      </c>
      <c r="S84" s="168">
        <f>IF(S$54,$V$33*($Q$32*data0!P310+$R$32*data0!P311+$S$32*data0!P312+$T$32*data0!P313),"")</f>
        <v>1782.5637689953669</v>
      </c>
      <c r="T84" s="168">
        <f>IF(T$54,$V$33*($Q$32*data0!Q310+$R$32*data0!Q311+$S$32*data0!Q312+$T$32*data0!Q313),"")</f>
        <v>385.67238729374458</v>
      </c>
      <c r="U84" s="168">
        <f>IF(U$54,$V$33*($Q$32*data0!R310+$R$32*data0!R311+$S$32*data0!R312+$T$32*data0!R313),"")</f>
        <v>1725.3807354880582</v>
      </c>
      <c r="V84" s="168">
        <f>IF(V$54,$V$33*($Q$32*data0!S310+$R$32*data0!S311+$S$32*data0!S312+$T$32*data0!S313),"")</f>
        <v>2032.0348443709279</v>
      </c>
      <c r="W84" s="168">
        <f>IF(W$54,$V$33*($Q$32*data0!T310+$R$32*data0!T311+$S$32*data0!T312+$T$32*data0!T313),"")</f>
        <v>1532.1567891119773</v>
      </c>
      <c r="X84" s="168">
        <f>IF(X$54,$V$33*($Q$32*data0!U310+$R$32*data0!U311+$S$32*data0!U312+$T$32*data0!U313),"")</f>
        <v>3418.3450099250426</v>
      </c>
      <c r="Y84" s="168">
        <f>IF(Y$54,$V$33*($Q$32*data0!V310+$R$32*data0!V311+$S$32*data0!V312+$T$32*data0!V313),"")</f>
        <v>340.21107715277458</v>
      </c>
      <c r="Z84" s="168">
        <f>IF(Z$54,$V$33*($Q$32*data0!W310+$R$32*data0!W311+$S$32*data0!W312+$T$32*data0!W313),"")</f>
        <v>237.80374785663261</v>
      </c>
      <c r="AA84" s="168">
        <f>IF(AA$54,$V$33*($Q$32*data0!X310+$R$32*data0!X311+$S$32*data0!X312+$T$32*data0!X313),"")</f>
        <v>174.96649260041281</v>
      </c>
      <c r="AB84" s="168">
        <f>IF(AB$54,$V$33*($Q$32*data0!Y310+$R$32*data0!Y311+$S$32*data0!Y312+$T$32*data0!Y313),"")</f>
        <v>86.306239505150458</v>
      </c>
      <c r="AC84" s="168">
        <f>IF(AC$54,$V$33*($Q$32*data0!Z310+$R$32*data0!Z311+$S$32*data0!Z312+$T$32*data0!Z313),"")</f>
        <v>1129.2596874950561</v>
      </c>
      <c r="AD84" s="168">
        <f>IF(AD$54,$V$33*($Q$32*data0!AA310+$R$32*data0!AA311+$S$32*data0!AA312+$T$32*data0!AA313),"")</f>
        <v>1491.2185600670887</v>
      </c>
      <c r="AE84" s="168">
        <f>IF(AE$54,$V$33*($Q$32*data0!AB310+$R$32*data0!AB311+$S$32*data0!AB312+$T$32*data0!AB313),"")</f>
        <v>114.27333937141256</v>
      </c>
      <c r="AF84" s="168">
        <f>IF(AF$54,$V$33*($Q$32*data0!AC310+$R$32*data0!AC311+$S$32*data0!AC312+$T$32*data0!AC313),"")</f>
        <v>113.5286716854137</v>
      </c>
      <c r="AG84" s="168">
        <f>IF(AG$54,$V$33*($Q$32*data0!AD310+$R$32*data0!AD311+$S$32*data0!AD312+$T$32*data0!AD313),"")</f>
        <v>67.070373767006089</v>
      </c>
      <c r="AH84" s="168">
        <f>IF(AH$54,$V$33*($Q$32*data0!AE310+$R$32*data0!AE311+$S$32*data0!AE312+$T$32*data0!AE313),"")</f>
        <v>146.61137522088197</v>
      </c>
      <c r="AI84" s="168" t="str">
        <f>IF(AI$54,$V$33*($Q$32*data0!AF310+$R$32*data0!AF311+$S$32*data0!AF312+$T$32*data0!AF313),"")</f>
        <v/>
      </c>
      <c r="AJ84" s="168">
        <f>IF(AJ$54,$V$33*($Q$32*data0!AG310+$R$32*data0!AG311+$S$32*data0!AG312+$T$32*data0!AG313),"")</f>
        <v>2209.3333665517252</v>
      </c>
      <c r="AK84" s="168">
        <f>IF(AK$54,$V$33*($Q$32*data0!AH310+$R$32*data0!AH311+$S$32*data0!AH312+$T$32*data0!AH313),"")</f>
        <v>201.61276202241316</v>
      </c>
      <c r="AL84" s="168">
        <f>IF(AL$54,$V$33*($Q$32*data0!AI310+$R$32*data0!AI311+$S$32*data0!AI312+$T$32*data0!AI313),"")</f>
        <v>4037.6738885505665</v>
      </c>
      <c r="AM84" s="168">
        <f>IF(AM$54,$V$33*($Q$32*data0!AJ310+$R$32*data0!AJ311+$S$32*data0!AJ312+$T$32*data0!AJ313),"")</f>
        <v>618.26902595080242</v>
      </c>
      <c r="AN84" s="168">
        <f>IF(AN$54,$V$33*($Q$32*data0!AK310+$R$32*data0!AK311+$S$32*data0!AK312+$T$32*data0!AK313),"")</f>
        <v>2170.185731839133</v>
      </c>
    </row>
    <row r="85" spans="1:40">
      <c r="A85" s="74"/>
      <c r="B85" s="242"/>
      <c r="C85" s="242"/>
      <c r="D85" s="242"/>
      <c r="E85" s="59" t="str">
        <f t="shared" ref="E85:E86" si="125">E82</f>
        <v>Y</v>
      </c>
      <c r="F85" s="61">
        <f t="shared" si="123"/>
        <v>851.17088983695078</v>
      </c>
      <c r="G85" s="61">
        <f t="shared" si="124"/>
        <v>979.72985642275978</v>
      </c>
      <c r="H85" s="242"/>
      <c r="I85" s="168" t="str">
        <f>IF(I$54,$V$33*($Q$33*data0!F310+$R$33*data0!F311+$S$33*data0!F312+$T$33*data0!F313),"")</f>
        <v/>
      </c>
      <c r="J85" s="168" t="str">
        <f>IF(J$54,$V$33*($Q$33*data0!G310+$R$33*data0!G311+$S$33*data0!G312+$T$33*data0!G313),"")</f>
        <v/>
      </c>
      <c r="K85" s="168">
        <f>IF(K$54,$V$33*($Q$33*data0!H310+$R$33*data0!H311+$S$33*data0!H312+$T$33*data0!H313),"")</f>
        <v>72.781930559636194</v>
      </c>
      <c r="L85" s="168">
        <f>IF(L$54,$V$33*($Q$33*data0!I310+$R$33*data0!I311+$S$33*data0!I312+$T$33*data0!I313),"")</f>
        <v>-9.9498009337254238</v>
      </c>
      <c r="M85" s="168" t="str">
        <f>IF(M$54,$V$33*($Q$33*data0!J310+$R$33*data0!J311+$S$33*data0!J312+$T$33*data0!J313),"")</f>
        <v/>
      </c>
      <c r="N85" s="168">
        <f>IF(N$54,$V$33*($Q$33*data0!K310+$R$33*data0!K311+$S$33*data0!K312+$T$33*data0!K313),"")</f>
        <v>1055.2339819164076</v>
      </c>
      <c r="O85" s="168">
        <f>IF(O$54,$V$33*($Q$33*data0!L310+$R$33*data0!L311+$S$33*data0!L312+$T$33*data0!L313),"")</f>
        <v>337.71461458119086</v>
      </c>
      <c r="P85" s="168" t="str">
        <f>IF(P$54,$V$33*($Q$33*data0!M310+$R$33*data0!M311+$S$33*data0!M312+$T$33*data0!M313),"")</f>
        <v/>
      </c>
      <c r="Q85" s="168">
        <f>IF(Q$54,$V$33*($Q$33*data0!N310+$R$33*data0!N311+$S$33*data0!N312+$T$33*data0!N313),"")</f>
        <v>73.686016946243825</v>
      </c>
      <c r="R85" s="168">
        <f>IF(R$54,$V$33*($Q$33*data0!O310+$R$33*data0!O311+$S$33*data0!O312+$T$33*data0!O313),"")</f>
        <v>869.87255082369575</v>
      </c>
      <c r="S85" s="168">
        <f>IF(S$54,$V$33*($Q$33*data0!P310+$R$33*data0!P311+$S$33*data0!P312+$T$33*data0!P313),"")</f>
        <v>1552.3943335482359</v>
      </c>
      <c r="T85" s="168">
        <f>IF(T$54,$V$33*($Q$33*data0!Q310+$R$33*data0!Q311+$S$33*data0!Q312+$T$33*data0!Q313),"")</f>
        <v>295.71219036698506</v>
      </c>
      <c r="U85" s="168">
        <f>IF(U$54,$V$33*($Q$33*data0!R310+$R$33*data0!R311+$S$33*data0!R312+$T$33*data0!R313),"")</f>
        <v>1500.9496790897938</v>
      </c>
      <c r="V85" s="168">
        <f>IF(V$54,$V$33*($Q$33*data0!S310+$R$33*data0!S311+$S$33*data0!S312+$T$33*data0!S313),"")</f>
        <v>1788.8443933477265</v>
      </c>
      <c r="W85" s="168">
        <f>IF(W$54,$V$33*($Q$33*data0!T310+$R$33*data0!T311+$S$33*data0!T312+$T$33*data0!T313),"")</f>
        <v>1334.4862972251456</v>
      </c>
      <c r="X85" s="168">
        <f>IF(X$54,$V$33*($Q$33*data0!U310+$R$33*data0!U311+$S$33*data0!U312+$T$33*data0!U313),"")</f>
        <v>3049.3516235421635</v>
      </c>
      <c r="Y85" s="168">
        <f>IF(Y$54,$V$33*($Q$33*data0!V310+$R$33*data0!V311+$S$33*data0!V312+$T$33*data0!V313),"")</f>
        <v>251.23016073871582</v>
      </c>
      <c r="Z85" s="168">
        <f>IF(Z$54,$V$33*($Q$33*data0!W310+$R$33*data0!W311+$S$33*data0!W312+$T$33*data0!W313),"")</f>
        <v>154.8667078780114</v>
      </c>
      <c r="AA85" s="168">
        <f>IF(AA$54,$V$33*($Q$33*data0!X310+$R$33*data0!X311+$S$33*data0!X312+$T$33*data0!X313),"")</f>
        <v>114.41503555567888</v>
      </c>
      <c r="AB85" s="168">
        <f>IF(AB$54,$V$33*($Q$33*data0!Y310+$R$33*data0!Y311+$S$33*data0!Y312+$T$33*data0!Y313),"")</f>
        <v>25.768276274989564</v>
      </c>
      <c r="AC85" s="168">
        <f>IF(AC$54,$V$33*($Q$33*data0!Z310+$R$33*data0!Z311+$S$33*data0!Z312+$T$33*data0!Z313),"")</f>
        <v>954.55499340859126</v>
      </c>
      <c r="AD85" s="168">
        <f>IF(AD$54,$V$33*($Q$33*data0!AA310+$R$33*data0!AA311+$S$33*data0!AA312+$T$33*data0!AA313),"")</f>
        <v>1300.7166284905102</v>
      </c>
      <c r="AE85" s="168">
        <f>IF(AE$54,$V$33*($Q$33*data0!AB310+$R$33*data0!AB311+$S$33*data0!AB312+$T$33*data0!AB313),"")</f>
        <v>52.635273901515617</v>
      </c>
      <c r="AF85" s="168">
        <f>IF(AF$54,$V$33*($Q$33*data0!AC310+$R$33*data0!AC311+$S$33*data0!AC312+$T$33*data0!AC313),"")</f>
        <v>51.767993050640925</v>
      </c>
      <c r="AG85" s="168">
        <f>IF(AG$54,$V$33*($Q$33*data0!AD310+$R$33*data0!AD311+$S$33*data0!AD312+$T$33*data0!AD313),"")</f>
        <v>1.8427898727512986</v>
      </c>
      <c r="AH85" s="168">
        <f>IF(AH$54,$V$33*($Q$33*data0!AE310+$R$33*data0!AE311+$S$33*data0!AE312+$T$33*data0!AE313),"")</f>
        <v>64.162559462253753</v>
      </c>
      <c r="AI85" s="168" t="str">
        <f>IF(AI$54,$V$33*($Q$33*data0!AF310+$R$33*data0!AF311+$S$33*data0!AF312+$T$33*data0!AF313),"")</f>
        <v/>
      </c>
      <c r="AJ85" s="168">
        <f>IF(AJ$54,$V$33*($Q$33*data0!AG310+$R$33*data0!AG311+$S$33*data0!AG312+$T$33*data0!AG313),"")</f>
        <v>1950.4983620966332</v>
      </c>
      <c r="AK85" s="168">
        <f>IF(AK$54,$V$33*($Q$33*data0!AH310+$R$33*data0!AH311+$S$33*data0!AH312+$T$33*data0!AH313),"")</f>
        <v>104.49801490343734</v>
      </c>
      <c r="AL85" s="168">
        <f>IF(AL$54,$V$33*($Q$33*data0!AI310+$R$33*data0!AI311+$S$33*data0!AI312+$T$33*data0!AI313),"")</f>
        <v>3602.2592787026233</v>
      </c>
      <c r="AM85" s="168">
        <f>IF(AM$54,$V$33*($Q$33*data0!AJ310+$R$33*data0!AJ311+$S$33*data0!AJ312+$T$33*data0!AJ313),"")</f>
        <v>497.15605599035911</v>
      </c>
      <c r="AN85" s="168">
        <f>IF(AN$54,$V$33*($Q$33*data0!AK310+$R$33*data0!AK311+$S$33*data0!AK312+$T$33*data0!AK313),"")</f>
        <v>1934.1640842574582</v>
      </c>
    </row>
    <row r="86" spans="1:40">
      <c r="A86" s="74"/>
      <c r="B86" s="242"/>
      <c r="C86" s="242"/>
      <c r="D86" s="242"/>
      <c r="E86" s="59" t="str">
        <f t="shared" si="125"/>
        <v>Z</v>
      </c>
      <c r="F86" s="61">
        <f t="shared" si="123"/>
        <v>218.92022164683806</v>
      </c>
      <c r="G86" s="61">
        <f t="shared" si="124"/>
        <v>51.13562293840377</v>
      </c>
      <c r="H86" s="242"/>
      <c r="I86" s="168" t="str">
        <f>IF(I$54,$V$33*($Q$34*data0!F310+$R$34*data0!F311+$S$34*data0!F312+$T$34*data0!F313),"")</f>
        <v/>
      </c>
      <c r="J86" s="168" t="str">
        <f>IF(J$54,$V$33*($Q$34*data0!G310+$R$34*data0!G311+$S$34*data0!G312+$T$34*data0!G313),"")</f>
        <v/>
      </c>
      <c r="K86" s="168">
        <f>IF(K$54,$V$33*($Q$34*data0!H310+$R$34*data0!H311+$S$34*data0!H312+$T$34*data0!H313),"")</f>
        <v>159.75182213086129</v>
      </c>
      <c r="L86" s="168">
        <f>IF(L$54,$V$33*($Q$34*data0!I310+$R$34*data0!I311+$S$34*data0!I312+$T$34*data0!I313),"")</f>
        <v>243.55149693823796</v>
      </c>
      <c r="M86" s="168" t="str">
        <f>IF(M$54,$V$33*($Q$34*data0!J310+$R$34*data0!J311+$S$34*data0!J312+$T$34*data0!J313),"")</f>
        <v/>
      </c>
      <c r="N86" s="168">
        <f>IF(N$54,$V$33*($Q$34*data0!K310+$R$34*data0!K311+$S$34*data0!K312+$T$34*data0!K313),"")</f>
        <v>212.00611669306147</v>
      </c>
      <c r="O86" s="168">
        <f>IF(O$54,$V$33*($Q$34*data0!L310+$R$34*data0!L311+$S$34*data0!L312+$T$34*data0!L313),"")</f>
        <v>188.65519182992733</v>
      </c>
      <c r="P86" s="168" t="str">
        <f>IF(P$54,$V$33*($Q$34*data0!M310+$R$34*data0!M311+$S$34*data0!M312+$T$34*data0!M313),"")</f>
        <v/>
      </c>
      <c r="Q86" s="168">
        <f>IF(Q$54,$V$33*($Q$34*data0!N310+$R$34*data0!N311+$S$34*data0!N312+$T$34*data0!N313),"")</f>
        <v>203.51181103432154</v>
      </c>
      <c r="R86" s="168">
        <f>IF(R$54,$V$33*($Q$34*data0!O310+$R$34*data0!O311+$S$34*data0!O312+$T$34*data0!O313),"")</f>
        <v>179.22153824652139</v>
      </c>
      <c r="S86" s="168">
        <f>IF(S$54,$V$33*($Q$34*data0!P310+$R$34*data0!P311+$S$34*data0!P312+$T$34*data0!P313),"")</f>
        <v>208.56729404041346</v>
      </c>
      <c r="T86" s="168">
        <f>IF(T$54,$V$33*($Q$34*data0!Q310+$R$34*data0!Q311+$S$34*data0!Q312+$T$34*data0!Q313),"")</f>
        <v>197.81726829797526</v>
      </c>
      <c r="U86" s="168">
        <f>IF(U$54,$V$33*($Q$34*data0!R310+$R$34*data0!R311+$S$34*data0!R312+$T$34*data0!R313),"")</f>
        <v>170.17773511869433</v>
      </c>
      <c r="V86" s="168">
        <f>IF(V$54,$V$33*($Q$34*data0!S310+$R$34*data0!S311+$S$34*data0!S312+$T$34*data0!S313),"")</f>
        <v>270.60090607790374</v>
      </c>
      <c r="W86" s="168">
        <f>IF(W$54,$V$33*($Q$34*data0!T310+$R$34*data0!T311+$S$34*data0!T312+$T$34*data0!T313),"")</f>
        <v>245.07101674836898</v>
      </c>
      <c r="X86" s="168">
        <f>IF(X$54,$V$33*($Q$34*data0!U310+$R$34*data0!U311+$S$34*data0!U312+$T$34*data0!U313),"")</f>
        <v>312.19415175204352</v>
      </c>
      <c r="Y86" s="168">
        <f>IF(Y$54,$V$33*($Q$34*data0!V310+$R$34*data0!V311+$S$34*data0!V312+$T$34*data0!V313),"")</f>
        <v>174.28199942368477</v>
      </c>
      <c r="Z86" s="168">
        <f>IF(Z$54,$V$33*($Q$34*data0!W310+$R$34*data0!W311+$S$34*data0!W312+$T$34*data0!W313),"")</f>
        <v>155.9258386088778</v>
      </c>
      <c r="AA86" s="168">
        <f>IF(AA$54,$V$33*($Q$34*data0!X310+$R$34*data0!X311+$S$34*data0!X312+$T$34*data0!X313),"")</f>
        <v>201.28743588187029</v>
      </c>
      <c r="AB86" s="168">
        <f>IF(AB$54,$V$33*($Q$34*data0!Y310+$R$34*data0!Y311+$S$34*data0!Y312+$T$34*data0!Y313),"")</f>
        <v>270.4582184547599</v>
      </c>
      <c r="AC86" s="168">
        <f>IF(AC$54,$V$33*($Q$34*data0!Z310+$R$34*data0!Z311+$S$34*data0!Z312+$T$34*data0!Z313),"")</f>
        <v>211.82093196746814</v>
      </c>
      <c r="AD86" s="168">
        <f>IF(AD$54,$V$33*($Q$34*data0!AA310+$R$34*data0!AA311+$S$34*data0!AA312+$T$34*data0!AA313),"")</f>
        <v>245.48322412321232</v>
      </c>
      <c r="AE86" s="168">
        <f>IF(AE$54,$V$33*($Q$34*data0!AB310+$R$34*data0!AB311+$S$34*data0!AB312+$T$34*data0!AB313),"")</f>
        <v>175.28655958416073</v>
      </c>
      <c r="AF86" s="168">
        <f>IF(AF$54,$V$33*($Q$34*data0!AC310+$R$34*data0!AC311+$S$34*data0!AC312+$T$34*data0!AC313),"")</f>
        <v>187.96417186044022</v>
      </c>
      <c r="AG86" s="168">
        <f>IF(AG$54,$V$33*($Q$34*data0!AD310+$R$34*data0!AD311+$S$34*data0!AD312+$T$34*data0!AD313),"")</f>
        <v>235.0831713991152</v>
      </c>
      <c r="AH86" s="168">
        <f>IF(AH$54,$V$33*($Q$34*data0!AE310+$R$34*data0!AE311+$S$34*data0!AE312+$T$34*data0!AE313),"")</f>
        <v>208.66974601222236</v>
      </c>
      <c r="AI86" s="168" t="str">
        <f>IF(AI$54,$V$33*($Q$34*data0!AF310+$R$34*data0!AF311+$S$34*data0!AF312+$T$34*data0!AF313),"")</f>
        <v/>
      </c>
      <c r="AJ86" s="168">
        <f>IF(AJ$54,$V$33*($Q$34*data0!AG310+$R$34*data0!AG311+$S$34*data0!AG312+$T$34*data0!AG313),"")</f>
        <v>246.22637684095412</v>
      </c>
      <c r="AK86" s="168">
        <f>IF(AK$54,$V$33*($Q$34*data0!AH310+$R$34*data0!AH311+$S$34*data0!AH312+$T$34*data0!AH313),"")</f>
        <v>159.57877689410057</v>
      </c>
      <c r="AL86" s="168">
        <f>IF(AL$54,$V$33*($Q$34*data0!AI310+$R$34*data0!AI311+$S$34*data0!AI312+$T$34*data0!AI313),"")</f>
        <v>316.39882045994221</v>
      </c>
      <c r="AM86" s="168">
        <f>IF(AM$54,$V$33*($Q$34*data0!AJ310+$R$34*data0!AJ311+$S$34*data0!AJ312+$T$34*data0!AJ313),"")</f>
        <v>178.81236543782234</v>
      </c>
      <c r="AN86" s="168">
        <f>IF(AN$54,$V$33*($Q$34*data0!AK310+$R$34*data0!AK311+$S$34*data0!AK312+$T$34*data0!AK313),"")</f>
        <v>352.44199860766639</v>
      </c>
    </row>
    <row r="87" spans="1:40">
      <c r="A87" s="74"/>
      <c r="B87" s="242"/>
      <c r="C87" s="242" t="str">
        <f>C81</f>
        <v>LO</v>
      </c>
      <c r="D87" s="242"/>
      <c r="E87" s="59" t="str">
        <f>W10</f>
        <v>x</v>
      </c>
      <c r="F87" s="60">
        <f t="shared" si="123"/>
        <v>0.42468821258429118</v>
      </c>
      <c r="G87" s="60">
        <f t="shared" si="124"/>
        <v>9.3475693414982977E-2</v>
      </c>
      <c r="H87" s="242"/>
      <c r="I87" s="60" t="str">
        <f>IF(I$54,I81/SUM(I81:I83),"")</f>
        <v/>
      </c>
      <c r="J87" s="108" t="str">
        <f t="shared" ref="J87:AN87" si="126">IF(J$54,J81/SUM(J81:J83),"")</f>
        <v/>
      </c>
      <c r="K87" s="108">
        <f t="shared" si="126"/>
        <v>0.3652564226460992</v>
      </c>
      <c r="L87" s="108">
        <f t="shared" si="126"/>
        <v>0.17819074604005444</v>
      </c>
      <c r="M87" s="108" t="str">
        <f t="shared" si="126"/>
        <v/>
      </c>
      <c r="N87" s="108">
        <f t="shared" si="126"/>
        <v>0.4926005509780032</v>
      </c>
      <c r="O87" s="108">
        <f t="shared" si="126"/>
        <v>0.44924945287800705</v>
      </c>
      <c r="P87" s="108" t="str">
        <f t="shared" si="126"/>
        <v/>
      </c>
      <c r="Q87" s="108">
        <f t="shared" si="126"/>
        <v>0.3906767343975257</v>
      </c>
      <c r="R87" s="108">
        <f t="shared" si="126"/>
        <v>0.4957220196807216</v>
      </c>
      <c r="S87" s="108">
        <f t="shared" si="126"/>
        <v>0.50558341732881507</v>
      </c>
      <c r="T87" s="108">
        <f t="shared" si="126"/>
        <v>0.4427181214186281</v>
      </c>
      <c r="U87" s="108">
        <f t="shared" si="126"/>
        <v>0.50752341418006497</v>
      </c>
      <c r="V87" s="108">
        <f t="shared" si="126"/>
        <v>0.49723128568382702</v>
      </c>
      <c r="W87" s="108">
        <f t="shared" si="126"/>
        <v>0.49191248188953041</v>
      </c>
      <c r="X87" s="108">
        <f t="shared" si="126"/>
        <v>0.5017500507882644</v>
      </c>
      <c r="Y87" s="108">
        <f t="shared" si="126"/>
        <v>0.45807914734255817</v>
      </c>
      <c r="Z87" s="108">
        <f t="shared" si="126"/>
        <v>0.37544359901436059</v>
      </c>
      <c r="AA87" s="108">
        <f t="shared" si="126"/>
        <v>0.30305034173695045</v>
      </c>
      <c r="AB87" s="108">
        <f t="shared" si="126"/>
        <v>0.272708784616085</v>
      </c>
      <c r="AC87" s="108">
        <f t="shared" si="126"/>
        <v>0.49814938629467059</v>
      </c>
      <c r="AD87" s="108">
        <f t="shared" si="126"/>
        <v>0.49002701364304319</v>
      </c>
      <c r="AE87" s="108">
        <f t="shared" si="126"/>
        <v>0.38248674493597568</v>
      </c>
      <c r="AF87" s="108">
        <f t="shared" si="126"/>
        <v>0.33617929919146006</v>
      </c>
      <c r="AG87" s="108">
        <f t="shared" si="126"/>
        <v>0.26999784359370121</v>
      </c>
      <c r="AH87" s="108">
        <f t="shared" si="126"/>
        <v>0.30497929434142163</v>
      </c>
      <c r="AI87" s="108" t="str">
        <f t="shared" si="126"/>
        <v/>
      </c>
      <c r="AJ87" s="108">
        <f t="shared" si="126"/>
        <v>0.50334298333692529</v>
      </c>
      <c r="AK87" s="108">
        <f t="shared" si="126"/>
        <v>0.47348218040669993</v>
      </c>
      <c r="AL87" s="108">
        <f t="shared" si="126"/>
        <v>0.50754428806077101</v>
      </c>
      <c r="AM87" s="108">
        <f t="shared" si="126"/>
        <v>0.48427409081240991</v>
      </c>
      <c r="AN87" s="108">
        <f t="shared" si="126"/>
        <v>0.4884220445392875</v>
      </c>
    </row>
    <row r="88" spans="1:40">
      <c r="A88" s="74"/>
      <c r="B88" s="242"/>
      <c r="C88" s="242"/>
      <c r="D88" s="242"/>
      <c r="E88" s="59" t="str">
        <f>X10</f>
        <v>y</v>
      </c>
      <c r="F88" s="60">
        <f t="shared" si="123"/>
        <v>0.30555627314436568</v>
      </c>
      <c r="G88" s="60">
        <f t="shared" si="124"/>
        <v>0.1460240745604669</v>
      </c>
      <c r="H88" s="242"/>
      <c r="I88" s="60" t="str">
        <f>IF(I$54,I82/SUM(I81:I83),"")</f>
        <v/>
      </c>
      <c r="J88" s="108" t="str">
        <f t="shared" ref="J88:AN88" si="127">IF(J$54,J82/SUM(J81:J83),"")</f>
        <v/>
      </c>
      <c r="K88" s="108">
        <f t="shared" si="127"/>
        <v>0.19344672333157342</v>
      </c>
      <c r="L88" s="108">
        <f t="shared" si="127"/>
        <v>-1.2358509955389802E-2</v>
      </c>
      <c r="M88" s="108" t="str">
        <f t="shared" si="127"/>
        <v/>
      </c>
      <c r="N88" s="108">
        <f t="shared" si="127"/>
        <v>0.425564209238737</v>
      </c>
      <c r="O88" s="108">
        <f t="shared" si="127"/>
        <v>0.34066731900113134</v>
      </c>
      <c r="P88" s="108" t="str">
        <f t="shared" si="127"/>
        <v/>
      </c>
      <c r="Q88" s="108">
        <f t="shared" si="127"/>
        <v>0.21128888773036958</v>
      </c>
      <c r="R88" s="108">
        <f t="shared" si="127"/>
        <v>0.42038468728026729</v>
      </c>
      <c r="S88" s="108">
        <f t="shared" si="127"/>
        <v>0.43901315608939284</v>
      </c>
      <c r="T88" s="108">
        <f t="shared" si="127"/>
        <v>0.33962908976984385</v>
      </c>
      <c r="U88" s="108">
        <f t="shared" si="127"/>
        <v>0.44109508107657724</v>
      </c>
      <c r="V88" s="108">
        <f t="shared" si="127"/>
        <v>0.43737589501237228</v>
      </c>
      <c r="W88" s="108">
        <f t="shared" si="127"/>
        <v>0.42827188655985093</v>
      </c>
      <c r="X88" s="108">
        <f t="shared" si="127"/>
        <v>0.44628684140003388</v>
      </c>
      <c r="Y88" s="108">
        <f t="shared" si="127"/>
        <v>0.33750211764392102</v>
      </c>
      <c r="Z88" s="108">
        <f t="shared" si="127"/>
        <v>0.20148601606584851</v>
      </c>
      <c r="AA88" s="108">
        <f t="shared" si="127"/>
        <v>0.16280521304538959</v>
      </c>
      <c r="AB88" s="108">
        <f t="shared" si="127"/>
        <v>0.11397142489495898</v>
      </c>
      <c r="AC88" s="108">
        <f t="shared" si="127"/>
        <v>0.42011642962323414</v>
      </c>
      <c r="AD88" s="108">
        <f t="shared" si="127"/>
        <v>0.4277735042157027</v>
      </c>
      <c r="AE88" s="108">
        <f t="shared" si="127"/>
        <v>0.20468952015248854</v>
      </c>
      <c r="AF88" s="108">
        <f t="shared" si="127"/>
        <v>0.16189952143130434</v>
      </c>
      <c r="AG88" s="108">
        <f t="shared" si="127"/>
        <v>5.7728293998678841E-2</v>
      </c>
      <c r="AH88" s="108">
        <f t="shared" si="127"/>
        <v>6.428802981326244E-2</v>
      </c>
      <c r="AI88" s="108" t="str">
        <f t="shared" si="127"/>
        <v/>
      </c>
      <c r="AJ88" s="108">
        <f t="shared" si="127"/>
        <v>0.44408421511822876</v>
      </c>
      <c r="AK88" s="108">
        <f t="shared" si="127"/>
        <v>0.26658020072624844</v>
      </c>
      <c r="AL88" s="108">
        <f t="shared" si="127"/>
        <v>0.45264960890593892</v>
      </c>
      <c r="AM88" s="108">
        <f t="shared" si="127"/>
        <v>0.38869357106166363</v>
      </c>
      <c r="AN88" s="108">
        <f t="shared" si="127"/>
        <v>0.43508644166624394</v>
      </c>
    </row>
    <row r="89" spans="1:40">
      <c r="A89" s="74"/>
      <c r="B89" s="242"/>
      <c r="C89" s="242"/>
      <c r="D89" s="242"/>
      <c r="E89" s="59" t="str">
        <f>R10</f>
        <v>CCT</v>
      </c>
      <c r="F89" s="75">
        <f t="shared" si="123"/>
        <v>-1714.3333333333333</v>
      </c>
      <c r="G89" s="75">
        <f t="shared" si="124"/>
        <v>7275.2636431213323</v>
      </c>
      <c r="H89" s="242"/>
      <c r="I89" s="59" t="str">
        <f>IF(I$54,getCCTfromXY(I87,I88,0),"")</f>
        <v/>
      </c>
      <c r="J89" s="109" t="str">
        <f t="shared" ref="J89:AN89" si="128">IF(J$54,getCCTfromXY(J87,J88,0),"")</f>
        <v/>
      </c>
      <c r="K89" s="109">
        <f t="shared" si="128"/>
        <v>1921</v>
      </c>
      <c r="L89" s="109">
        <f t="shared" si="128"/>
        <v>-15000</v>
      </c>
      <c r="M89" s="109" t="str">
        <f t="shared" si="128"/>
        <v/>
      </c>
      <c r="N89" s="109">
        <f t="shared" si="128"/>
        <v>2407</v>
      </c>
      <c r="O89" s="109">
        <f t="shared" si="128"/>
        <v>2258</v>
      </c>
      <c r="P89" s="109" t="str">
        <f t="shared" si="128"/>
        <v/>
      </c>
      <c r="Q89" s="109">
        <f t="shared" si="128"/>
        <v>1768</v>
      </c>
      <c r="R89" s="109">
        <f t="shared" si="128"/>
        <v>2337</v>
      </c>
      <c r="S89" s="109">
        <f t="shared" si="128"/>
        <v>2361</v>
      </c>
      <c r="T89" s="109">
        <f t="shared" si="128"/>
        <v>2336</v>
      </c>
      <c r="U89" s="109">
        <f t="shared" si="128"/>
        <v>2355</v>
      </c>
      <c r="V89" s="109">
        <f t="shared" si="128"/>
        <v>2438</v>
      </c>
      <c r="W89" s="109">
        <f t="shared" si="128"/>
        <v>2434</v>
      </c>
      <c r="X89" s="109">
        <f t="shared" si="128"/>
        <v>2450</v>
      </c>
      <c r="Y89" s="109">
        <f t="shared" si="128"/>
        <v>2123</v>
      </c>
      <c r="Z89" s="109">
        <f t="shared" si="128"/>
        <v>1862</v>
      </c>
      <c r="AA89" s="109">
        <f t="shared" si="128"/>
        <v>-15000</v>
      </c>
      <c r="AB89" s="109">
        <f t="shared" si="128"/>
        <v>-15000</v>
      </c>
      <c r="AC89" s="109">
        <f t="shared" si="128"/>
        <v>2309</v>
      </c>
      <c r="AD89" s="109">
        <f t="shared" si="128"/>
        <v>2451</v>
      </c>
      <c r="AE89" s="109">
        <f t="shared" si="128"/>
        <v>1802</v>
      </c>
      <c r="AF89" s="109">
        <f t="shared" si="128"/>
        <v>-15000</v>
      </c>
      <c r="AG89" s="109">
        <f t="shared" si="128"/>
        <v>-15000</v>
      </c>
      <c r="AH89" s="109">
        <f t="shared" si="128"/>
        <v>-15000</v>
      </c>
      <c r="AI89" s="109" t="str">
        <f t="shared" si="128"/>
        <v/>
      </c>
      <c r="AJ89" s="109">
        <f t="shared" si="128"/>
        <v>2418</v>
      </c>
      <c r="AK89" s="109">
        <f t="shared" si="128"/>
        <v>-1500</v>
      </c>
      <c r="AL89" s="109">
        <f t="shared" si="128"/>
        <v>2431</v>
      </c>
      <c r="AM89" s="109">
        <f t="shared" si="128"/>
        <v>2231</v>
      </c>
      <c r="AN89" s="109">
        <f t="shared" si="128"/>
        <v>2521</v>
      </c>
    </row>
    <row r="90" spans="1:40">
      <c r="A90" s="74"/>
      <c r="B90" s="242"/>
      <c r="C90" s="242"/>
      <c r="D90" s="242"/>
      <c r="E90" s="59" t="str">
        <f>S10</f>
        <v>MK-1</v>
      </c>
      <c r="F90" s="61">
        <f t="shared" si="123"/>
        <v>292.04073568024899</v>
      </c>
      <c r="G90" s="61">
        <f t="shared" si="124"/>
        <v>292.76228971760389</v>
      </c>
      <c r="H90" s="242"/>
      <c r="I90" s="61" t="str">
        <f>IF(I$54,10^6/I89,"")</f>
        <v/>
      </c>
      <c r="J90" s="130" t="str">
        <f t="shared" ref="J90:AN90" si="129">IF(J$54,10^6/J89,"")</f>
        <v/>
      </c>
      <c r="K90" s="130">
        <f t="shared" si="129"/>
        <v>520.56220718375846</v>
      </c>
      <c r="L90" s="130">
        <f t="shared" si="129"/>
        <v>-66.666666666666671</v>
      </c>
      <c r="M90" s="130" t="str">
        <f t="shared" si="129"/>
        <v/>
      </c>
      <c r="N90" s="130">
        <f t="shared" si="129"/>
        <v>415.45492314083924</v>
      </c>
      <c r="O90" s="130">
        <f t="shared" si="129"/>
        <v>442.86979627989371</v>
      </c>
      <c r="P90" s="130" t="str">
        <f t="shared" si="129"/>
        <v/>
      </c>
      <c r="Q90" s="130">
        <f t="shared" si="129"/>
        <v>565.61085972850674</v>
      </c>
      <c r="R90" s="130">
        <f t="shared" si="129"/>
        <v>427.89901583226356</v>
      </c>
      <c r="S90" s="130">
        <f t="shared" si="129"/>
        <v>423.5493434985176</v>
      </c>
      <c r="T90" s="130">
        <f t="shared" si="129"/>
        <v>428.08219178082192</v>
      </c>
      <c r="U90" s="130">
        <f t="shared" si="129"/>
        <v>424.62845010615712</v>
      </c>
      <c r="V90" s="130">
        <f t="shared" si="129"/>
        <v>410.17227235438884</v>
      </c>
      <c r="W90" s="130">
        <f t="shared" si="129"/>
        <v>410.84634346754314</v>
      </c>
      <c r="X90" s="130">
        <f t="shared" si="129"/>
        <v>408.16326530612247</v>
      </c>
      <c r="Y90" s="130">
        <f t="shared" si="129"/>
        <v>471.03155911446066</v>
      </c>
      <c r="Z90" s="130">
        <f t="shared" si="129"/>
        <v>537.05692803437159</v>
      </c>
      <c r="AA90" s="130">
        <f t="shared" si="129"/>
        <v>-66.666666666666671</v>
      </c>
      <c r="AB90" s="130">
        <f t="shared" si="129"/>
        <v>-66.666666666666671</v>
      </c>
      <c r="AC90" s="130">
        <f t="shared" si="129"/>
        <v>433.08791684711997</v>
      </c>
      <c r="AD90" s="130">
        <f t="shared" si="129"/>
        <v>407.99673602611182</v>
      </c>
      <c r="AE90" s="130">
        <f t="shared" si="129"/>
        <v>554.93895671476139</v>
      </c>
      <c r="AF90" s="130">
        <f t="shared" si="129"/>
        <v>-66.666666666666671</v>
      </c>
      <c r="AG90" s="130">
        <f t="shared" si="129"/>
        <v>-66.666666666666671</v>
      </c>
      <c r="AH90" s="130">
        <f t="shared" si="129"/>
        <v>-66.666666666666671</v>
      </c>
      <c r="AI90" s="130" t="str">
        <f t="shared" si="129"/>
        <v/>
      </c>
      <c r="AJ90" s="130">
        <f t="shared" si="129"/>
        <v>413.56492969396197</v>
      </c>
      <c r="AK90" s="130">
        <f t="shared" si="129"/>
        <v>-666.66666666666663</v>
      </c>
      <c r="AL90" s="130">
        <f t="shared" si="129"/>
        <v>411.3533525298231</v>
      </c>
      <c r="AM90" s="130">
        <f t="shared" si="129"/>
        <v>448.22949350067233</v>
      </c>
      <c r="AN90" s="130">
        <f t="shared" si="129"/>
        <v>396.6679888932963</v>
      </c>
    </row>
    <row r="91" spans="1:40">
      <c r="A91" s="74"/>
      <c r="B91" s="242"/>
      <c r="C91" s="242" t="str">
        <f>C84</f>
        <v>HI</v>
      </c>
      <c r="D91" s="242"/>
      <c r="E91" s="59" t="str">
        <f>E87</f>
        <v>x</v>
      </c>
      <c r="F91" s="60">
        <f t="shared" si="123"/>
        <v>0.41960716934714043</v>
      </c>
      <c r="G91" s="60">
        <f t="shared" si="124"/>
        <v>9.9887472946774483E-2</v>
      </c>
      <c r="H91" s="242"/>
      <c r="I91" s="60" t="str">
        <f>IF(I$54,I84/SUM(I84:I86),"")</f>
        <v/>
      </c>
      <c r="J91" s="108" t="str">
        <f t="shared" ref="J91:AN91" si="130">IF(J$54,J84/SUM(J84:J86),"")</f>
        <v/>
      </c>
      <c r="K91" s="108">
        <f t="shared" si="130"/>
        <v>0.36931067248950572</v>
      </c>
      <c r="L91" s="108">
        <f t="shared" si="130"/>
        <v>0.15477487740638071</v>
      </c>
      <c r="M91" s="108" t="str">
        <f t="shared" si="130"/>
        <v/>
      </c>
      <c r="N91" s="108">
        <f t="shared" si="130"/>
        <v>0.4906710295371236</v>
      </c>
      <c r="O91" s="108">
        <f t="shared" si="130"/>
        <v>0.45277342748827903</v>
      </c>
      <c r="P91" s="108" t="str">
        <f t="shared" si="130"/>
        <v/>
      </c>
      <c r="Q91" s="108">
        <f t="shared" si="130"/>
        <v>0.35013430043423016</v>
      </c>
      <c r="R91" s="108">
        <f t="shared" si="130"/>
        <v>0.49398787895753299</v>
      </c>
      <c r="S91" s="108">
        <f t="shared" si="130"/>
        <v>0.50304811437608743</v>
      </c>
      <c r="T91" s="108">
        <f t="shared" si="130"/>
        <v>0.43866193987934277</v>
      </c>
      <c r="U91" s="108">
        <f t="shared" si="130"/>
        <v>0.50798663198915295</v>
      </c>
      <c r="V91" s="108">
        <f t="shared" si="130"/>
        <v>0.49665030085795941</v>
      </c>
      <c r="W91" s="108">
        <f t="shared" si="130"/>
        <v>0.49238353471892932</v>
      </c>
      <c r="X91" s="108">
        <f t="shared" si="130"/>
        <v>0.504188801592104</v>
      </c>
      <c r="Y91" s="108">
        <f t="shared" si="130"/>
        <v>0.44430031710366158</v>
      </c>
      <c r="Z91" s="108">
        <f t="shared" si="130"/>
        <v>0.43347676662891182</v>
      </c>
      <c r="AA91" s="108">
        <f t="shared" si="130"/>
        <v>0.3565876495642305</v>
      </c>
      <c r="AB91" s="108">
        <f t="shared" si="130"/>
        <v>0.22561791915081658</v>
      </c>
      <c r="AC91" s="108">
        <f t="shared" si="130"/>
        <v>0.49191591259673328</v>
      </c>
      <c r="AD91" s="108">
        <f t="shared" si="130"/>
        <v>0.49094933837282762</v>
      </c>
      <c r="AE91" s="108">
        <f t="shared" si="130"/>
        <v>0.3339419969525303</v>
      </c>
      <c r="AF91" s="108">
        <f t="shared" si="130"/>
        <v>0.32137350060994607</v>
      </c>
      <c r="AG91" s="108">
        <f t="shared" si="130"/>
        <v>0.22062888935299063</v>
      </c>
      <c r="AH91" s="108">
        <f t="shared" si="130"/>
        <v>0.34953768996549928</v>
      </c>
      <c r="AI91" s="108" t="str">
        <f t="shared" si="130"/>
        <v/>
      </c>
      <c r="AJ91" s="108">
        <f t="shared" si="130"/>
        <v>0.50143082856742516</v>
      </c>
      <c r="AK91" s="108">
        <f t="shared" si="130"/>
        <v>0.43293382977699874</v>
      </c>
      <c r="AL91" s="108">
        <f t="shared" si="130"/>
        <v>0.50747931267648183</v>
      </c>
      <c r="AM91" s="108">
        <f t="shared" si="130"/>
        <v>0.47770911528088272</v>
      </c>
      <c r="AN91" s="108">
        <f t="shared" si="130"/>
        <v>0.48693899604622698</v>
      </c>
    </row>
    <row r="92" spans="1:40">
      <c r="A92" s="74"/>
      <c r="B92" s="242"/>
      <c r="C92" s="242"/>
      <c r="D92" s="242"/>
      <c r="E92" s="59" t="str">
        <f>E88</f>
        <v>y</v>
      </c>
      <c r="F92" s="60">
        <f t="shared" si="123"/>
        <v>0.3042011943496708</v>
      </c>
      <c r="G92" s="60">
        <f t="shared" si="124"/>
        <v>0.15022531928498439</v>
      </c>
      <c r="H92" s="242"/>
      <c r="I92" s="60" t="str">
        <f>IF(I$54,I85/SUM(I84:I86),"")</f>
        <v/>
      </c>
      <c r="J92" s="108" t="str">
        <f t="shared" ref="J92:AN92" si="131">IF(J$54,J85/SUM(J84:J86),"")</f>
        <v/>
      </c>
      <c r="K92" s="108">
        <f t="shared" si="131"/>
        <v>0.19740268373283887</v>
      </c>
      <c r="L92" s="108">
        <f t="shared" si="131"/>
        <v>-3.6000687742556992E-2</v>
      </c>
      <c r="M92" s="108" t="str">
        <f t="shared" si="131"/>
        <v/>
      </c>
      <c r="N92" s="108">
        <f t="shared" si="131"/>
        <v>0.42411950047719982</v>
      </c>
      <c r="O92" s="108">
        <f t="shared" si="131"/>
        <v>0.35109614718295584</v>
      </c>
      <c r="P92" s="108" t="str">
        <f t="shared" si="131"/>
        <v/>
      </c>
      <c r="Q92" s="108">
        <f t="shared" si="131"/>
        <v>0.17275032528156481</v>
      </c>
      <c r="R92" s="108">
        <f t="shared" si="131"/>
        <v>0.41956775761555032</v>
      </c>
      <c r="S92" s="108">
        <f t="shared" si="131"/>
        <v>0.43809318681467757</v>
      </c>
      <c r="T92" s="108">
        <f t="shared" si="131"/>
        <v>0.33634163955210156</v>
      </c>
      <c r="U92" s="108">
        <f t="shared" si="131"/>
        <v>0.44190963570156394</v>
      </c>
      <c r="V92" s="108">
        <f t="shared" si="131"/>
        <v>0.43721204319173979</v>
      </c>
      <c r="W92" s="108">
        <f t="shared" si="131"/>
        <v>0.42885890316912628</v>
      </c>
      <c r="X92" s="108">
        <f t="shared" si="131"/>
        <v>0.44976412159765383</v>
      </c>
      <c r="Y92" s="108">
        <f t="shared" si="131"/>
        <v>0.32809525491167557</v>
      </c>
      <c r="Z92" s="108">
        <f t="shared" si="131"/>
        <v>0.28229630691059038</v>
      </c>
      <c r="AA92" s="108">
        <f t="shared" si="131"/>
        <v>0.23318172523915093</v>
      </c>
      <c r="AB92" s="108">
        <f t="shared" si="131"/>
        <v>6.7362277705536613E-2</v>
      </c>
      <c r="AC92" s="108">
        <f t="shared" si="131"/>
        <v>0.4158129400226302</v>
      </c>
      <c r="AD92" s="108">
        <f t="shared" si="131"/>
        <v>0.42823096846328251</v>
      </c>
      <c r="AE92" s="108">
        <f t="shared" si="131"/>
        <v>0.15381652950288024</v>
      </c>
      <c r="AF92" s="108">
        <f t="shared" si="131"/>
        <v>0.14654325554284944</v>
      </c>
      <c r="AG92" s="108">
        <f t="shared" si="131"/>
        <v>6.0618818727392141E-3</v>
      </c>
      <c r="AH92" s="108">
        <f t="shared" si="131"/>
        <v>0.15297061897770015</v>
      </c>
      <c r="AI92" s="108" t="str">
        <f t="shared" si="131"/>
        <v/>
      </c>
      <c r="AJ92" s="108">
        <f t="shared" si="131"/>
        <v>0.44268557413407555</v>
      </c>
      <c r="AK92" s="108">
        <f t="shared" si="131"/>
        <v>0.22439415710801897</v>
      </c>
      <c r="AL92" s="108">
        <f t="shared" si="131"/>
        <v>0.45275376697020048</v>
      </c>
      <c r="AM92" s="108">
        <f t="shared" si="131"/>
        <v>0.38413048316378984</v>
      </c>
      <c r="AN92" s="108">
        <f t="shared" si="131"/>
        <v>0.4339812503415767</v>
      </c>
    </row>
    <row r="93" spans="1:40">
      <c r="A93" s="74"/>
      <c r="B93" s="242"/>
      <c r="C93" s="242"/>
      <c r="D93" s="242"/>
      <c r="E93" s="59" t="str">
        <f>E89</f>
        <v>CCT</v>
      </c>
      <c r="F93" s="75">
        <f t="shared" si="123"/>
        <v>-1039.3333333333333</v>
      </c>
      <c r="G93" s="75">
        <f t="shared" si="124"/>
        <v>6825.308829304694</v>
      </c>
      <c r="H93" s="242"/>
      <c r="I93" s="59" t="str">
        <f>IF(I$54,getCCTfromXY(I91,I92,0),"")</f>
        <v/>
      </c>
      <c r="J93" s="109" t="str">
        <f t="shared" ref="J93:AN93" si="132">IF(J$54,getCCTfromXY(J91,J92,0),"")</f>
        <v/>
      </c>
      <c r="K93" s="109">
        <f t="shared" si="132"/>
        <v>1905</v>
      </c>
      <c r="L93" s="109">
        <f t="shared" si="132"/>
        <v>-15000</v>
      </c>
      <c r="M93" s="109" t="str">
        <f t="shared" si="132"/>
        <v/>
      </c>
      <c r="N93" s="109">
        <f t="shared" si="132"/>
        <v>2418</v>
      </c>
      <c r="O93" s="109">
        <f t="shared" si="132"/>
        <v>2303</v>
      </c>
      <c r="P93" s="109" t="str">
        <f t="shared" si="132"/>
        <v/>
      </c>
      <c r="Q93" s="109">
        <f t="shared" si="132"/>
        <v>1903</v>
      </c>
      <c r="R93" s="109">
        <f t="shared" si="132"/>
        <v>2350</v>
      </c>
      <c r="S93" s="109">
        <f t="shared" si="132"/>
        <v>2381</v>
      </c>
      <c r="T93" s="109">
        <f t="shared" si="132"/>
        <v>2363</v>
      </c>
      <c r="U93" s="109">
        <f t="shared" si="132"/>
        <v>2356</v>
      </c>
      <c r="V93" s="109">
        <f t="shared" si="132"/>
        <v>2443</v>
      </c>
      <c r="W93" s="109">
        <f t="shared" si="132"/>
        <v>2432</v>
      </c>
      <c r="X93" s="109">
        <f t="shared" si="132"/>
        <v>2447</v>
      </c>
      <c r="Y93" s="109">
        <f t="shared" si="132"/>
        <v>2210</v>
      </c>
      <c r="Z93" s="109">
        <f t="shared" si="132"/>
        <v>1933</v>
      </c>
      <c r="AA93" s="109">
        <f t="shared" si="132"/>
        <v>2879</v>
      </c>
      <c r="AB93" s="109">
        <f t="shared" si="132"/>
        <v>-15000</v>
      </c>
      <c r="AC93" s="109">
        <f t="shared" si="132"/>
        <v>2345</v>
      </c>
      <c r="AD93" s="109">
        <f t="shared" si="132"/>
        <v>2444</v>
      </c>
      <c r="AE93" s="109">
        <f t="shared" si="132"/>
        <v>-15000</v>
      </c>
      <c r="AF93" s="109">
        <f t="shared" si="132"/>
        <v>-15000</v>
      </c>
      <c r="AG93" s="109">
        <f t="shared" si="132"/>
        <v>-15000</v>
      </c>
      <c r="AH93" s="109">
        <f t="shared" si="132"/>
        <v>1664</v>
      </c>
      <c r="AI93" s="109" t="str">
        <f t="shared" si="132"/>
        <v/>
      </c>
      <c r="AJ93" s="109">
        <f t="shared" si="132"/>
        <v>2429</v>
      </c>
      <c r="AK93" s="109">
        <f t="shared" si="132"/>
        <v>-1500</v>
      </c>
      <c r="AL93" s="109">
        <f t="shared" si="132"/>
        <v>2432</v>
      </c>
      <c r="AM93" s="109">
        <f t="shared" si="132"/>
        <v>2270</v>
      </c>
      <c r="AN93" s="109">
        <f t="shared" si="132"/>
        <v>2531</v>
      </c>
    </row>
    <row r="94" spans="1:40">
      <c r="A94" s="74"/>
      <c r="B94" s="242"/>
      <c r="C94" s="242"/>
      <c r="D94" s="242"/>
      <c r="E94" s="59" t="str">
        <f>E90</f>
        <v>MK-1</v>
      </c>
      <c r="F94" s="61">
        <f t="shared" si="123"/>
        <v>304.91772961138054</v>
      </c>
      <c r="G94" s="61">
        <f t="shared" si="124"/>
        <v>282.8525787553786</v>
      </c>
      <c r="H94" s="242"/>
      <c r="I94" s="61" t="str">
        <f>IF(I$54,10^6/I93,"")</f>
        <v/>
      </c>
      <c r="J94" s="130" t="str">
        <f t="shared" ref="J94:AN94" si="133">IF(J$54,10^6/J93,"")</f>
        <v/>
      </c>
      <c r="K94" s="130">
        <f t="shared" si="133"/>
        <v>524.93438320209975</v>
      </c>
      <c r="L94" s="130">
        <f t="shared" si="133"/>
        <v>-66.666666666666671</v>
      </c>
      <c r="M94" s="130" t="str">
        <f t="shared" si="133"/>
        <v/>
      </c>
      <c r="N94" s="130">
        <f t="shared" si="133"/>
        <v>413.56492969396197</v>
      </c>
      <c r="O94" s="130">
        <f t="shared" si="133"/>
        <v>434.21623968736429</v>
      </c>
      <c r="P94" s="130" t="str">
        <f t="shared" si="133"/>
        <v/>
      </c>
      <c r="Q94" s="130">
        <f t="shared" si="133"/>
        <v>525.48607461902259</v>
      </c>
      <c r="R94" s="130">
        <f t="shared" si="133"/>
        <v>425.531914893617</v>
      </c>
      <c r="S94" s="130">
        <f t="shared" si="133"/>
        <v>419.99160016799664</v>
      </c>
      <c r="T94" s="130">
        <f t="shared" si="133"/>
        <v>423.19085907744392</v>
      </c>
      <c r="U94" s="130">
        <f t="shared" si="133"/>
        <v>424.44821731748726</v>
      </c>
      <c r="V94" s="130">
        <f t="shared" si="133"/>
        <v>409.33278755628328</v>
      </c>
      <c r="W94" s="130">
        <f t="shared" si="133"/>
        <v>411.18421052631578</v>
      </c>
      <c r="X94" s="130">
        <f t="shared" si="133"/>
        <v>408.66366979975481</v>
      </c>
      <c r="Y94" s="130">
        <f t="shared" si="133"/>
        <v>452.48868778280541</v>
      </c>
      <c r="Z94" s="130">
        <f t="shared" si="133"/>
        <v>517.33057423693742</v>
      </c>
      <c r="AA94" s="130">
        <f t="shared" si="133"/>
        <v>347.34282737061477</v>
      </c>
      <c r="AB94" s="130">
        <f t="shared" si="133"/>
        <v>-66.666666666666671</v>
      </c>
      <c r="AC94" s="130">
        <f t="shared" si="133"/>
        <v>426.43923240938165</v>
      </c>
      <c r="AD94" s="130">
        <f t="shared" si="133"/>
        <v>409.16530278232403</v>
      </c>
      <c r="AE94" s="130">
        <f t="shared" si="133"/>
        <v>-66.666666666666671</v>
      </c>
      <c r="AF94" s="130">
        <f t="shared" si="133"/>
        <v>-66.666666666666671</v>
      </c>
      <c r="AG94" s="130">
        <f t="shared" si="133"/>
        <v>-66.666666666666671</v>
      </c>
      <c r="AH94" s="130">
        <f t="shared" si="133"/>
        <v>600.96153846153845</v>
      </c>
      <c r="AI94" s="130" t="str">
        <f t="shared" si="133"/>
        <v/>
      </c>
      <c r="AJ94" s="130">
        <f t="shared" si="133"/>
        <v>411.69205434335117</v>
      </c>
      <c r="AK94" s="130">
        <f t="shared" si="133"/>
        <v>-666.66666666666663</v>
      </c>
      <c r="AL94" s="130">
        <f t="shared" si="133"/>
        <v>411.18421052631578</v>
      </c>
      <c r="AM94" s="130">
        <f t="shared" si="133"/>
        <v>440.52863436123346</v>
      </c>
      <c r="AN94" s="130">
        <f t="shared" si="133"/>
        <v>395.1007506914263</v>
      </c>
    </row>
    <row r="95" spans="1:40">
      <c r="A95" s="74"/>
      <c r="B95" s="242"/>
      <c r="C95" s="242" t="str">
        <f>Y9</f>
        <v>Error</v>
      </c>
      <c r="D95" s="59" t="str">
        <f>C87</f>
        <v>LO</v>
      </c>
      <c r="E95" s="242" t="str">
        <f>Y10</f>
        <v>Δxy</v>
      </c>
      <c r="F95" s="60">
        <f t="shared" si="123"/>
        <v>0.14875031063408392</v>
      </c>
      <c r="G95" s="60">
        <f t="shared" si="124"/>
        <v>0.15897145141476979</v>
      </c>
      <c r="H95" s="60">
        <f>H81/SUM(H81:H83)</f>
        <v>0.49617378425080227</v>
      </c>
      <c r="I95" s="60" t="str">
        <f>IF(I$54,((I87-$H95)^2+(I88-$H96)^2)^0.5,"")</f>
        <v/>
      </c>
      <c r="J95" s="108" t="str">
        <f t="shared" ref="J95:AN95" si="134">IF(J$54,((J87-$H95)^2+(J88-$H96)^2)^0.5,"")</f>
        <v/>
      </c>
      <c r="K95" s="108">
        <f t="shared" si="134"/>
        <v>0.25900957276807229</v>
      </c>
      <c r="L95" s="108">
        <f t="shared" si="134"/>
        <v>0.53423342207787539</v>
      </c>
      <c r="M95" s="108" t="str">
        <f t="shared" si="134"/>
        <v/>
      </c>
      <c r="N95" s="108">
        <f t="shared" si="134"/>
        <v>9.3406074796567699E-3</v>
      </c>
      <c r="O95" s="108">
        <f t="shared" si="134"/>
        <v>8.9546151712225644E-2</v>
      </c>
      <c r="P95" s="108" t="str">
        <f t="shared" si="134"/>
        <v/>
      </c>
      <c r="Q95" s="108">
        <f t="shared" si="134"/>
        <v>0.23112675502290206</v>
      </c>
      <c r="R95" s="108">
        <f t="shared" si="134"/>
        <v>3.4800445996169601E-3</v>
      </c>
      <c r="S95" s="108">
        <f t="shared" si="134"/>
        <v>2.4000548716077968E-2</v>
      </c>
      <c r="T95" s="108">
        <f t="shared" si="134"/>
        <v>9.3987078916335259E-2</v>
      </c>
      <c r="U95" s="108">
        <f t="shared" si="134"/>
        <v>2.6693961349237849E-2</v>
      </c>
      <c r="V95" s="108">
        <f t="shared" si="134"/>
        <v>2.0469139874812959E-2</v>
      </c>
      <c r="W95" s="108">
        <f t="shared" si="134"/>
        <v>1.2112155908599905E-2</v>
      </c>
      <c r="X95" s="108">
        <f t="shared" si="134"/>
        <v>2.9877729880562264E-2</v>
      </c>
      <c r="Y95" s="108">
        <f t="shared" si="134"/>
        <v>8.809449272708475E-2</v>
      </c>
      <c r="Z95" s="108">
        <f t="shared" si="134"/>
        <v>0.24696892585736327</v>
      </c>
      <c r="AA95" s="108">
        <f t="shared" si="134"/>
        <v>0.3191835683858395</v>
      </c>
      <c r="AB95" s="108">
        <f t="shared" si="134"/>
        <v>0.37646113042410256</v>
      </c>
      <c r="AC95" s="108">
        <f t="shared" si="134"/>
        <v>3.7457024305246689E-3</v>
      </c>
      <c r="AD95" s="108">
        <f t="shared" si="134"/>
        <v>1.2460966330843197E-2</v>
      </c>
      <c r="AE95" s="108">
        <f t="shared" si="134"/>
        <v>0.24077479204782784</v>
      </c>
      <c r="AF95" s="108">
        <f t="shared" si="134"/>
        <v>0.30106621629130131</v>
      </c>
      <c r="AG95" s="108">
        <f t="shared" si="134"/>
        <v>0.424481283760685</v>
      </c>
      <c r="AH95" s="108">
        <f t="shared" si="134"/>
        <v>0.40114159218712531</v>
      </c>
      <c r="AI95" s="108" t="str">
        <f t="shared" si="134"/>
        <v/>
      </c>
      <c r="AJ95" s="108">
        <f t="shared" si="134"/>
        <v>2.8080717415551862E-2</v>
      </c>
      <c r="AK95" s="108">
        <f t="shared" si="134"/>
        <v>0.15205657174034357</v>
      </c>
      <c r="AL95" s="108">
        <f t="shared" si="134"/>
        <v>3.7481817228498249E-2</v>
      </c>
      <c r="AM95" s="108">
        <f t="shared" si="134"/>
        <v>3.0645222033673848E-2</v>
      </c>
      <c r="AN95" s="108">
        <f t="shared" si="134"/>
        <v>1.9738219953525912E-2</v>
      </c>
    </row>
    <row r="96" spans="1:40">
      <c r="A96" s="74"/>
      <c r="B96" s="242"/>
      <c r="C96" s="242"/>
      <c r="D96" s="59" t="str">
        <f>C91</f>
        <v>HI</v>
      </c>
      <c r="E96" s="242"/>
      <c r="F96" s="60">
        <f t="shared" si="123"/>
        <v>0.15201487440433092</v>
      </c>
      <c r="G96" s="60">
        <f t="shared" si="124"/>
        <v>0.16683305998886494</v>
      </c>
      <c r="H96" s="60">
        <f>H82/SUM(H81:H83)</f>
        <v>0.41693409034806223</v>
      </c>
      <c r="I96" s="60" t="str">
        <f>IF(I$54,((I91-$H95)^2+(I92-$H96)^2)^0.5,"")</f>
        <v/>
      </c>
      <c r="J96" s="108" t="str">
        <f t="shared" ref="J96:AN96" si="135">IF(J$54,((J91-$H95)^2+(J92-$H96)^2)^0.5,"")</f>
        <v/>
      </c>
      <c r="K96" s="108">
        <f t="shared" si="135"/>
        <v>0.25355135104396065</v>
      </c>
      <c r="L96" s="108">
        <f t="shared" si="135"/>
        <v>0.56718879290635182</v>
      </c>
      <c r="M96" s="108" t="str">
        <f t="shared" si="135"/>
        <v/>
      </c>
      <c r="N96" s="108">
        <f t="shared" si="135"/>
        <v>9.0504380094460594E-3</v>
      </c>
      <c r="O96" s="108">
        <f t="shared" si="135"/>
        <v>7.8855727295650976E-2</v>
      </c>
      <c r="P96" s="108" t="str">
        <f t="shared" si="135"/>
        <v/>
      </c>
      <c r="Q96" s="108">
        <f t="shared" si="135"/>
        <v>0.28452283204597351</v>
      </c>
      <c r="R96" s="108">
        <f t="shared" si="135"/>
        <v>3.4226284091295805E-3</v>
      </c>
      <c r="S96" s="108">
        <f t="shared" si="135"/>
        <v>2.2247781416467959E-2</v>
      </c>
      <c r="T96" s="108">
        <f t="shared" si="135"/>
        <v>9.9008865099577417E-2</v>
      </c>
      <c r="U96" s="108">
        <f t="shared" si="135"/>
        <v>2.762826880921564E-2</v>
      </c>
      <c r="V96" s="108">
        <f t="shared" si="135"/>
        <v>2.0283550961488657E-2</v>
      </c>
      <c r="W96" s="108">
        <f t="shared" si="135"/>
        <v>1.2512679662297637E-2</v>
      </c>
      <c r="X96" s="108">
        <f t="shared" si="135"/>
        <v>3.3794251801608638E-2</v>
      </c>
      <c r="Y96" s="108">
        <f t="shared" si="135"/>
        <v>0.10287465808234249</v>
      </c>
      <c r="Z96" s="108">
        <f t="shared" si="135"/>
        <v>0.14852019643009906</v>
      </c>
      <c r="AA96" s="108">
        <f t="shared" si="135"/>
        <v>0.23075792658077077</v>
      </c>
      <c r="AB96" s="108">
        <f t="shared" si="135"/>
        <v>0.44204177215980694</v>
      </c>
      <c r="AC96" s="108">
        <f t="shared" si="135"/>
        <v>4.403004550842588E-3</v>
      </c>
      <c r="AD96" s="108">
        <f t="shared" si="135"/>
        <v>1.2446456920828091E-2</v>
      </c>
      <c r="AE96" s="108">
        <f t="shared" si="135"/>
        <v>0.30911163620140508</v>
      </c>
      <c r="AF96" s="108">
        <f t="shared" si="135"/>
        <v>0.32197258067665269</v>
      </c>
      <c r="AG96" s="108">
        <f t="shared" si="135"/>
        <v>0.4947130085227549</v>
      </c>
      <c r="AH96" s="108">
        <f t="shared" si="135"/>
        <v>0.30195837190768571</v>
      </c>
      <c r="AI96" s="108" t="str">
        <f t="shared" si="135"/>
        <v/>
      </c>
      <c r="AJ96" s="108">
        <f t="shared" si="135"/>
        <v>2.6282607026857977E-2</v>
      </c>
      <c r="AK96" s="108">
        <f t="shared" si="135"/>
        <v>0.20265961051459924</v>
      </c>
      <c r="AL96" s="108">
        <f t="shared" si="135"/>
        <v>3.7561472365955063E-2</v>
      </c>
      <c r="AM96" s="108">
        <f t="shared" si="135"/>
        <v>3.7643334661912685E-2</v>
      </c>
      <c r="AN96" s="108">
        <f t="shared" si="135"/>
        <v>1.9387804853253587E-2</v>
      </c>
    </row>
    <row r="97" spans="1:40">
      <c r="A97" s="74"/>
      <c r="B97" s="242"/>
      <c r="C97" s="242"/>
      <c r="D97" s="59" t="str">
        <f>D95</f>
        <v>LO</v>
      </c>
      <c r="E97" s="242" t="str">
        <f>Z10</f>
        <v>MK-1</v>
      </c>
      <c r="F97" s="61">
        <f t="shared" si="123"/>
        <v>-141.23482757798317</v>
      </c>
      <c r="G97" s="61">
        <f t="shared" si="124"/>
        <v>292.76228971760366</v>
      </c>
      <c r="H97" s="243">
        <f>10^6/H99</f>
        <v>433.27556325823224</v>
      </c>
      <c r="I97" s="61" t="str">
        <f>IF(I$54,I90-$H97,"")</f>
        <v/>
      </c>
      <c r="J97" s="130" t="str">
        <f t="shared" ref="J97:AN97" si="136">IF(J$54,J90-$H97,"")</f>
        <v/>
      </c>
      <c r="K97" s="130">
        <f t="shared" si="136"/>
        <v>87.286643925526221</v>
      </c>
      <c r="L97" s="130">
        <f t="shared" si="136"/>
        <v>-499.94222992489892</v>
      </c>
      <c r="M97" s="130" t="str">
        <f t="shared" si="136"/>
        <v/>
      </c>
      <c r="N97" s="130">
        <f t="shared" si="136"/>
        <v>-17.820640117392998</v>
      </c>
      <c r="O97" s="130">
        <f t="shared" si="136"/>
        <v>9.5942330216614664</v>
      </c>
      <c r="P97" s="130" t="str">
        <f t="shared" si="136"/>
        <v/>
      </c>
      <c r="Q97" s="130">
        <f t="shared" si="136"/>
        <v>132.3352964702745</v>
      </c>
      <c r="R97" s="130">
        <f t="shared" si="136"/>
        <v>-5.3765474259686812</v>
      </c>
      <c r="S97" s="130">
        <f t="shared" si="136"/>
        <v>-9.7262197597146383</v>
      </c>
      <c r="T97" s="130">
        <f t="shared" si="136"/>
        <v>-5.1933714774103237</v>
      </c>
      <c r="U97" s="130">
        <f t="shared" si="136"/>
        <v>-8.6471131520751214</v>
      </c>
      <c r="V97" s="130">
        <f t="shared" si="136"/>
        <v>-23.103290903843401</v>
      </c>
      <c r="W97" s="130">
        <f t="shared" si="136"/>
        <v>-22.429219790689103</v>
      </c>
      <c r="X97" s="130">
        <f t="shared" si="136"/>
        <v>-25.11229795210977</v>
      </c>
      <c r="Y97" s="130">
        <f t="shared" si="136"/>
        <v>37.755995856228424</v>
      </c>
      <c r="Z97" s="130">
        <f t="shared" si="136"/>
        <v>103.78136477613936</v>
      </c>
      <c r="AA97" s="130">
        <f t="shared" si="136"/>
        <v>-499.94222992489892</v>
      </c>
      <c r="AB97" s="130">
        <f t="shared" si="136"/>
        <v>-499.94222992489892</v>
      </c>
      <c r="AC97" s="130">
        <f t="shared" si="136"/>
        <v>-0.18764641111226865</v>
      </c>
      <c r="AD97" s="130">
        <f t="shared" si="136"/>
        <v>-25.27882723212042</v>
      </c>
      <c r="AE97" s="130">
        <f t="shared" si="136"/>
        <v>121.66339345652915</v>
      </c>
      <c r="AF97" s="130">
        <f t="shared" si="136"/>
        <v>-499.94222992489892</v>
      </c>
      <c r="AG97" s="130">
        <f t="shared" si="136"/>
        <v>-499.94222992489892</v>
      </c>
      <c r="AH97" s="130">
        <f t="shared" si="136"/>
        <v>-499.94222992489892</v>
      </c>
      <c r="AI97" s="130" t="str">
        <f t="shared" si="136"/>
        <v/>
      </c>
      <c r="AJ97" s="130">
        <f t="shared" si="136"/>
        <v>-19.710633564270267</v>
      </c>
      <c r="AK97" s="130">
        <f t="shared" si="136"/>
        <v>-1099.9422299248988</v>
      </c>
      <c r="AL97" s="130">
        <f t="shared" si="136"/>
        <v>-21.922210728409141</v>
      </c>
      <c r="AM97" s="130">
        <f t="shared" si="136"/>
        <v>14.953930242440094</v>
      </c>
      <c r="AN97" s="130">
        <f t="shared" si="136"/>
        <v>-36.607574364935942</v>
      </c>
    </row>
    <row r="98" spans="1:40">
      <c r="A98" s="74"/>
      <c r="B98" s="242"/>
      <c r="C98" s="242"/>
      <c r="D98" s="59" t="str">
        <f t="shared" ref="D98:D102" si="137">D96</f>
        <v>HI</v>
      </c>
      <c r="E98" s="242"/>
      <c r="F98" s="61">
        <f t="shared" si="123"/>
        <v>-128.35783364685165</v>
      </c>
      <c r="G98" s="61">
        <f t="shared" si="124"/>
        <v>282.85257875537854</v>
      </c>
      <c r="H98" s="243"/>
      <c r="I98" s="61" t="str">
        <f>IF(I$54,I94-$H97,"")</f>
        <v/>
      </c>
      <c r="J98" s="130" t="str">
        <f t="shared" ref="J98:AN98" si="138">IF(J$54,J94-$H97,"")</f>
        <v/>
      </c>
      <c r="K98" s="130">
        <f t="shared" si="138"/>
        <v>91.658819943867513</v>
      </c>
      <c r="L98" s="130">
        <f t="shared" si="138"/>
        <v>-499.94222992489892</v>
      </c>
      <c r="M98" s="130" t="str">
        <f t="shared" si="138"/>
        <v/>
      </c>
      <c r="N98" s="130">
        <f t="shared" si="138"/>
        <v>-19.710633564270267</v>
      </c>
      <c r="O98" s="130">
        <f t="shared" si="138"/>
        <v>0.94067642913205418</v>
      </c>
      <c r="P98" s="130" t="str">
        <f t="shared" si="138"/>
        <v/>
      </c>
      <c r="Q98" s="130">
        <f t="shared" si="138"/>
        <v>92.210511360790349</v>
      </c>
      <c r="R98" s="130">
        <f t="shared" si="138"/>
        <v>-7.7436483646152396</v>
      </c>
      <c r="S98" s="130">
        <f t="shared" si="138"/>
        <v>-13.283963090235602</v>
      </c>
      <c r="T98" s="130">
        <f t="shared" si="138"/>
        <v>-10.084704180788322</v>
      </c>
      <c r="U98" s="130">
        <f t="shared" si="138"/>
        <v>-8.8273459407449764</v>
      </c>
      <c r="V98" s="130">
        <f t="shared" si="138"/>
        <v>-23.94277570194896</v>
      </c>
      <c r="W98" s="130">
        <f t="shared" si="138"/>
        <v>-22.091352731916459</v>
      </c>
      <c r="X98" s="130">
        <f t="shared" si="138"/>
        <v>-24.611893458477425</v>
      </c>
      <c r="Y98" s="130">
        <f t="shared" si="138"/>
        <v>19.213124524573175</v>
      </c>
      <c r="Z98" s="130">
        <f t="shared" si="138"/>
        <v>84.055010978705184</v>
      </c>
      <c r="AA98" s="130">
        <f t="shared" si="138"/>
        <v>-85.932735887617469</v>
      </c>
      <c r="AB98" s="130">
        <f t="shared" si="138"/>
        <v>-499.94222992489892</v>
      </c>
      <c r="AC98" s="130">
        <f t="shared" si="138"/>
        <v>-6.8363308488505936</v>
      </c>
      <c r="AD98" s="130">
        <f t="shared" si="138"/>
        <v>-24.110260475908206</v>
      </c>
      <c r="AE98" s="130">
        <f t="shared" si="138"/>
        <v>-499.94222992489892</v>
      </c>
      <c r="AF98" s="130">
        <f t="shared" si="138"/>
        <v>-499.94222992489892</v>
      </c>
      <c r="AG98" s="130">
        <f t="shared" si="138"/>
        <v>-499.94222992489892</v>
      </c>
      <c r="AH98" s="130">
        <f t="shared" si="138"/>
        <v>167.68597520330621</v>
      </c>
      <c r="AI98" s="130" t="str">
        <f t="shared" si="138"/>
        <v/>
      </c>
      <c r="AJ98" s="130">
        <f t="shared" si="138"/>
        <v>-21.583508914881065</v>
      </c>
      <c r="AK98" s="130">
        <f t="shared" si="138"/>
        <v>-1099.9422299248988</v>
      </c>
      <c r="AL98" s="130">
        <f t="shared" si="138"/>
        <v>-22.091352731916459</v>
      </c>
      <c r="AM98" s="130">
        <f t="shared" si="138"/>
        <v>7.2530711030012185</v>
      </c>
      <c r="AN98" s="130">
        <f t="shared" si="138"/>
        <v>-38.17481256680594</v>
      </c>
    </row>
    <row r="99" spans="1:40">
      <c r="A99" s="74"/>
      <c r="B99" s="242"/>
      <c r="C99" s="242"/>
      <c r="D99" s="59" t="str">
        <f t="shared" si="137"/>
        <v>LO</v>
      </c>
      <c r="E99" s="242" t="str">
        <f>AA10</f>
        <v>%/CCT</v>
      </c>
      <c r="F99" s="63">
        <f t="shared" si="123"/>
        <v>0.32596998204998512</v>
      </c>
      <c r="G99" s="63">
        <f t="shared" si="124"/>
        <v>0.67569536466822933</v>
      </c>
      <c r="H99" s="242">
        <f>getCCTfromXY(H95,H96,0)</f>
        <v>2308</v>
      </c>
      <c r="I99" s="63" t="str">
        <f>IF(I$54,1-$H99/I89,"")</f>
        <v/>
      </c>
      <c r="J99" s="91" t="str">
        <f t="shared" ref="J99:AN99" si="139">IF(J$54,1-$H99/J89,"")</f>
        <v/>
      </c>
      <c r="K99" s="91">
        <f t="shared" si="139"/>
        <v>-0.20145757418011456</v>
      </c>
      <c r="L99" s="91">
        <f t="shared" si="139"/>
        <v>1.1538666666666666</v>
      </c>
      <c r="M99" s="91" t="str">
        <f t="shared" si="139"/>
        <v/>
      </c>
      <c r="N99" s="91">
        <f t="shared" si="139"/>
        <v>4.1130037390943119E-2</v>
      </c>
      <c r="O99" s="91">
        <f t="shared" si="139"/>
        <v>-2.2143489813994721E-2</v>
      </c>
      <c r="P99" s="91" t="str">
        <f t="shared" si="139"/>
        <v/>
      </c>
      <c r="Q99" s="91">
        <f t="shared" si="139"/>
        <v>-0.30542986425339369</v>
      </c>
      <c r="R99" s="91">
        <f t="shared" si="139"/>
        <v>1.2409071459135612E-2</v>
      </c>
      <c r="S99" s="91">
        <f t="shared" si="139"/>
        <v>2.2448115205421448E-2</v>
      </c>
      <c r="T99" s="91">
        <f t="shared" si="139"/>
        <v>1.1986301369863006E-2</v>
      </c>
      <c r="U99" s="91">
        <f t="shared" si="139"/>
        <v>1.995753715498938E-2</v>
      </c>
      <c r="V99" s="91">
        <f t="shared" si="139"/>
        <v>5.3322395406070533E-2</v>
      </c>
      <c r="W99" s="91">
        <f t="shared" si="139"/>
        <v>5.1766639276910387E-2</v>
      </c>
      <c r="X99" s="91">
        <f t="shared" si="139"/>
        <v>5.7959183673469417E-2</v>
      </c>
      <c r="Y99" s="91">
        <f t="shared" si="139"/>
        <v>-8.714083843617515E-2</v>
      </c>
      <c r="Z99" s="91">
        <f t="shared" si="139"/>
        <v>-0.23952738990332967</v>
      </c>
      <c r="AA99" s="91">
        <f t="shared" si="139"/>
        <v>1.1538666666666666</v>
      </c>
      <c r="AB99" s="91">
        <f t="shared" si="139"/>
        <v>1.1538666666666666</v>
      </c>
      <c r="AC99" s="91">
        <f t="shared" si="139"/>
        <v>4.3308791684715242E-4</v>
      </c>
      <c r="AD99" s="91">
        <f t="shared" si="139"/>
        <v>5.8343533251734025E-2</v>
      </c>
      <c r="AE99" s="91">
        <f t="shared" si="139"/>
        <v>-0.28079911209766917</v>
      </c>
      <c r="AF99" s="91">
        <f t="shared" si="139"/>
        <v>1.1538666666666666</v>
      </c>
      <c r="AG99" s="91">
        <f t="shared" si="139"/>
        <v>1.1538666666666666</v>
      </c>
      <c r="AH99" s="91">
        <f t="shared" si="139"/>
        <v>1.1538666666666666</v>
      </c>
      <c r="AI99" s="91" t="str">
        <f t="shared" si="139"/>
        <v/>
      </c>
      <c r="AJ99" s="91">
        <f t="shared" si="139"/>
        <v>4.54921422663358E-2</v>
      </c>
      <c r="AK99" s="91">
        <f t="shared" si="139"/>
        <v>2.5386666666666668</v>
      </c>
      <c r="AL99" s="91">
        <f t="shared" si="139"/>
        <v>5.0596462361168215E-2</v>
      </c>
      <c r="AM99" s="91">
        <f t="shared" si="139"/>
        <v>-3.4513670999551715E-2</v>
      </c>
      <c r="AN99" s="91">
        <f t="shared" si="139"/>
        <v>8.449028163427208E-2</v>
      </c>
    </row>
    <row r="100" spans="1:40">
      <c r="A100" s="74"/>
      <c r="B100" s="242"/>
      <c r="C100" s="242"/>
      <c r="D100" s="59" t="str">
        <f t="shared" si="137"/>
        <v>HI</v>
      </c>
      <c r="E100" s="242"/>
      <c r="F100" s="63">
        <f t="shared" si="123"/>
        <v>0.29624988005693359</v>
      </c>
      <c r="G100" s="63">
        <f t="shared" si="124"/>
        <v>0.6528237517674137</v>
      </c>
      <c r="H100" s="242"/>
      <c r="I100" s="63" t="str">
        <f>IF(I$54,1-$H99/I93,"")</f>
        <v/>
      </c>
      <c r="J100" s="91" t="str">
        <f t="shared" ref="J100:AN100" si="140">IF(J$54,1-$H99/J93,"")</f>
        <v/>
      </c>
      <c r="K100" s="91">
        <f t="shared" si="140"/>
        <v>-0.21154855643044623</v>
      </c>
      <c r="L100" s="91">
        <f t="shared" si="140"/>
        <v>1.1538666666666666</v>
      </c>
      <c r="M100" s="91" t="str">
        <f t="shared" si="140"/>
        <v/>
      </c>
      <c r="N100" s="91">
        <f t="shared" si="140"/>
        <v>4.54921422663358E-2</v>
      </c>
      <c r="O100" s="91">
        <f t="shared" si="140"/>
        <v>-2.1710811984367862E-3</v>
      </c>
      <c r="P100" s="91" t="str">
        <f t="shared" si="140"/>
        <v/>
      </c>
      <c r="Q100" s="91">
        <f t="shared" si="140"/>
        <v>-0.21282186022070415</v>
      </c>
      <c r="R100" s="91">
        <f t="shared" si="140"/>
        <v>1.7872340425531874E-2</v>
      </c>
      <c r="S100" s="91">
        <f t="shared" si="140"/>
        <v>3.0659386812263767E-2</v>
      </c>
      <c r="T100" s="91">
        <f t="shared" si="140"/>
        <v>2.3275497249259369E-2</v>
      </c>
      <c r="U100" s="91">
        <f t="shared" si="140"/>
        <v>2.0373514431239359E-2</v>
      </c>
      <c r="V100" s="91">
        <f t="shared" si="140"/>
        <v>5.525992632009824E-2</v>
      </c>
      <c r="W100" s="91">
        <f t="shared" si="140"/>
        <v>5.0986842105263164E-2</v>
      </c>
      <c r="X100" s="91">
        <f t="shared" si="140"/>
        <v>5.6804250102165943E-2</v>
      </c>
      <c r="Y100" s="91">
        <f t="shared" si="140"/>
        <v>-4.4343891402714997E-2</v>
      </c>
      <c r="Z100" s="91">
        <f t="shared" si="140"/>
        <v>-0.19399896533885164</v>
      </c>
      <c r="AA100" s="91">
        <f t="shared" si="140"/>
        <v>0.19833275442862108</v>
      </c>
      <c r="AB100" s="91">
        <f t="shared" si="140"/>
        <v>1.1538666666666666</v>
      </c>
      <c r="AC100" s="91">
        <f t="shared" si="140"/>
        <v>1.5778251599147142E-2</v>
      </c>
      <c r="AD100" s="91">
        <f t="shared" si="140"/>
        <v>5.5646481178396101E-2</v>
      </c>
      <c r="AE100" s="91">
        <f t="shared" si="140"/>
        <v>1.1538666666666666</v>
      </c>
      <c r="AF100" s="91">
        <f t="shared" si="140"/>
        <v>1.1538666666666666</v>
      </c>
      <c r="AG100" s="91">
        <f t="shared" si="140"/>
        <v>1.1538666666666666</v>
      </c>
      <c r="AH100" s="91">
        <f t="shared" si="140"/>
        <v>-0.38701923076923084</v>
      </c>
      <c r="AI100" s="91" t="str">
        <f t="shared" si="140"/>
        <v/>
      </c>
      <c r="AJ100" s="91">
        <f t="shared" si="140"/>
        <v>4.9814738575545525E-2</v>
      </c>
      <c r="AK100" s="91">
        <f t="shared" si="140"/>
        <v>2.5386666666666668</v>
      </c>
      <c r="AL100" s="91">
        <f t="shared" si="140"/>
        <v>5.0986842105263164E-2</v>
      </c>
      <c r="AM100" s="91">
        <f t="shared" si="140"/>
        <v>-1.6740088105726914E-2</v>
      </c>
      <c r="AN100" s="91">
        <f t="shared" si="140"/>
        <v>8.8107467404188067E-2</v>
      </c>
    </row>
    <row r="101" spans="1:40" s="64" customFormat="1">
      <c r="A101" s="74"/>
      <c r="B101" s="242"/>
      <c r="C101" s="242"/>
      <c r="D101" s="64" t="str">
        <f t="shared" si="137"/>
        <v>LO</v>
      </c>
      <c r="E101" s="242" t="s">
        <v>85</v>
      </c>
      <c r="F101" s="63">
        <f t="shared" si="123"/>
        <v>2.4103700672126473</v>
      </c>
      <c r="G101" s="63">
        <f t="shared" si="124"/>
        <v>50.94056178843892</v>
      </c>
      <c r="H101" s="64">
        <f>H82</f>
        <v>844.5</v>
      </c>
      <c r="I101" s="63" t="str">
        <f>IF(I$54,1-$H101/I82,"")</f>
        <v/>
      </c>
      <c r="J101" s="91" t="str">
        <f t="shared" ref="J101:AN101" si="141">IF(J$54,1-$H101/J82,"")</f>
        <v/>
      </c>
      <c r="K101" s="91">
        <f t="shared" si="141"/>
        <v>-11.861467302405519</v>
      </c>
      <c r="L101" s="91">
        <f t="shared" si="141"/>
        <v>249.74577009319526</v>
      </c>
      <c r="M101" s="91" t="str">
        <f t="shared" si="141"/>
        <v/>
      </c>
      <c r="N101" s="91">
        <f t="shared" si="141"/>
        <v>0.17058077849566178</v>
      </c>
      <c r="O101" s="91">
        <f t="shared" si="141"/>
        <v>-1.937043191923268</v>
      </c>
      <c r="P101" s="91" t="str">
        <f t="shared" si="141"/>
        <v/>
      </c>
      <c r="Q101" s="91">
        <f t="shared" si="141"/>
        <v>-8.7869302380783783</v>
      </c>
      <c r="R101" s="91">
        <f t="shared" si="141"/>
        <v>-0.10415146006428477</v>
      </c>
      <c r="S101" s="91">
        <f t="shared" si="141"/>
        <v>0.39486881317397071</v>
      </c>
      <c r="T101" s="91">
        <f t="shared" si="141"/>
        <v>-1.7503975950369508</v>
      </c>
      <c r="U101" s="91">
        <f t="shared" si="141"/>
        <v>0.41713065172676378</v>
      </c>
      <c r="V101" s="91">
        <f t="shared" si="141"/>
        <v>0.485393624110671</v>
      </c>
      <c r="W101" s="91">
        <f t="shared" si="141"/>
        <v>0.32549491724405943</v>
      </c>
      <c r="X101" s="91">
        <f t="shared" si="141"/>
        <v>0.66488950037000905</v>
      </c>
      <c r="Y101" s="91">
        <f t="shared" si="141"/>
        <v>-2.3170627208098562</v>
      </c>
      <c r="Z101" s="91">
        <f t="shared" si="141"/>
        <v>-9.8460723432799035</v>
      </c>
      <c r="AA101" s="91">
        <f t="shared" si="141"/>
        <v>-11.857029613802826</v>
      </c>
      <c r="AB101" s="91">
        <f t="shared" si="141"/>
        <v>-20.108691675949785</v>
      </c>
      <c r="AC101" s="91">
        <f t="shared" si="141"/>
        <v>0.13376845984817809</v>
      </c>
      <c r="AD101" s="91">
        <f t="shared" si="141"/>
        <v>0.322149530555218</v>
      </c>
      <c r="AE101" s="91">
        <f t="shared" si="141"/>
        <v>-10.485869059498144</v>
      </c>
      <c r="AF101" s="91">
        <f t="shared" si="141"/>
        <v>-13.836971021315227</v>
      </c>
      <c r="AG101" s="91">
        <f t="shared" si="141"/>
        <v>-45.530168636780211</v>
      </c>
      <c r="AH101" s="91">
        <f t="shared" si="141"/>
        <v>-44.367236553266672</v>
      </c>
      <c r="AI101" s="91" t="str">
        <f t="shared" si="141"/>
        <v/>
      </c>
      <c r="AJ101" s="91">
        <f t="shared" si="141"/>
        <v>0.54986282276921483</v>
      </c>
      <c r="AK101" s="91">
        <f t="shared" si="141"/>
        <v>-5.873635244648062</v>
      </c>
      <c r="AL101" s="91">
        <f t="shared" si="141"/>
        <v>0.75648372929775931</v>
      </c>
      <c r="AM101" s="91">
        <f t="shared" si="141"/>
        <v>-0.76690470778161246</v>
      </c>
      <c r="AN101" s="91">
        <f t="shared" si="141"/>
        <v>0.54323025859545171</v>
      </c>
    </row>
    <row r="102" spans="1:40" s="64" customFormat="1">
      <c r="A102" s="74"/>
      <c r="B102" s="242"/>
      <c r="C102" s="242"/>
      <c r="D102" s="64" t="str">
        <f t="shared" si="137"/>
        <v>HI</v>
      </c>
      <c r="E102" s="242"/>
      <c r="F102" s="63">
        <f t="shared" si="123"/>
        <v>-19.31560719692602</v>
      </c>
      <c r="G102" s="63">
        <f t="shared" si="124"/>
        <v>96.027154165859542</v>
      </c>
      <c r="H102" s="75">
        <f>H101/O$20</f>
        <v>903.00611160990684</v>
      </c>
      <c r="I102" s="63" t="str">
        <f>IF(I$54,1-$H102/I85,"")</f>
        <v/>
      </c>
      <c r="J102" s="91" t="str">
        <f t="shared" ref="J102:AN102" si="142">IF(J$54,1-$H102/J85,"")</f>
        <v/>
      </c>
      <c r="K102" s="91">
        <f t="shared" si="142"/>
        <v>-11.407009606182402</v>
      </c>
      <c r="L102" s="91">
        <f t="shared" si="142"/>
        <v>91.756198804854037</v>
      </c>
      <c r="M102" s="91" t="str">
        <f t="shared" si="142"/>
        <v/>
      </c>
      <c r="N102" s="91">
        <f t="shared" si="142"/>
        <v>0.14425982570239082</v>
      </c>
      <c r="O102" s="91">
        <f t="shared" si="142"/>
        <v>-1.6738733611802661</v>
      </c>
      <c r="P102" s="91" t="str">
        <f t="shared" si="142"/>
        <v/>
      </c>
      <c r="Q102" s="91">
        <f t="shared" si="142"/>
        <v>-11.254782508717726</v>
      </c>
      <c r="R102" s="91">
        <f t="shared" si="142"/>
        <v>-3.8090132577279778E-2</v>
      </c>
      <c r="S102" s="91">
        <f t="shared" si="142"/>
        <v>0.41831396050902381</v>
      </c>
      <c r="T102" s="91">
        <f t="shared" si="142"/>
        <v>-2.0536654930906204</v>
      </c>
      <c r="U102" s="91">
        <f t="shared" si="142"/>
        <v>0.39837682489295179</v>
      </c>
      <c r="V102" s="91">
        <f t="shared" si="142"/>
        <v>0.49520141887803937</v>
      </c>
      <c r="W102" s="91">
        <f t="shared" si="142"/>
        <v>0.3233305478763131</v>
      </c>
      <c r="X102" s="91">
        <f t="shared" si="142"/>
        <v>0.70386947027087543</v>
      </c>
      <c r="Y102" s="91">
        <f t="shared" si="142"/>
        <v>-2.5943379925193395</v>
      </c>
      <c r="Z102" s="91">
        <f t="shared" si="142"/>
        <v>-4.8308601247028848</v>
      </c>
      <c r="AA102" s="91">
        <f t="shared" si="142"/>
        <v>-6.8923727744721832</v>
      </c>
      <c r="AB102" s="91">
        <f t="shared" si="142"/>
        <v>-34.043326219160249</v>
      </c>
      <c r="AC102" s="91">
        <f t="shared" si="142"/>
        <v>5.4003050798163144E-2</v>
      </c>
      <c r="AD102" s="91">
        <f t="shared" si="142"/>
        <v>0.30576261436908736</v>
      </c>
      <c r="AE102" s="91">
        <f t="shared" si="142"/>
        <v>-16.155911704753283</v>
      </c>
      <c r="AF102" s="91">
        <f t="shared" si="142"/>
        <v>-16.443328558759475</v>
      </c>
      <c r="AG102" s="91">
        <f t="shared" si="142"/>
        <v>-489.02120369899376</v>
      </c>
      <c r="AH102" s="91">
        <f t="shared" si="142"/>
        <v>-13.07372335483495</v>
      </c>
      <c r="AI102" s="91" t="str">
        <f t="shared" si="142"/>
        <v/>
      </c>
      <c r="AJ102" s="91">
        <f t="shared" si="142"/>
        <v>0.53703826203717187</v>
      </c>
      <c r="AK102" s="91">
        <f t="shared" si="142"/>
        <v>-7.6413709623512052</v>
      </c>
      <c r="AL102" s="91">
        <f t="shared" si="142"/>
        <v>0.7493222886679245</v>
      </c>
      <c r="AM102" s="91">
        <f t="shared" si="142"/>
        <v>-0.8163433809753653</v>
      </c>
      <c r="AN102" s="91">
        <f t="shared" si="142"/>
        <v>0.53312848741239116</v>
      </c>
    </row>
    <row r="103" spans="1:40">
      <c r="A103" s="74"/>
      <c r="B103" s="242" t="str">
        <f>data0!A15</f>
        <v>A</v>
      </c>
      <c r="C103" s="242" t="str">
        <f>data0!B15</f>
        <v>LO</v>
      </c>
      <c r="D103" s="242"/>
      <c r="E103" s="59" t="str">
        <f t="shared" ref="E103:E109" si="143">E81</f>
        <v>X</v>
      </c>
      <c r="F103" s="61">
        <f t="shared" si="123"/>
        <v>1524.1140248166009</v>
      </c>
      <c r="G103" s="61">
        <f t="shared" si="124"/>
        <v>926.00347769231496</v>
      </c>
      <c r="H103" s="59">
        <f>E12</f>
        <v>1505</v>
      </c>
      <c r="I103" s="168" t="str">
        <f>IF(I$54,$V$32*($Q$32*data0!F328+$R$32*data0!F329+$S$32*data0!F330+$T$32*data0!F331),"")</f>
        <v/>
      </c>
      <c r="J103" s="168" t="str">
        <f>IF(J$54,$V$32*($Q$32*data0!G328+$R$32*data0!G329+$S$32*data0!G330+$T$32*data0!G331),"")</f>
        <v/>
      </c>
      <c r="K103" s="168">
        <f>IF(K$54,$V$32*($Q$32*data0!H328+$R$32*data0!H329+$S$32*data0!H330+$T$32*data0!H331),"")</f>
        <v>480.11091452177891</v>
      </c>
      <c r="L103" s="168">
        <f>IF(L$54,$V$32*($Q$32*data0!I328+$R$32*data0!I329+$S$32*data0!I330+$T$32*data0!I331),"")</f>
        <v>537.61175401448827</v>
      </c>
      <c r="M103" s="168" t="str">
        <f>IF(M$54,$V$32*($Q$32*data0!J328+$R$32*data0!J329+$S$32*data0!J330+$T$32*data0!J331),"")</f>
        <v/>
      </c>
      <c r="N103" s="168">
        <f>IF(N$54,$V$32*($Q$32*data0!K328+$R$32*data0!K329+$S$32*data0!K330+$T$32*data0!K331),"")</f>
        <v>1879.7386651329168</v>
      </c>
      <c r="O103" s="168">
        <f>IF(O$54,$V$32*($Q$32*data0!L328+$R$32*data0!L329+$S$32*data0!L330+$T$32*data0!L331),"")</f>
        <v>1300.4959792121099</v>
      </c>
      <c r="P103" s="168" t="str">
        <f>IF(P$54,$V$32*($Q$32*data0!M328+$R$32*data0!M329+$S$32*data0!M330+$T$32*data0!M331),"")</f>
        <v/>
      </c>
      <c r="Q103" s="168">
        <f>IF(Q$54,$V$32*($Q$32*data0!N328+$R$32*data0!N329+$S$32*data0!N330+$T$32*data0!N331),"")</f>
        <v>1049.236338213964</v>
      </c>
      <c r="R103" s="168">
        <f>IF(R$54,$V$32*($Q$32*data0!O328+$R$32*data0!O329+$S$32*data0!O330+$T$32*data0!O331),"")</f>
        <v>1623.5576635857799</v>
      </c>
      <c r="S103" s="168">
        <f>IF(S$54,$V$32*($Q$32*data0!P328+$R$32*data0!P329+$S$32*data0!P330+$T$32*data0!P331),"")</f>
        <v>2053.7514335680635</v>
      </c>
      <c r="T103" s="168">
        <f>IF(T$54,$V$32*($Q$32*data0!Q328+$R$32*data0!Q329+$S$32*data0!Q330+$T$32*data0!Q331),"")</f>
        <v>1280.902633448793</v>
      </c>
      <c r="U103" s="168">
        <f>IF(U$54,$V$32*($Q$32*data0!R328+$R$32*data0!R329+$S$32*data0!R330+$T$32*data0!R331),"")</f>
        <v>2168.7722744119296</v>
      </c>
      <c r="V103" s="168">
        <f>IF(V$54,$V$32*($Q$32*data0!S328+$R$32*data0!S329+$S$32*data0!S330+$T$32*data0!S331),"")</f>
        <v>2366.703230659994</v>
      </c>
      <c r="W103" s="168">
        <f>IF(W$54,$V$32*($Q$32*data0!T328+$R$32*data0!T329+$S$32*data0!T330+$T$32*data0!T331),"")</f>
        <v>2029.0894199664472</v>
      </c>
      <c r="X103" s="168">
        <f>IF(X$54,$V$32*($Q$32*data0!U328+$R$32*data0!U329+$S$32*data0!U330+$T$32*data0!U331),"")</f>
        <v>3438.0390542873752</v>
      </c>
      <c r="Y103" s="168">
        <f>IF(Y$54,$V$32*($Q$32*data0!V328+$R$32*data0!V329+$S$32*data0!V330+$T$32*data0!V331),"")</f>
        <v>1208.3772120505889</v>
      </c>
      <c r="Z103" s="168">
        <f>IF(Z$54,$V$32*($Q$32*data0!W328+$R$32*data0!W329+$S$32*data0!W330+$T$32*data0!W331),"")</f>
        <v>883.50111465094744</v>
      </c>
      <c r="AA103" s="168">
        <f>IF(AA$54,$V$32*($Q$32*data0!X328+$R$32*data0!X329+$S$32*data0!X330+$T$32*data0!X331),"")</f>
        <v>1124.4387955942505</v>
      </c>
      <c r="AB103" s="168">
        <f>IF(AB$54,$V$32*($Q$32*data0!Y328+$R$32*data0!Y329+$S$32*data0!Y330+$T$32*data0!Y331),"")</f>
        <v>913.18648660189785</v>
      </c>
      <c r="AC103" s="168">
        <f>IF(AC$54,$V$32*($Q$32*data0!Z328+$R$32*data0!Z329+$S$32*data0!Z330+$T$32*data0!Z331),"")</f>
        <v>2012.0418078375849</v>
      </c>
      <c r="AD103" s="168">
        <f>IF(AD$54,$V$32*($Q$32*data0!AA328+$R$32*data0!AA329+$S$32*data0!AA330+$T$32*data0!AA331),"")</f>
        <v>2046.5522328452091</v>
      </c>
      <c r="AE103" s="168">
        <f>IF(AE$54,$V$32*($Q$32*data0!AB328+$R$32*data0!AB329+$S$32*data0!AB330+$T$32*data0!AB331),"")</f>
        <v>526.17057912450559</v>
      </c>
      <c r="AF103" s="168">
        <f>IF(AF$54,$V$32*($Q$32*data0!AC328+$R$32*data0!AC329+$S$32*data0!AC330+$T$32*data0!AC331),"")</f>
        <v>1072.3887674737143</v>
      </c>
      <c r="AG103" s="168">
        <f>IF(AG$54,$V$32*($Q$32*data0!AD328+$R$32*data0!AD329+$S$32*data0!AD330+$T$32*data0!AD331),"")</f>
        <v>544.49553361863718</v>
      </c>
      <c r="AH103" s="168">
        <f>IF(AH$54,$V$32*($Q$32*data0!AE328+$R$32*data0!AE329+$S$32*data0!AE330+$T$32*data0!AE331),"")</f>
        <v>-145.92954013037658</v>
      </c>
      <c r="AI103" s="168" t="str">
        <f>IF(AI$54,$V$32*($Q$32*data0!AF328+$R$32*data0!AF329+$S$32*data0!AF330+$T$32*data0!AF331),"")</f>
        <v/>
      </c>
      <c r="AJ103" s="168">
        <f>IF(AJ$54,$V$32*($Q$32*data0!AG328+$R$32*data0!AG329+$S$32*data0!AG330+$T$32*data0!AG331),"")</f>
        <v>2483.3172194561912</v>
      </c>
      <c r="AK103" s="168">
        <f>IF(AK$54,$V$32*($Q$32*data0!AH328+$R$32*data0!AH329+$S$32*data0!AH330+$T$32*data0!AH331),"")</f>
        <v>540.38022745546675</v>
      </c>
      <c r="AL103" s="168">
        <f>IF(AL$54,$V$32*($Q$32*data0!AI328+$R$32*data0!AI329+$S$32*data0!AI330+$T$32*data0!AI331),"")</f>
        <v>3815.5030090553305</v>
      </c>
      <c r="AM103" s="168">
        <f>IF(AM$54,$V$32*($Q$32*data0!AJ328+$R$32*data0!AJ329+$S$32*data0!AJ330+$T$32*data0!AJ331),"")</f>
        <v>1503.0129622508689</v>
      </c>
      <c r="AN103" s="168">
        <f>IF(AN$54,$V$32*($Q$32*data0!AK328+$R$32*data0!AK329+$S$32*data0!AK330+$T$32*data0!AK331),"")</f>
        <v>2415.632901139767</v>
      </c>
    </row>
    <row r="104" spans="1:40">
      <c r="A104" s="74"/>
      <c r="B104" s="242"/>
      <c r="C104" s="242"/>
      <c r="D104" s="242"/>
      <c r="E104" s="59" t="str">
        <f t="shared" si="143"/>
        <v>Y</v>
      </c>
      <c r="F104" s="61">
        <f t="shared" si="123"/>
        <v>1387.4197475134226</v>
      </c>
      <c r="G104" s="61">
        <f t="shared" si="124"/>
        <v>834.28629762777098</v>
      </c>
      <c r="H104" s="59">
        <f>F12</f>
        <v>1373</v>
      </c>
      <c r="I104" s="168" t="str">
        <f>IF(I$54,$V$32*($Q$33*data0!F328+$R$33*data0!F329+$S$33*data0!F330+$T$33*data0!F331),"")</f>
        <v/>
      </c>
      <c r="J104" s="168" t="str">
        <f>IF(J$54,$V$32*($Q$33*data0!G328+$R$33*data0!G329+$S$33*data0!G330+$T$33*data0!G331),"")</f>
        <v/>
      </c>
      <c r="K104" s="168">
        <f>IF(K$54,$V$32*($Q$33*data0!H328+$R$33*data0!H329+$S$33*data0!H330+$T$33*data0!H331),"")</f>
        <v>448.59065682414354</v>
      </c>
      <c r="L104" s="168">
        <f>IF(L$54,$V$32*($Q$33*data0!I328+$R$33*data0!I329+$S$33*data0!I330+$T$33*data0!I331),"")</f>
        <v>506.47351606691836</v>
      </c>
      <c r="M104" s="168" t="str">
        <f>IF(M$54,$V$32*($Q$33*data0!J328+$R$33*data0!J329+$S$33*data0!J330+$T$33*data0!J331),"")</f>
        <v/>
      </c>
      <c r="N104" s="168">
        <f>IF(N$54,$V$32*($Q$33*data0!K328+$R$33*data0!K329+$S$33*data0!K330+$T$33*data0!K331),"")</f>
        <v>1715.2669352151838</v>
      </c>
      <c r="O104" s="168">
        <f>IF(O$54,$V$32*($Q$33*data0!L328+$R$33*data0!L329+$S$33*data0!L330+$T$33*data0!L331),"")</f>
        <v>1186.710559062059</v>
      </c>
      <c r="P104" s="168" t="str">
        <f>IF(P$54,$V$32*($Q$33*data0!M328+$R$33*data0!M329+$S$33*data0!M330+$T$33*data0!M331),"")</f>
        <v/>
      </c>
      <c r="Q104" s="168">
        <f>IF(Q$54,$V$32*($Q$33*data0!N328+$R$33*data0!N329+$S$33*data0!N330+$T$33*data0!N331),"")</f>
        <v>957.17414960428425</v>
      </c>
      <c r="R104" s="168">
        <f>IF(R$54,$V$32*($Q$33*data0!O328+$R$33*data0!O329+$S$33*data0!O330+$T$33*data0!O331),"")</f>
        <v>1474.8060018175292</v>
      </c>
      <c r="S104" s="168">
        <f>IF(S$54,$V$32*($Q$33*data0!P328+$R$33*data0!P329+$S$33*data0!P330+$T$33*data0!P331),"")</f>
        <v>1855.7633902240693</v>
      </c>
      <c r="T104" s="168">
        <f>IF(T$54,$V$32*($Q$33*data0!Q328+$R$33*data0!Q329+$S$33*data0!Q330+$T$33*data0!Q331),"")</f>
        <v>1164.1750214004433</v>
      </c>
      <c r="U104" s="168">
        <f>IF(U$54,$V$32*($Q$33*data0!R328+$R$33*data0!R329+$S$33*data0!R330+$T$33*data0!R331),"")</f>
        <v>1957.557679428616</v>
      </c>
      <c r="V104" s="168">
        <f>IF(V$54,$V$32*($Q$33*data0!S328+$R$33*data0!S329+$S$33*data0!S330+$T$33*data0!S331),"")</f>
        <v>2148.7321610196418</v>
      </c>
      <c r="W104" s="168">
        <f>IF(W$54,$V$32*($Q$33*data0!T328+$R$33*data0!T329+$S$33*data0!T330+$T$33*data0!T331),"")</f>
        <v>1842.8481108098495</v>
      </c>
      <c r="X104" s="168">
        <f>IF(X$54,$V$32*($Q$33*data0!U328+$R$33*data0!U329+$S$33*data0!U330+$T$33*data0!U331),"")</f>
        <v>3115.7777273500988</v>
      </c>
      <c r="Y104" s="168">
        <f>IF(Y$54,$V$32*($Q$33*data0!V328+$R$33*data0!V329+$S$33*data0!V330+$T$33*data0!V331),"")</f>
        <v>1098.4525785761948</v>
      </c>
      <c r="Z104" s="168">
        <f>IF(Z$54,$V$32*($Q$33*data0!W328+$R$33*data0!W329+$S$33*data0!W330+$T$33*data0!W331),"")</f>
        <v>809.58828413500737</v>
      </c>
      <c r="AA104" s="168">
        <f>IF(AA$54,$V$32*($Q$33*data0!X328+$R$33*data0!X329+$S$33*data0!X330+$T$33*data0!X331),"")</f>
        <v>1038.042234027376</v>
      </c>
      <c r="AB104" s="168">
        <f>IF(AB$54,$V$32*($Q$33*data0!Y328+$R$33*data0!Y329+$S$33*data0!Y330+$T$33*data0!Y331),"")</f>
        <v>851.54913222919083</v>
      </c>
      <c r="AC104" s="168">
        <f>IF(AC$54,$V$32*($Q$33*data0!Z328+$R$33*data0!Z329+$S$33*data0!Z330+$T$33*data0!Z331),"")</f>
        <v>1822.8516644855322</v>
      </c>
      <c r="AD104" s="168">
        <f>IF(AD$54,$V$32*($Q$33*data0!AA328+$R$33*data0!AA329+$S$33*data0!AA330+$T$33*data0!AA331),"")</f>
        <v>1857.907565788179</v>
      </c>
      <c r="AE104" s="168">
        <f>IF(AE$54,$V$32*($Q$33*data0!AB328+$R$33*data0!AB329+$S$33*data0!AB330+$T$33*data0!AB331),"")</f>
        <v>488.62755039904789</v>
      </c>
      <c r="AF104" s="168">
        <f>IF(AF$54,$V$32*($Q$33*data0!AC328+$R$33*data0!AC329+$S$33*data0!AC330+$T$33*data0!AC331),"")</f>
        <v>982.42095674797804</v>
      </c>
      <c r="AG104" s="168">
        <f>IF(AG$54,$V$32*($Q$33*data0!AD328+$R$33*data0!AD329+$S$33*data0!AD330+$T$33*data0!AD331),"")</f>
        <v>505.73864884250668</v>
      </c>
      <c r="AH104" s="168">
        <f>IF(AH$54,$V$32*($Q$33*data0!AE328+$R$33*data0!AE329+$S$33*data0!AE330+$T$33*data0!AE331),"")</f>
        <v>-125.95403020246992</v>
      </c>
      <c r="AI104" s="168" t="str">
        <f>IF(AI$54,$V$32*($Q$33*data0!AF328+$R$33*data0!AF329+$S$33*data0!AF330+$T$33*data0!AF331),"")</f>
        <v/>
      </c>
      <c r="AJ104" s="168">
        <f>IF(AJ$54,$V$32*($Q$33*data0!AG328+$R$33*data0!AG329+$S$33*data0!AG330+$T$33*data0!AG331),"")</f>
        <v>2249.3025257334762</v>
      </c>
      <c r="AK104" s="168">
        <f>IF(AK$54,$V$32*($Q$33*data0!AH328+$R$33*data0!AH329+$S$33*data0!AH330+$T$33*data0!AH331),"")</f>
        <v>491.28230106933705</v>
      </c>
      <c r="AL104" s="168">
        <f>IF(AL$54,$V$32*($Q$33*data0!AI328+$R$33*data0!AI329+$S$33*data0!AI330+$T$33*data0!AI331),"")</f>
        <v>3446.5398281924872</v>
      </c>
      <c r="AM104" s="168">
        <f>IF(AM$54,$V$32*($Q$33*data0!AJ328+$R$33*data0!AJ329+$S$33*data0!AJ330+$T$33*data0!AJ331),"")</f>
        <v>1365.9917583057454</v>
      </c>
      <c r="AN104" s="168">
        <f>IF(AN$54,$V$32*($Q$33*data0!AK328+$R$33*data0!AK329+$S$33*data0!AK330+$T$33*data0!AK331),"")</f>
        <v>2204.1162757099901</v>
      </c>
    </row>
    <row r="105" spans="1:40">
      <c r="A105" s="74"/>
      <c r="B105" s="242"/>
      <c r="C105" s="242"/>
      <c r="D105" s="242"/>
      <c r="E105" s="59" t="str">
        <f t="shared" si="143"/>
        <v>Z</v>
      </c>
      <c r="F105" s="61">
        <f t="shared" si="123"/>
        <v>459.62638179342662</v>
      </c>
      <c r="G105" s="61">
        <f t="shared" si="124"/>
        <v>39.859370160060493</v>
      </c>
      <c r="H105" s="59">
        <f>G12</f>
        <v>457</v>
      </c>
      <c r="I105" s="168" t="str">
        <f>IF(I$54,$V$32*($Q$34*data0!F328+$R$34*data0!F329+$S$34*data0!F330+$T$34*data0!F331),"")</f>
        <v/>
      </c>
      <c r="J105" s="168" t="str">
        <f>IF(J$54,$V$32*($Q$34*data0!G328+$R$34*data0!G329+$S$34*data0!G330+$T$34*data0!G331),"")</f>
        <v/>
      </c>
      <c r="K105" s="168">
        <f>IF(K$54,$V$32*($Q$34*data0!H328+$R$34*data0!H329+$S$34*data0!H330+$T$34*data0!H331),"")</f>
        <v>434.29233919459119</v>
      </c>
      <c r="L105" s="168">
        <f>IF(L$54,$V$32*($Q$34*data0!I328+$R$34*data0!I329+$S$34*data0!I330+$T$34*data0!I331),"")</f>
        <v>533.00229472394358</v>
      </c>
      <c r="M105" s="168" t="str">
        <f>IF(M$54,$V$32*($Q$34*data0!J328+$R$34*data0!J329+$S$34*data0!J330+$T$34*data0!J331),"")</f>
        <v/>
      </c>
      <c r="N105" s="168">
        <f>IF(N$54,$V$32*($Q$34*data0!K328+$R$34*data0!K329+$S$34*data0!K330+$T$34*data0!K331),"")</f>
        <v>479.06553773735777</v>
      </c>
      <c r="O105" s="168">
        <f>IF(O$54,$V$32*($Q$34*data0!L328+$R$34*data0!L329+$S$34*data0!L330+$T$34*data0!L331),"")</f>
        <v>475.78206485040636</v>
      </c>
      <c r="P105" s="168" t="str">
        <f>IF(P$54,$V$32*($Q$34*data0!M328+$R$34*data0!M329+$S$34*data0!M330+$T$34*data0!M331),"")</f>
        <v/>
      </c>
      <c r="Q105" s="168">
        <f>IF(Q$54,$V$32*($Q$34*data0!N328+$R$34*data0!N329+$S$34*data0!N330+$T$34*data0!N331),"")</f>
        <v>454.58735456647571</v>
      </c>
      <c r="R105" s="168">
        <f>IF(R$54,$V$32*($Q$34*data0!O328+$R$34*data0!O329+$S$34*data0!O330+$T$34*data0!O331),"")</f>
        <v>408.92041790638268</v>
      </c>
      <c r="S105" s="168">
        <f>IF(S$54,$V$32*($Q$34*data0!P328+$R$34*data0!P329+$S$34*data0!P330+$T$34*data0!P331),"")</f>
        <v>400.67343605855785</v>
      </c>
      <c r="T105" s="168">
        <f>IF(T$54,$V$32*($Q$34*data0!Q328+$R$34*data0!Q329+$S$34*data0!Q330+$T$34*data0!Q331),"")</f>
        <v>447.89577068389735</v>
      </c>
      <c r="U105" s="168">
        <f>IF(U$54,$V$32*($Q$34*data0!R328+$R$34*data0!R329+$S$34*data0!R330+$T$34*data0!R331),"")</f>
        <v>384.85526966642868</v>
      </c>
      <c r="V105" s="168">
        <f>IF(V$54,$V$32*($Q$34*data0!S328+$R$34*data0!S329+$S$34*data0!S330+$T$34*data0!S331),"")</f>
        <v>464.55078594353165</v>
      </c>
      <c r="W105" s="168">
        <f>IF(W$54,$V$32*($Q$34*data0!T328+$R$34*data0!T329+$S$34*data0!T330+$T$34*data0!T331),"")</f>
        <v>458.53197696955652</v>
      </c>
      <c r="X105" s="168">
        <f>IF(X$54,$V$32*($Q$34*data0!U328+$R$34*data0!U329+$S$34*data0!U330+$T$34*data0!U331),"")</f>
        <v>472.19221960308391</v>
      </c>
      <c r="Y105" s="168">
        <f>IF(Y$54,$V$32*($Q$34*data0!V328+$R$34*data0!V329+$S$34*data0!V330+$T$34*data0!V331),"")</f>
        <v>430.92618111938049</v>
      </c>
      <c r="Z105" s="168">
        <f>IF(Z$54,$V$32*($Q$34*data0!W328+$R$34*data0!W329+$S$34*data0!W330+$T$34*data0!W331),"")</f>
        <v>447.47537275413879</v>
      </c>
      <c r="AA105" s="168">
        <f>IF(AA$54,$V$32*($Q$34*data0!X328+$R$34*data0!X329+$S$34*data0!X330+$T$34*data0!X331),"")</f>
        <v>513.29794244211178</v>
      </c>
      <c r="AB105" s="168">
        <f>IF(AB$54,$V$32*($Q$34*data0!Y328+$R$34*data0!Y329+$S$34*data0!Y330+$T$34*data0!Y331),"")</f>
        <v>553.3196423931779</v>
      </c>
      <c r="AC105" s="168">
        <f>IF(AC$54,$V$32*($Q$34*data0!Z328+$R$34*data0!Z329+$S$34*data0!Z330+$T$34*data0!Z331),"")</f>
        <v>501.36404195915054</v>
      </c>
      <c r="AD105" s="168">
        <f>IF(AD$54,$V$32*($Q$34*data0!AA328+$R$34*data0!AA329+$S$34*data0!AA330+$T$34*data0!AA331),"")</f>
        <v>445.22525064675898</v>
      </c>
      <c r="AE105" s="168">
        <f>IF(AE$54,$V$32*($Q$34*data0!AB328+$R$34*data0!AB329+$S$34*data0!AB330+$T$34*data0!AB331),"")</f>
        <v>438.87159340536033</v>
      </c>
      <c r="AF105" s="168">
        <f>IF(AF$54,$V$32*($Q$34*data0!AC328+$R$34*data0!AC329+$S$34*data0!AC330+$T$34*data0!AC331),"")</f>
        <v>457.68864623767581</v>
      </c>
      <c r="AG105" s="168">
        <f>IF(AG$54,$V$32*($Q$34*data0!AD328+$R$34*data0!AD329+$S$34*data0!AD330+$T$34*data0!AD331),"")</f>
        <v>512.18066404488502</v>
      </c>
      <c r="AH105" s="168">
        <f>IF(AH$54,$V$32*($Q$34*data0!AE328+$R$34*data0!AE329+$S$34*data0!AE330+$T$34*data0!AE331),"")</f>
        <v>453.63812090802327</v>
      </c>
      <c r="AI105" s="168" t="str">
        <f>IF(AI$54,$V$32*($Q$34*data0!AF328+$R$34*data0!AF329+$S$34*data0!AF330+$T$34*data0!AF331),"")</f>
        <v/>
      </c>
      <c r="AJ105" s="168">
        <f>IF(AJ$54,$V$32*($Q$34*data0!AG328+$R$34*data0!AG329+$S$34*data0!AG330+$T$34*data0!AG331),"")</f>
        <v>413.1744747169933</v>
      </c>
      <c r="AK105" s="168">
        <f>IF(AK$54,$V$32*($Q$34*data0!AH328+$R$34*data0!AH329+$S$34*data0!AH330+$T$34*data0!AH331),"")</f>
        <v>448.35140017181755</v>
      </c>
      <c r="AL105" s="168">
        <f>IF(AL$54,$V$32*($Q$34*data0!AI328+$R$34*data0!AI329+$S$34*data0!AI330+$T$34*data0!AI331),"")</f>
        <v>432.83979926904937</v>
      </c>
      <c r="AM105" s="168">
        <f>IF(AM$54,$V$32*($Q$34*data0!AJ328+$R$34*data0!AJ329+$S$34*data0!AJ330+$T$34*data0!AJ331),"")</f>
        <v>446.63930108917788</v>
      </c>
      <c r="AN105" s="168">
        <f>IF(AN$54,$V$32*($Q$34*data0!AK328+$R$34*data0!AK329+$S$34*data0!AK330+$T$34*data0!AK331),"")</f>
        <v>500.5704093606065</v>
      </c>
    </row>
    <row r="106" spans="1:40">
      <c r="A106" s="74"/>
      <c r="B106" s="242"/>
      <c r="C106" s="242" t="str">
        <f>data0!B21</f>
        <v>HI</v>
      </c>
      <c r="D106" s="242"/>
      <c r="E106" s="59" t="str">
        <f t="shared" si="143"/>
        <v>X</v>
      </c>
      <c r="F106" s="61">
        <f t="shared" si="123"/>
        <v>1607.3709974296382</v>
      </c>
      <c r="G106" s="61">
        <f t="shared" si="124"/>
        <v>965.36537049331685</v>
      </c>
      <c r="H106" s="242"/>
      <c r="I106" s="168" t="str">
        <f>IF(I$54,$V$33*($Q$32*data0!F332+$R$32*data0!F333+$S$32*data0!F334+$T$32*data0!F335),"")</f>
        <v/>
      </c>
      <c r="J106" s="168" t="str">
        <f>IF(J$54,$V$33*($Q$32*data0!G332+$R$32*data0!G333+$S$32*data0!G334+$T$32*data0!G335),"")</f>
        <v/>
      </c>
      <c r="K106" s="168">
        <f>IF(K$54,$V$33*($Q$32*data0!H332+$R$32*data0!H333+$S$32*data0!H334+$T$32*data0!H335),"")</f>
        <v>493.51841242320353</v>
      </c>
      <c r="L106" s="168">
        <f>IF(L$54,$V$33*($Q$32*data0!I332+$R$32*data0!I333+$S$32*data0!I334+$T$32*data0!I335),"")</f>
        <v>579.12763359633016</v>
      </c>
      <c r="M106" s="168" t="str">
        <f>IF(M$54,$V$33*($Q$32*data0!J332+$R$32*data0!J333+$S$32*data0!J334+$T$32*data0!J335),"")</f>
        <v/>
      </c>
      <c r="N106" s="168">
        <f>IF(N$54,$V$33*($Q$32*data0!K332+$R$32*data0!K333+$S$32*data0!K334+$T$32*data0!K335),"")</f>
        <v>1986.2343945172443</v>
      </c>
      <c r="O106" s="168">
        <f>IF(O$54,$V$33*($Q$32*data0!L332+$R$32*data0!L333+$S$32*data0!L334+$T$32*data0!L335),"")</f>
        <v>1351.2430780697107</v>
      </c>
      <c r="P106" s="168" t="str">
        <f>IF(P$54,$V$33*($Q$32*data0!M332+$R$32*data0!M333+$S$32*data0!M334+$T$32*data0!M335),"")</f>
        <v/>
      </c>
      <c r="Q106" s="168">
        <f>IF(Q$54,$V$33*($Q$32*data0!N332+$R$32*data0!N333+$S$32*data0!N334+$T$32*data0!N335),"")</f>
        <v>1189.538336488876</v>
      </c>
      <c r="R106" s="168">
        <f>IF(R$54,$V$33*($Q$32*data0!O332+$R$32*data0!O333+$S$32*data0!O334+$T$32*data0!O335),"")</f>
        <v>1786.0332644895732</v>
      </c>
      <c r="S106" s="168">
        <f>IF(S$54,$V$33*($Q$32*data0!P332+$R$32*data0!P333+$S$32*data0!P334+$T$32*data0!P335),"")</f>
        <v>2267.9769264957367</v>
      </c>
      <c r="T106" s="168">
        <f>IF(T$54,$V$33*($Q$32*data0!Q332+$R$32*data0!Q333+$S$32*data0!Q334+$T$32*data0!Q335),"")</f>
        <v>1255.3761126906309</v>
      </c>
      <c r="U106" s="168">
        <f>IF(U$54,$V$33*($Q$32*data0!R332+$R$32*data0!R333+$S$32*data0!R334+$T$32*data0!R335),"")</f>
        <v>2197.0046574303178</v>
      </c>
      <c r="V106" s="168">
        <f>IF(V$54,$V$33*($Q$32*data0!S332+$R$32*data0!S333+$S$32*data0!S334+$T$32*data0!S335),"")</f>
        <v>2554.9158522262546</v>
      </c>
      <c r="W106" s="168">
        <f>IF(W$54,$V$33*($Q$32*data0!T332+$R$32*data0!T333+$S$32*data0!T334+$T$32*data0!T335),"")</f>
        <v>2160.8560271660544</v>
      </c>
      <c r="X106" s="168">
        <f>IF(X$54,$V$33*($Q$32*data0!U332+$R$32*data0!U333+$S$32*data0!U334+$T$32*data0!U335),"")</f>
        <v>3551.5785707066343</v>
      </c>
      <c r="Y106" s="168">
        <f>IF(Y$54,$V$33*($Q$32*data0!V332+$R$32*data0!V333+$S$32*data0!V334+$T$32*data0!V335),"")</f>
        <v>1226.0696275554326</v>
      </c>
      <c r="Z106" s="168">
        <f>IF(Z$54,$V$33*($Q$32*data0!W332+$R$32*data0!W333+$S$32*data0!W334+$T$32*data0!W335),"")</f>
        <v>938.45095798490536</v>
      </c>
      <c r="AA106" s="168">
        <f>IF(AA$54,$V$33*($Q$32*data0!X332+$R$32*data0!X333+$S$32*data0!X334+$T$32*data0!X335),"")</f>
        <v>1063.1910706800652</v>
      </c>
      <c r="AB106" s="168">
        <f>IF(AB$54,$V$33*($Q$32*data0!Y332+$R$32*data0!Y333+$S$32*data0!Y334+$T$32*data0!Y335),"")</f>
        <v>1089.3180501987026</v>
      </c>
      <c r="AC106" s="168">
        <f>IF(AC$54,$V$33*($Q$32*data0!Z332+$R$32*data0!Z333+$S$32*data0!Z334+$T$32*data0!Z335),"")</f>
        <v>2058.019589098034</v>
      </c>
      <c r="AD106" s="168">
        <f>IF(AD$54,$V$33*($Q$32*data0!AA332+$R$32*data0!AA333+$S$32*data0!AA334+$T$32*data0!AA335),"")</f>
        <v>2136.3748723508238</v>
      </c>
      <c r="AE106" s="168">
        <f>IF(AE$54,$V$33*($Q$32*data0!AB332+$R$32*data0!AB333+$S$32*data0!AB334+$T$32*data0!AB335),"")</f>
        <v>562.89990234536594</v>
      </c>
      <c r="AF106" s="168">
        <f>IF(AF$54,$V$33*($Q$32*data0!AC332+$R$32*data0!AC333+$S$32*data0!AC334+$T$32*data0!AC335),"")</f>
        <v>1140.2607874059938</v>
      </c>
      <c r="AG106" s="168">
        <f>IF(AG$54,$V$33*($Q$32*data0!AD332+$R$32*data0!AD333+$S$32*data0!AD334+$T$32*data0!AD335),"")</f>
        <v>573.69364440056802</v>
      </c>
      <c r="AH106" s="168">
        <f>IF(AH$54,$V$33*($Q$32*data0!AE332+$R$32*data0!AE333+$S$32*data0!AE334+$T$32*data0!AE335),"")</f>
        <v>-168.48200889792813</v>
      </c>
      <c r="AI106" s="168" t="str">
        <f>IF(AI$54,$V$33*($Q$32*data0!AF332+$R$32*data0!AF333+$S$32*data0!AF334+$T$32*data0!AF335),"")</f>
        <v/>
      </c>
      <c r="AJ106" s="168">
        <f>IF(AJ$54,$V$33*($Q$32*data0!AG332+$R$32*data0!AG333+$S$32*data0!AG334+$T$32*data0!AG335),"")</f>
        <v>2638.0739665048072</v>
      </c>
      <c r="AK106" s="168">
        <f>IF(AK$54,$V$33*($Q$32*data0!AH332+$R$32*data0!AH333+$S$32*data0!AH334+$T$32*data0!AH335),"")</f>
        <v>619.9850324467875</v>
      </c>
      <c r="AL106" s="168">
        <f>IF(AL$54,$V$33*($Q$32*data0!AI332+$R$32*data0!AI333+$S$32*data0!AI334+$T$32*data0!AI335),"")</f>
        <v>3956.1754513105357</v>
      </c>
      <c r="AM106" s="168">
        <f>IF(AM$54,$V$33*($Q$32*data0!AJ332+$R$32*data0!AJ333+$S$32*data0!AJ334+$T$32*data0!AJ335),"")</f>
        <v>1636.6161117415318</v>
      </c>
      <c r="AN106" s="168">
        <f>IF(AN$54,$V$33*($Q$32*data0!AK332+$R$32*data0!AK333+$S$32*data0!AK334+$T$32*data0!AK335),"")</f>
        <v>2554.9666091740473</v>
      </c>
    </row>
    <row r="107" spans="1:40">
      <c r="A107" s="74"/>
      <c r="B107" s="242"/>
      <c r="C107" s="242"/>
      <c r="D107" s="242"/>
      <c r="E107" s="59" t="str">
        <f t="shared" si="143"/>
        <v>Y</v>
      </c>
      <c r="F107" s="61">
        <f t="shared" si="123"/>
        <v>1463.7852582705962</v>
      </c>
      <c r="G107" s="61">
        <f t="shared" si="124"/>
        <v>869.46645835782749</v>
      </c>
      <c r="H107" s="242"/>
      <c r="I107" s="168" t="str">
        <f>IF(I$54,$V$33*($Q$33*data0!F332+$R$33*data0!F333+$S$33*data0!F334+$T$33*data0!F335),"")</f>
        <v/>
      </c>
      <c r="J107" s="168" t="str">
        <f>IF(J$54,$V$33*($Q$33*data0!G332+$R$33*data0!G333+$S$33*data0!G334+$T$33*data0!G335),"")</f>
        <v/>
      </c>
      <c r="K107" s="168">
        <f>IF(K$54,$V$33*($Q$33*data0!H332+$R$33*data0!H333+$S$33*data0!H334+$T$33*data0!H335),"")</f>
        <v>462.75047022237896</v>
      </c>
      <c r="L107" s="168">
        <f>IF(L$54,$V$33*($Q$33*data0!I332+$R$33*data0!I333+$S$33*data0!I334+$T$33*data0!I335),"")</f>
        <v>543.02642213846889</v>
      </c>
      <c r="M107" s="168" t="str">
        <f>IF(M$54,$V$33*($Q$33*data0!J332+$R$33*data0!J333+$S$33*data0!J334+$T$33*data0!J335),"")</f>
        <v/>
      </c>
      <c r="N107" s="168">
        <f>IF(N$54,$V$33*($Q$33*data0!K332+$R$33*data0!K333+$S$33*data0!K334+$T$33*data0!K335),"")</f>
        <v>1810.0016830106283</v>
      </c>
      <c r="O107" s="168">
        <f>IF(O$54,$V$33*($Q$33*data0!L332+$R$33*data0!L333+$S$33*data0!L334+$T$33*data0!L335),"")</f>
        <v>1235.5475709715115</v>
      </c>
      <c r="P107" s="168" t="str">
        <f>IF(P$54,$V$33*($Q$33*data0!M332+$R$33*data0!M333+$S$33*data0!M334+$T$33*data0!M335),"")</f>
        <v/>
      </c>
      <c r="Q107" s="168">
        <f>IF(Q$54,$V$33*($Q$33*data0!N332+$R$33*data0!N333+$S$33*data0!N334+$T$33*data0!N335),"")</f>
        <v>1084.9201354126844</v>
      </c>
      <c r="R107" s="168">
        <f>IF(R$54,$V$33*($Q$33*data0!O332+$R$33*data0!O333+$S$33*data0!O334+$T$33*data0!O335),"")</f>
        <v>1627.8246299572113</v>
      </c>
      <c r="S107" s="168">
        <f>IF(S$54,$V$33*($Q$33*data0!P332+$R$33*data0!P333+$S$33*data0!P334+$T$33*data0!P335),"")</f>
        <v>2049.6897052118807</v>
      </c>
      <c r="T107" s="168">
        <f>IF(T$54,$V$33*($Q$33*data0!Q332+$R$33*data0!Q333+$S$33*data0!Q334+$T$33*data0!Q335),"")</f>
        <v>1142.2514542070023</v>
      </c>
      <c r="U107" s="168">
        <f>IF(U$54,$V$33*($Q$33*data0!R332+$R$33*data0!R333+$S$33*data0!R334+$T$33*data0!R335),"")</f>
        <v>1985.5725524576148</v>
      </c>
      <c r="V107" s="168">
        <f>IF(V$54,$V$33*($Q$33*data0!S332+$R$33*data0!S333+$S$33*data0!S334+$T$33*data0!S335),"")</f>
        <v>2320.1494235728314</v>
      </c>
      <c r="W107" s="168">
        <f>IF(W$54,$V$33*($Q$33*data0!T332+$R$33*data0!T333+$S$33*data0!T334+$T$33*data0!T335),"")</f>
        <v>1962.0237982220883</v>
      </c>
      <c r="X107" s="168">
        <f>IF(X$54,$V$33*($Q$33*data0!U332+$R$33*data0!U333+$S$33*data0!U334+$T$33*data0!U335),"")</f>
        <v>3219.9966704847338</v>
      </c>
      <c r="Y107" s="168">
        <f>IF(Y$54,$V$33*($Q$33*data0!V332+$R$33*data0!V333+$S$33*data0!V334+$T$33*data0!V335),"")</f>
        <v>1115.60730593372</v>
      </c>
      <c r="Z107" s="168">
        <f>IF(Z$54,$V$33*($Q$33*data0!W332+$R$33*data0!W333+$S$33*data0!W334+$T$33*data0!W335),"")</f>
        <v>860.41844239624857</v>
      </c>
      <c r="AA107" s="168">
        <f>IF(AA$54,$V$33*($Q$33*data0!X332+$R$33*data0!X333+$S$33*data0!X334+$T$33*data0!X335),"")</f>
        <v>983.95792413841491</v>
      </c>
      <c r="AB107" s="168">
        <f>IF(AB$54,$V$33*($Q$33*data0!Y332+$R$33*data0!Y333+$S$33*data0!Y334+$T$33*data0!Y335),"")</f>
        <v>1015.9129800748418</v>
      </c>
      <c r="AC107" s="168">
        <f>IF(AC$54,$V$33*($Q$33*data0!Z332+$R$33*data0!Z333+$S$33*data0!Z334+$T$33*data0!Z335),"")</f>
        <v>1861.412816135942</v>
      </c>
      <c r="AD107" s="168">
        <f>IF(AD$54,$V$33*($Q$33*data0!AA332+$R$33*data0!AA333+$S$33*data0!AA334+$T$33*data0!AA335),"")</f>
        <v>1939.9296681140274</v>
      </c>
      <c r="AE107" s="168">
        <f>IF(AE$54,$V$33*($Q$33*data0!AB332+$R$33*data0!AB333+$S$33*data0!AB334+$T$33*data0!AB335),"")</f>
        <v>522.51534519497989</v>
      </c>
      <c r="AF107" s="168">
        <f>IF(AF$54,$V$33*($Q$33*data0!AC332+$R$33*data0!AC333+$S$33*data0!AC334+$T$33*data0!AC335),"")</f>
        <v>1044.1123749270769</v>
      </c>
      <c r="AG107" s="168">
        <f>IF(AG$54,$V$33*($Q$33*data0!AD332+$R$33*data0!AD333+$S$33*data0!AD334+$T$33*data0!AD335),"")</f>
        <v>534.5549985970307</v>
      </c>
      <c r="AH107" s="168">
        <f>IF(AH$54,$V$33*($Q$33*data0!AE332+$R$33*data0!AE333+$S$33*data0!AE334+$T$33*data0!AE335),"")</f>
        <v>-143.70196114363321</v>
      </c>
      <c r="AI107" s="168" t="str">
        <f>IF(AI$54,$V$33*($Q$33*data0!AF332+$R$33*data0!AF333+$S$33*data0!AF334+$T$33*data0!AF335),"")</f>
        <v/>
      </c>
      <c r="AJ107" s="168">
        <f>IF(AJ$54,$V$33*($Q$33*data0!AG332+$R$33*data0!AG333+$S$33*data0!AG334+$T$33*data0!AG335),"")</f>
        <v>2389.8052593532452</v>
      </c>
      <c r="AK107" s="168">
        <f>IF(AK$54,$V$33*($Q$33*data0!AH332+$R$33*data0!AH333+$S$33*data0!AH334+$T$33*data0!AH335),"")</f>
        <v>563.49499002508264</v>
      </c>
      <c r="AL107" s="168">
        <f>IF(AL$54,$V$33*($Q$33*data0!AI332+$R$33*data0!AI333+$S$33*data0!AI334+$T$33*data0!AI335),"")</f>
        <v>3571.5687239287499</v>
      </c>
      <c r="AM107" s="168">
        <f>IF(AM$54,$V$33*($Q$33*data0!AJ332+$R$33*data0!AJ333+$S$33*data0!AJ334+$T$33*data0!AJ335),"")</f>
        <v>1485.3538263659323</v>
      </c>
      <c r="AN107" s="168">
        <f>IF(AN$54,$V$33*($Q$33*data0!AK332+$R$33*data0!AK333+$S$33*data0!AK334+$T$33*data0!AK335),"")</f>
        <v>2333.5047633954027</v>
      </c>
    </row>
    <row r="108" spans="1:40">
      <c r="A108" s="74"/>
      <c r="B108" s="242"/>
      <c r="C108" s="242"/>
      <c r="D108" s="242"/>
      <c r="E108" s="59" t="str">
        <f t="shared" si="143"/>
        <v>Z</v>
      </c>
      <c r="F108" s="61">
        <f t="shared" si="123"/>
        <v>489.67487830351797</v>
      </c>
      <c r="G108" s="61">
        <f t="shared" si="124"/>
        <v>48.241754953596825</v>
      </c>
      <c r="H108" s="242"/>
      <c r="I108" s="168" t="str">
        <f>IF(I$54,$V$33*($Q$34*data0!F332+$R$34*data0!F333+$S$34*data0!F334+$T$34*data0!F335),"")</f>
        <v/>
      </c>
      <c r="J108" s="168" t="str">
        <f>IF(J$54,$V$33*($Q$34*data0!G332+$R$34*data0!G333+$S$34*data0!G334+$T$34*data0!G335),"")</f>
        <v/>
      </c>
      <c r="K108" s="168">
        <f>IF(K$54,$V$33*($Q$34*data0!H332+$R$34*data0!H333+$S$34*data0!H334+$T$34*data0!H335),"")</f>
        <v>472.34480357809946</v>
      </c>
      <c r="L108" s="168">
        <f>IF(L$54,$V$33*($Q$34*data0!I332+$R$34*data0!I333+$S$34*data0!I334+$T$34*data0!I335),"")</f>
        <v>544.5363614542224</v>
      </c>
      <c r="M108" s="168" t="str">
        <f>IF(M$54,$V$33*($Q$34*data0!J332+$R$34*data0!J333+$S$34*data0!J334+$T$34*data0!J335),"")</f>
        <v/>
      </c>
      <c r="N108" s="168">
        <f>IF(N$54,$V$33*($Q$34*data0!K332+$R$34*data0!K333+$S$34*data0!K334+$T$34*data0!K335),"")</f>
        <v>488.50603656856975</v>
      </c>
      <c r="O108" s="168">
        <f>IF(O$54,$V$33*($Q$34*data0!L332+$R$34*data0!L333+$S$34*data0!L334+$T$34*data0!L335),"")</f>
        <v>507.13624234152206</v>
      </c>
      <c r="P108" s="168" t="str">
        <f>IF(P$54,$V$33*($Q$34*data0!M332+$R$34*data0!M333+$S$34*data0!M334+$T$34*data0!M335),"")</f>
        <v/>
      </c>
      <c r="Q108" s="168">
        <f>IF(Q$54,$V$33*($Q$34*data0!N332+$R$34*data0!N333+$S$34*data0!N334+$T$34*data0!N335),"")</f>
        <v>510.2070441830225</v>
      </c>
      <c r="R108" s="168">
        <f>IF(R$54,$V$33*($Q$34*data0!O332+$R$34*data0!O333+$S$34*data0!O334+$T$34*data0!O335),"")</f>
        <v>492.07853701745734</v>
      </c>
      <c r="S108" s="168">
        <f>IF(S$54,$V$33*($Q$34*data0!P332+$R$34*data0!P333+$S$34*data0!P334+$T$34*data0!P335),"")</f>
        <v>436.62538776247868</v>
      </c>
      <c r="T108" s="168">
        <f>IF(T$54,$V$33*($Q$34*data0!Q332+$R$34*data0!Q333+$S$34*data0!Q334+$T$34*data0!Q335),"")</f>
        <v>448.99540424791576</v>
      </c>
      <c r="U108" s="168">
        <f>IF(U$54,$V$33*($Q$34*data0!R332+$R$34*data0!R333+$S$34*data0!R334+$T$34*data0!R335),"")</f>
        <v>406.80650901999348</v>
      </c>
      <c r="V108" s="168">
        <f>IF(V$54,$V$33*($Q$34*data0!S332+$R$34*data0!S333+$S$34*data0!S334+$T$34*data0!S335),"")</f>
        <v>503.65790889165044</v>
      </c>
      <c r="W108" s="168">
        <f>IF(W$54,$V$33*($Q$34*data0!T332+$R$34*data0!T333+$S$34*data0!T334+$T$34*data0!T335),"")</f>
        <v>480.18101127709815</v>
      </c>
      <c r="X108" s="168">
        <f>IF(X$54,$V$33*($Q$34*data0!U332+$R$34*data0!U333+$S$34*data0!U334+$T$34*data0!U335),"")</f>
        <v>494.52297222336108</v>
      </c>
      <c r="Y108" s="168">
        <f>IF(Y$54,$V$33*($Q$34*data0!V332+$R$34*data0!V333+$S$34*data0!V334+$T$34*data0!V335),"")</f>
        <v>447.92428406658212</v>
      </c>
      <c r="Z108" s="168">
        <f>IF(Z$54,$V$33*($Q$34*data0!W332+$R$34*data0!W333+$S$34*data0!W334+$T$34*data0!W335),"")</f>
        <v>481.15903771213186</v>
      </c>
      <c r="AA108" s="168">
        <f>IF(AA$54,$V$33*($Q$34*data0!X332+$R$34*data0!X333+$S$34*data0!X334+$T$34*data0!X335),"")</f>
        <v>505.96427653420147</v>
      </c>
      <c r="AB108" s="168">
        <f>IF(AB$54,$V$33*($Q$34*data0!Y332+$R$34*data0!Y333+$S$34*data0!Y334+$T$34*data0!Y335),"")</f>
        <v>656.02899732104288</v>
      </c>
      <c r="AC108" s="168">
        <f>IF(AC$54,$V$33*($Q$34*data0!Z332+$R$34*data0!Z333+$S$34*data0!Z334+$T$34*data0!Z335),"")</f>
        <v>487.12443036046864</v>
      </c>
      <c r="AD108" s="168">
        <f>IF(AD$54,$V$33*($Q$34*data0!AA332+$R$34*data0!AA333+$S$34*data0!AA334+$T$34*data0!AA335),"")</f>
        <v>468.39615041102297</v>
      </c>
      <c r="AE108" s="168">
        <f>IF(AE$54,$V$33*($Q$34*data0!AB332+$R$34*data0!AB333+$S$34*data0!AB334+$T$34*data0!AB335),"")</f>
        <v>463.89703763198253</v>
      </c>
      <c r="AF108" s="168">
        <f>IF(AF$54,$V$33*($Q$34*data0!AC332+$R$34*data0!AC333+$S$34*data0!AC334+$T$34*data0!AC335),"")</f>
        <v>474.0151440260085</v>
      </c>
      <c r="AG108" s="168">
        <f>IF(AG$54,$V$33*($Q$34*data0!AD332+$R$34*data0!AD333+$S$34*data0!AD334+$T$34*data0!AD335),"")</f>
        <v>547.8742392925285</v>
      </c>
      <c r="AH108" s="168">
        <f>IF(AH$54,$V$33*($Q$34*data0!AE332+$R$34*data0!AE333+$S$34*data0!AE334+$T$34*data0!AE335),"")</f>
        <v>522.4695704894383</v>
      </c>
      <c r="AI108" s="168" t="str">
        <f>IF(AI$54,$V$33*($Q$34*data0!AF332+$R$34*data0!AF333+$S$34*data0!AF334+$T$34*data0!AF335),"")</f>
        <v/>
      </c>
      <c r="AJ108" s="168">
        <f>IF(AJ$54,$V$33*($Q$34*data0!AG332+$R$34*data0!AG333+$S$34*data0!AG334+$T$34*data0!AG335),"")</f>
        <v>439.35585878163533</v>
      </c>
      <c r="AK108" s="168">
        <f>IF(AK$54,$V$33*($Q$34*data0!AH332+$R$34*data0!AH333+$S$34*data0!AH334+$T$34*data0!AH335),"")</f>
        <v>498.37142431736015</v>
      </c>
      <c r="AL108" s="168">
        <f>IF(AL$54,$V$33*($Q$34*data0!AI332+$R$34*data0!AI333+$S$34*data0!AI334+$T$34*data0!AI335),"")</f>
        <v>434.42811009457887</v>
      </c>
      <c r="AM108" s="168">
        <f>IF(AM$54,$V$33*($Q$34*data0!AJ332+$R$34*data0!AJ333+$S$34*data0!AJ334+$T$34*data0!AJ335),"")</f>
        <v>464.65011199488742</v>
      </c>
      <c r="AN108" s="168">
        <f>IF(AN$54,$V$33*($Q$34*data0!AK332+$R$34*data0!AK333+$S$34*data0!AK334+$T$34*data0!AK335),"")</f>
        <v>543.9648225957252</v>
      </c>
    </row>
    <row r="109" spans="1:40">
      <c r="A109" s="74"/>
      <c r="B109" s="242"/>
      <c r="C109" s="242" t="str">
        <f>C103</f>
        <v>LO</v>
      </c>
      <c r="D109" s="242"/>
      <c r="E109" s="59" t="str">
        <f t="shared" si="143"/>
        <v>x</v>
      </c>
      <c r="F109" s="60">
        <f t="shared" si="123"/>
        <v>0.38969128083001642</v>
      </c>
      <c r="G109" s="60">
        <f t="shared" si="124"/>
        <v>0.24288019348949685</v>
      </c>
      <c r="H109" s="242"/>
      <c r="I109" s="108" t="str">
        <f>IF(I$54,I103/SUM(I103:I105),"")</f>
        <v/>
      </c>
      <c r="J109" s="108" t="str">
        <f t="shared" ref="J109:AN109" si="144">IF(J$54,J103/SUM(J103:J105),"")</f>
        <v/>
      </c>
      <c r="K109" s="108">
        <f t="shared" si="144"/>
        <v>0.35224729238253488</v>
      </c>
      <c r="L109" s="108">
        <f t="shared" si="144"/>
        <v>0.34088896901602433</v>
      </c>
      <c r="M109" s="108" t="str">
        <f t="shared" si="144"/>
        <v/>
      </c>
      <c r="N109" s="108">
        <f t="shared" si="144"/>
        <v>0.46139073212557319</v>
      </c>
      <c r="O109" s="108">
        <f t="shared" si="144"/>
        <v>0.43891359482135417</v>
      </c>
      <c r="P109" s="108" t="str">
        <f t="shared" si="144"/>
        <v/>
      </c>
      <c r="Q109" s="108">
        <f t="shared" si="144"/>
        <v>0.42634589927037347</v>
      </c>
      <c r="R109" s="108">
        <f t="shared" si="144"/>
        <v>0.4629102248408945</v>
      </c>
      <c r="S109" s="108">
        <f t="shared" si="144"/>
        <v>0.47648764038886954</v>
      </c>
      <c r="T109" s="108">
        <f t="shared" si="144"/>
        <v>0.4427633597127637</v>
      </c>
      <c r="U109" s="108">
        <f t="shared" si="144"/>
        <v>0.48075442859469569</v>
      </c>
      <c r="V109" s="108">
        <f t="shared" si="144"/>
        <v>0.47524293165600051</v>
      </c>
      <c r="W109" s="108">
        <f t="shared" si="144"/>
        <v>0.46856106857167384</v>
      </c>
      <c r="X109" s="108">
        <f t="shared" si="144"/>
        <v>0.48933029457837773</v>
      </c>
      <c r="Y109" s="108">
        <f t="shared" si="144"/>
        <v>0.44137506210236688</v>
      </c>
      <c r="Z109" s="108">
        <f t="shared" si="144"/>
        <v>0.41274206059893531</v>
      </c>
      <c r="AA109" s="108">
        <f t="shared" si="144"/>
        <v>0.42022857916661505</v>
      </c>
      <c r="AB109" s="108">
        <f t="shared" si="144"/>
        <v>0.39394508917772914</v>
      </c>
      <c r="AC109" s="108">
        <f t="shared" si="144"/>
        <v>0.46400422512052214</v>
      </c>
      <c r="AD109" s="108">
        <f t="shared" si="144"/>
        <v>0.47050584344811441</v>
      </c>
      <c r="AE109" s="108">
        <f t="shared" si="144"/>
        <v>0.36196019689008541</v>
      </c>
      <c r="AF109" s="108">
        <f t="shared" si="144"/>
        <v>0.42682167681471817</v>
      </c>
      <c r="AG109" s="108">
        <f t="shared" si="144"/>
        <v>0.3484961339405297</v>
      </c>
      <c r="AH109" s="108">
        <f t="shared" si="144"/>
        <v>-0.80289346081608914</v>
      </c>
      <c r="AI109" s="108" t="str">
        <f t="shared" si="144"/>
        <v/>
      </c>
      <c r="AJ109" s="108">
        <f t="shared" si="144"/>
        <v>0.48259162984975246</v>
      </c>
      <c r="AK109" s="108">
        <f t="shared" si="144"/>
        <v>0.36511833907627761</v>
      </c>
      <c r="AL109" s="108">
        <f t="shared" si="144"/>
        <v>0.49584940918376885</v>
      </c>
      <c r="AM109" s="108">
        <f t="shared" si="144"/>
        <v>0.45330950863199593</v>
      </c>
      <c r="AN109" s="108">
        <f t="shared" si="144"/>
        <v>0.47177385326598698</v>
      </c>
    </row>
    <row r="110" spans="1:40">
      <c r="A110" s="74"/>
      <c r="B110" s="242"/>
      <c r="C110" s="242"/>
      <c r="D110" s="242"/>
      <c r="E110" s="59" t="str">
        <f t="shared" ref="E110:E116" si="145">E88</f>
        <v>y</v>
      </c>
      <c r="F110" s="60">
        <f t="shared" si="123"/>
        <v>0.35733791502980405</v>
      </c>
      <c r="G110" s="60">
        <f t="shared" si="124"/>
        <v>0.21353543178239259</v>
      </c>
      <c r="H110" s="242"/>
      <c r="I110" s="108" t="str">
        <f>IF(I$54,I104/SUM(I103:I105),"")</f>
        <v/>
      </c>
      <c r="J110" s="108" t="str">
        <f t="shared" ref="J110:AN110" si="146">IF(J$54,J104/SUM(J103:J105),"")</f>
        <v/>
      </c>
      <c r="K110" s="108">
        <f t="shared" si="146"/>
        <v>0.32912154145006328</v>
      </c>
      <c r="L110" s="108">
        <f t="shared" si="146"/>
        <v>0.32114482884114881</v>
      </c>
      <c r="M110" s="108" t="str">
        <f t="shared" si="146"/>
        <v/>
      </c>
      <c r="N110" s="108">
        <f t="shared" si="146"/>
        <v>0.42102036932552067</v>
      </c>
      <c r="O110" s="108">
        <f t="shared" si="146"/>
        <v>0.40051134783665088</v>
      </c>
      <c r="P110" s="108" t="str">
        <f t="shared" si="146"/>
        <v/>
      </c>
      <c r="Q110" s="108">
        <f t="shared" si="146"/>
        <v>0.38893741925298714</v>
      </c>
      <c r="R110" s="108">
        <f t="shared" si="146"/>
        <v>0.4204980169230576</v>
      </c>
      <c r="S110" s="108">
        <f t="shared" si="146"/>
        <v>0.4305527458070601</v>
      </c>
      <c r="T110" s="108">
        <f t="shared" si="146"/>
        <v>0.40241469594070067</v>
      </c>
      <c r="U110" s="108">
        <f t="shared" si="146"/>
        <v>0.43393422846575563</v>
      </c>
      <c r="V110" s="108">
        <f t="shared" si="146"/>
        <v>0.43147351907815579</v>
      </c>
      <c r="W110" s="108">
        <f t="shared" si="146"/>
        <v>0.42555388220920892</v>
      </c>
      <c r="X110" s="108">
        <f t="shared" si="146"/>
        <v>0.44346338394954476</v>
      </c>
      <c r="Y110" s="108">
        <f t="shared" si="146"/>
        <v>0.40122369923115991</v>
      </c>
      <c r="Z110" s="108">
        <f t="shared" si="146"/>
        <v>0.37821246752207582</v>
      </c>
      <c r="AA110" s="108">
        <f t="shared" si="146"/>
        <v>0.38794020166275878</v>
      </c>
      <c r="AB110" s="108">
        <f t="shared" si="146"/>
        <v>0.3673549748677909</v>
      </c>
      <c r="AC110" s="108">
        <f t="shared" si="146"/>
        <v>0.4203744031533258</v>
      </c>
      <c r="AD110" s="108">
        <f t="shared" si="146"/>
        <v>0.42713611324471734</v>
      </c>
      <c r="AE110" s="108">
        <f t="shared" si="146"/>
        <v>0.3361338154684414</v>
      </c>
      <c r="AF110" s="108">
        <f t="shared" si="146"/>
        <v>0.39101356971959306</v>
      </c>
      <c r="AG110" s="108">
        <f t="shared" si="146"/>
        <v>0.3236903758137421</v>
      </c>
      <c r="AH110" s="108">
        <f t="shared" si="146"/>
        <v>-0.69298969298913471</v>
      </c>
      <c r="AI110" s="108" t="str">
        <f t="shared" si="146"/>
        <v/>
      </c>
      <c r="AJ110" s="108">
        <f t="shared" si="146"/>
        <v>0.43711474450959992</v>
      </c>
      <c r="AK110" s="108">
        <f t="shared" si="146"/>
        <v>0.33194437670055327</v>
      </c>
      <c r="AL110" s="108">
        <f t="shared" si="146"/>
        <v>0.44790024630610648</v>
      </c>
      <c r="AM110" s="108">
        <f t="shared" si="146"/>
        <v>0.41198384066203392</v>
      </c>
      <c r="AN110" s="108">
        <f t="shared" si="146"/>
        <v>0.43046459085209066</v>
      </c>
    </row>
    <row r="111" spans="1:40">
      <c r="A111" s="74"/>
      <c r="B111" s="242"/>
      <c r="C111" s="242"/>
      <c r="D111" s="242"/>
      <c r="E111" s="59" t="str">
        <f t="shared" si="145"/>
        <v>CCT</v>
      </c>
      <c r="F111" s="75">
        <f t="shared" si="123"/>
        <v>3005.3333333333335</v>
      </c>
      <c r="G111" s="75">
        <f t="shared" si="124"/>
        <v>1172.5444390463251</v>
      </c>
      <c r="H111" s="242"/>
      <c r="I111" s="109" t="str">
        <f>IF(I$54,getCCTfromXY(I109,I110,0),"")</f>
        <v/>
      </c>
      <c r="J111" s="109" t="str">
        <f t="shared" ref="J111" si="147">IF(J$54,getCCTfromXY(J109,J110,0),"")</f>
        <v/>
      </c>
      <c r="K111" s="109">
        <f t="shared" ref="K111" si="148">IF(K$54,getCCTfromXY(K109,K110,0),"")</f>
        <v>4653</v>
      </c>
      <c r="L111" s="109">
        <f t="shared" ref="L111" si="149">IF(L$54,getCCTfromXY(L109,L110,0),"")</f>
        <v>5136</v>
      </c>
      <c r="M111" s="109" t="str">
        <f t="shared" ref="M111" si="150">IF(M$54,getCCTfromXY(M109,M110,0),"")</f>
        <v/>
      </c>
      <c r="N111" s="109">
        <f t="shared" ref="N111" si="151">IF(N$54,getCCTfromXY(N109,N110,0),"")</f>
        <v>2763</v>
      </c>
      <c r="O111" s="109">
        <f t="shared" ref="O111" si="152">IF(O$54,getCCTfromXY(O109,O110,0),"")</f>
        <v>2944</v>
      </c>
      <c r="P111" s="109" t="str">
        <f t="shared" ref="P111" si="153">IF(P$54,getCCTfromXY(P109,P110,0),"")</f>
        <v/>
      </c>
      <c r="Q111" s="109">
        <f t="shared" ref="Q111" si="154">IF(Q$54,getCCTfromXY(Q109,Q110,0),"")</f>
        <v>3068</v>
      </c>
      <c r="R111" s="109">
        <f t="shared" ref="R111" si="155">IF(R$54,getCCTfromXY(R109,R110,0),"")</f>
        <v>2738</v>
      </c>
      <c r="S111" s="109">
        <f t="shared" ref="S111" si="156">IF(S$54,getCCTfromXY(S109,S110,0),"")</f>
        <v>2633</v>
      </c>
      <c r="T111" s="109">
        <f t="shared" ref="T111" si="157">IF(T$54,getCCTfromXY(T109,T110,0),"")</f>
        <v>2897</v>
      </c>
      <c r="U111" s="109">
        <f t="shared" ref="U111" si="158">IF(U$54,getCCTfromXY(U109,U110,0),"")</f>
        <v>2605</v>
      </c>
      <c r="V111" s="109">
        <f t="shared" ref="V111" si="159">IF(V$54,getCCTfromXY(V109,V110,0),"")</f>
        <v>2656</v>
      </c>
      <c r="W111" s="109">
        <f t="shared" ref="W111" si="160">IF(W$54,getCCTfromXY(W109,W110,0),"")</f>
        <v>2699</v>
      </c>
      <c r="X111" s="109">
        <f t="shared" ref="X111" si="161">IF(X$54,getCCTfromXY(X109,X110,0),"")</f>
        <v>2569</v>
      </c>
      <c r="Y111" s="109">
        <f t="shared" ref="Y111" si="162">IF(Y$54,getCCTfromXY(Y109,Y110,0),"")</f>
        <v>2909</v>
      </c>
      <c r="Z111" s="109">
        <f t="shared" ref="Z111" si="163">IF(Z$54,getCCTfromXY(Z109,Z110,0),"")</f>
        <v>3244</v>
      </c>
      <c r="AA111" s="109">
        <f t="shared" ref="AA111" si="164">IF(AA$54,getCCTfromXY(AA109,AA110,0),"")</f>
        <v>3177</v>
      </c>
      <c r="AB111" s="109">
        <f t="shared" ref="AB111" si="165">IF(AB$54,getCCTfromXY(AB109,AB110,0),"")</f>
        <v>3586</v>
      </c>
      <c r="AC111" s="109">
        <f t="shared" ref="AC111" si="166">IF(AC$54,getCCTfromXY(AC109,AC110,0),"")</f>
        <v>2722</v>
      </c>
      <c r="AD111" s="109">
        <f t="shared" ref="AD111" si="167">IF(AD$54,getCCTfromXY(AD109,AD110,0),"")</f>
        <v>2685</v>
      </c>
      <c r="AE111" s="109">
        <f t="shared" ref="AE111" si="168">IF(AE$54,getCCTfromXY(AE109,AE110,0),"")</f>
        <v>4311</v>
      </c>
      <c r="AF111" s="109">
        <f t="shared" ref="AF111" si="169">IF(AF$54,getCCTfromXY(AF109,AF110,0),"")</f>
        <v>3077</v>
      </c>
      <c r="AG111" s="109">
        <f t="shared" ref="AG111" si="170">IF(AG$54,getCCTfromXY(AG109,AG110,0),"")</f>
        <v>4785</v>
      </c>
      <c r="AH111" s="109">
        <f t="shared" ref="AH111" si="171">IF(AH$54,getCCTfromXY(AH109,AH110,0),"")</f>
        <v>-1500</v>
      </c>
      <c r="AI111" s="109" t="str">
        <f t="shared" ref="AI111" si="172">IF(AI$54,getCCTfromXY(AI109,AI110,0),"")</f>
        <v/>
      </c>
      <c r="AJ111" s="109">
        <f t="shared" ref="AJ111" si="173">IF(AJ$54,getCCTfromXY(AJ109,AJ110,0),"")</f>
        <v>2605</v>
      </c>
      <c r="AK111" s="109">
        <f t="shared" ref="AK111" si="174">IF(AK$54,getCCTfromXY(AK109,AK110,0),"")</f>
        <v>4154</v>
      </c>
      <c r="AL111" s="109">
        <f t="shared" ref="AL111" si="175">IF(AL$54,getCCTfromXY(AL109,AL110,0),"")</f>
        <v>2525</v>
      </c>
      <c r="AM111" s="109">
        <f t="shared" ref="AM111" si="176">IF(AM$54,getCCTfromXY(AM109,AM110,0),"")</f>
        <v>2810</v>
      </c>
      <c r="AN111" s="109">
        <f t="shared" ref="AN111" si="177">IF(AN$54,getCCTfromXY(AN109,AN110,0),"")</f>
        <v>2693</v>
      </c>
    </row>
    <row r="112" spans="1:40">
      <c r="A112" s="74"/>
      <c r="B112" s="242"/>
      <c r="C112" s="242"/>
      <c r="D112" s="242"/>
      <c r="E112" s="59" t="str">
        <f t="shared" si="145"/>
        <v>MK-1</v>
      </c>
      <c r="F112" s="61">
        <f t="shared" si="123"/>
        <v>291.85606711193685</v>
      </c>
      <c r="G112" s="61">
        <f t="shared" si="124"/>
        <v>200.91200863939892</v>
      </c>
      <c r="H112" s="242"/>
      <c r="I112" s="130" t="str">
        <f>IF(I$54,10^6/I111,"")</f>
        <v/>
      </c>
      <c r="J112" s="130" t="str">
        <f t="shared" ref="J112" si="178">IF(J$54,10^6/J111,"")</f>
        <v/>
      </c>
      <c r="K112" s="130">
        <f t="shared" ref="K112" si="179">IF(K$54,10^6/K111,"")</f>
        <v>214.91510853212981</v>
      </c>
      <c r="L112" s="130">
        <f t="shared" ref="L112" si="180">IF(L$54,10^6/L111,"")</f>
        <v>194.70404984423675</v>
      </c>
      <c r="M112" s="130" t="str">
        <f t="shared" ref="M112" si="181">IF(M$54,10^6/M111,"")</f>
        <v/>
      </c>
      <c r="N112" s="130">
        <f t="shared" ref="N112" si="182">IF(N$54,10^6/N111,"")</f>
        <v>361.92544335866813</v>
      </c>
      <c r="O112" s="130">
        <f t="shared" ref="O112" si="183">IF(O$54,10^6/O111,"")</f>
        <v>339.67391304347825</v>
      </c>
      <c r="P112" s="130" t="str">
        <f t="shared" ref="P112" si="184">IF(P$54,10^6/P111,"")</f>
        <v/>
      </c>
      <c r="Q112" s="130">
        <f t="shared" ref="Q112" si="185">IF(Q$54,10^6/Q111,"")</f>
        <v>325.94524119947846</v>
      </c>
      <c r="R112" s="130">
        <f t="shared" ref="R112" si="186">IF(R$54,10^6/R111,"")</f>
        <v>365.23009495982467</v>
      </c>
      <c r="S112" s="130">
        <f t="shared" ref="S112" si="187">IF(S$54,10^6/S111,"")</f>
        <v>379.79491074819595</v>
      </c>
      <c r="T112" s="130">
        <f t="shared" ref="T112" si="188">IF(T$54,10^6/T111,"")</f>
        <v>345.18467380048327</v>
      </c>
      <c r="U112" s="130">
        <f t="shared" ref="U112" si="189">IF(U$54,10^6/U111,"")</f>
        <v>383.87715930902112</v>
      </c>
      <c r="V112" s="130">
        <f t="shared" ref="V112" si="190">IF(V$54,10^6/V111,"")</f>
        <v>376.50602409638554</v>
      </c>
      <c r="W112" s="130">
        <f t="shared" ref="W112" si="191">IF(W$54,10^6/W111,"")</f>
        <v>370.50759540570584</v>
      </c>
      <c r="X112" s="130">
        <f t="shared" ref="X112" si="192">IF(X$54,10^6/X111,"")</f>
        <v>389.25652004671076</v>
      </c>
      <c r="Y112" s="130">
        <f t="shared" ref="Y112" si="193">IF(Y$54,10^6/Y111,"")</f>
        <v>343.76074252320387</v>
      </c>
      <c r="Z112" s="130">
        <f t="shared" ref="Z112" si="194">IF(Z$54,10^6/Z111,"")</f>
        <v>308.26140567200986</v>
      </c>
      <c r="AA112" s="130">
        <f t="shared" ref="AA112" si="195">IF(AA$54,10^6/AA111,"")</f>
        <v>314.76235442241108</v>
      </c>
      <c r="AB112" s="130">
        <f t="shared" ref="AB112" si="196">IF(AB$54,10^6/AB111,"")</f>
        <v>278.8622420524261</v>
      </c>
      <c r="AC112" s="130">
        <f t="shared" ref="AC112" si="197">IF(AC$54,10^6/AC111,"")</f>
        <v>367.37692872887584</v>
      </c>
      <c r="AD112" s="130">
        <f t="shared" ref="AD112" si="198">IF(AD$54,10^6/AD111,"")</f>
        <v>372.43947858472995</v>
      </c>
      <c r="AE112" s="130">
        <f t="shared" ref="AE112" si="199">IF(AE$54,10^6/AE111,"")</f>
        <v>231.96474135931339</v>
      </c>
      <c r="AF112" s="130">
        <f t="shared" ref="AF112" si="200">IF(AF$54,10^6/AF111,"")</f>
        <v>324.99187520311995</v>
      </c>
      <c r="AG112" s="130">
        <f t="shared" ref="AG112" si="201">IF(AG$54,10^6/AG111,"")</f>
        <v>208.98641588296761</v>
      </c>
      <c r="AH112" s="130">
        <f t="shared" ref="AH112" si="202">IF(AH$54,10^6/AH111,"")</f>
        <v>-666.66666666666663</v>
      </c>
      <c r="AI112" s="130" t="str">
        <f t="shared" ref="AI112" si="203">IF(AI$54,10^6/AI111,"")</f>
        <v/>
      </c>
      <c r="AJ112" s="130">
        <f t="shared" ref="AJ112" si="204">IF(AJ$54,10^6/AJ111,"")</f>
        <v>383.87715930902112</v>
      </c>
      <c r="AK112" s="130">
        <f t="shared" ref="AK112" si="205">IF(AK$54,10^6/AK111,"")</f>
        <v>240.73182474723157</v>
      </c>
      <c r="AL112" s="130">
        <f t="shared" ref="AL112" si="206">IF(AL$54,10^6/AL111,"")</f>
        <v>396.03960396039605</v>
      </c>
      <c r="AM112" s="130">
        <f t="shared" ref="AM112" si="207">IF(AM$54,10^6/AM111,"")</f>
        <v>355.87188612099646</v>
      </c>
      <c r="AN112" s="130">
        <f t="shared" ref="AN112" si="208">IF(AN$54,10^6/AN111,"")</f>
        <v>371.33308577794281</v>
      </c>
    </row>
    <row r="113" spans="1:40">
      <c r="A113" s="74"/>
      <c r="B113" s="242"/>
      <c r="C113" s="242" t="str">
        <f>C106</f>
        <v>HI</v>
      </c>
      <c r="D113" s="242"/>
      <c r="E113" s="59" t="str">
        <f t="shared" si="145"/>
        <v>x</v>
      </c>
      <c r="F113" s="60">
        <f t="shared" si="123"/>
        <v>0.38958946253316667</v>
      </c>
      <c r="G113" s="60">
        <f t="shared" si="124"/>
        <v>0.24250316019194759</v>
      </c>
      <c r="H113" s="242"/>
      <c r="I113" s="108" t="str">
        <f>IF(I$54,I106/SUM(I106:I108),"")</f>
        <v/>
      </c>
      <c r="J113" s="108" t="str">
        <f t="shared" ref="J113:AN113" si="209">IF(J$54,J106/SUM(J106:J108),"")</f>
        <v/>
      </c>
      <c r="K113" s="108">
        <f t="shared" si="209"/>
        <v>0.34545267008308078</v>
      </c>
      <c r="L113" s="108">
        <f t="shared" si="209"/>
        <v>0.34747162857818875</v>
      </c>
      <c r="M113" s="108" t="str">
        <f t="shared" si="209"/>
        <v/>
      </c>
      <c r="N113" s="108">
        <f t="shared" si="209"/>
        <v>0.46355984598996042</v>
      </c>
      <c r="O113" s="108">
        <f t="shared" si="209"/>
        <v>0.43674046786083243</v>
      </c>
      <c r="P113" s="108" t="str">
        <f t="shared" si="209"/>
        <v/>
      </c>
      <c r="Q113" s="108">
        <f t="shared" si="209"/>
        <v>0.42717458510472839</v>
      </c>
      <c r="R113" s="108">
        <f t="shared" si="209"/>
        <v>0.45726122168865718</v>
      </c>
      <c r="S113" s="108">
        <f t="shared" si="209"/>
        <v>0.47703778337716007</v>
      </c>
      <c r="T113" s="108">
        <f t="shared" si="209"/>
        <v>0.44100540374176689</v>
      </c>
      <c r="U113" s="108">
        <f t="shared" si="209"/>
        <v>0.47871452726404617</v>
      </c>
      <c r="V113" s="108">
        <f t="shared" si="209"/>
        <v>0.47500415330876633</v>
      </c>
      <c r="W113" s="108">
        <f t="shared" si="209"/>
        <v>0.46943894591919405</v>
      </c>
      <c r="X113" s="108">
        <f t="shared" si="209"/>
        <v>0.48878758122890237</v>
      </c>
      <c r="Y113" s="108">
        <f t="shared" si="209"/>
        <v>0.43951430040947653</v>
      </c>
      <c r="Z113" s="108">
        <f t="shared" si="209"/>
        <v>0.41159616358544265</v>
      </c>
      <c r="AA113" s="108">
        <f t="shared" si="209"/>
        <v>0.41642926015451281</v>
      </c>
      <c r="AB113" s="108">
        <f t="shared" si="209"/>
        <v>0.39450035103997022</v>
      </c>
      <c r="AC113" s="108">
        <f t="shared" si="209"/>
        <v>0.46703575282954607</v>
      </c>
      <c r="AD113" s="108">
        <f t="shared" si="209"/>
        <v>0.47008043382040471</v>
      </c>
      <c r="AE113" s="108">
        <f t="shared" si="209"/>
        <v>0.36332242875280318</v>
      </c>
      <c r="AF113" s="108">
        <f t="shared" si="209"/>
        <v>0.42892935718924063</v>
      </c>
      <c r="AG113" s="108">
        <f t="shared" si="209"/>
        <v>0.34640765521411693</v>
      </c>
      <c r="AH113" s="108">
        <f t="shared" si="209"/>
        <v>-0.80120563908839493</v>
      </c>
      <c r="AI113" s="108" t="str">
        <f t="shared" si="209"/>
        <v/>
      </c>
      <c r="AJ113" s="108">
        <f t="shared" si="209"/>
        <v>0.48252433371971359</v>
      </c>
      <c r="AK113" s="108">
        <f t="shared" si="209"/>
        <v>0.36863245777763631</v>
      </c>
      <c r="AL113" s="108">
        <f t="shared" si="209"/>
        <v>0.49687136996491749</v>
      </c>
      <c r="AM113" s="108">
        <f t="shared" si="209"/>
        <v>0.45631153812761055</v>
      </c>
      <c r="AN113" s="108">
        <f t="shared" si="209"/>
        <v>0.47031691075321735</v>
      </c>
    </row>
    <row r="114" spans="1:40">
      <c r="A114" s="74"/>
      <c r="B114" s="242"/>
      <c r="C114" s="242"/>
      <c r="D114" s="242"/>
      <c r="E114" s="59" t="str">
        <f t="shared" si="145"/>
        <v>y</v>
      </c>
      <c r="F114" s="60">
        <f t="shared" si="123"/>
        <v>0.35768025503878248</v>
      </c>
      <c r="G114" s="60">
        <f t="shared" si="124"/>
        <v>0.21168195185870098</v>
      </c>
      <c r="H114" s="242"/>
      <c r="I114" s="108" t="str">
        <f>IF(I$54,I107/SUM(I106:I108),"")</f>
        <v/>
      </c>
      <c r="J114" s="108" t="str">
        <f t="shared" ref="J114:AN114" si="210">IF(J$54,J107/SUM(J106:J108),"")</f>
        <v/>
      </c>
      <c r="K114" s="108">
        <f t="shared" si="210"/>
        <v>0.32391574761234987</v>
      </c>
      <c r="L114" s="108">
        <f t="shared" si="210"/>
        <v>0.32581121037122013</v>
      </c>
      <c r="M114" s="108" t="str">
        <f t="shared" si="210"/>
        <v/>
      </c>
      <c r="N114" s="108">
        <f t="shared" si="210"/>
        <v>0.42242954997358523</v>
      </c>
      <c r="O114" s="108">
        <f t="shared" si="210"/>
        <v>0.39934607841341652</v>
      </c>
      <c r="P114" s="108" t="str">
        <f t="shared" si="210"/>
        <v/>
      </c>
      <c r="Q114" s="108">
        <f t="shared" si="210"/>
        <v>0.38960518925739829</v>
      </c>
      <c r="R114" s="108">
        <f t="shared" si="210"/>
        <v>0.41675655979556714</v>
      </c>
      <c r="S114" s="108">
        <f t="shared" si="210"/>
        <v>0.43112406575318757</v>
      </c>
      <c r="T114" s="108">
        <f t="shared" si="210"/>
        <v>0.40126545235716027</v>
      </c>
      <c r="U114" s="108">
        <f t="shared" si="210"/>
        <v>0.43264470222378681</v>
      </c>
      <c r="V114" s="108">
        <f t="shared" si="210"/>
        <v>0.43135691202265025</v>
      </c>
      <c r="W114" s="108">
        <f t="shared" si="210"/>
        <v>0.42624329068036104</v>
      </c>
      <c r="X114" s="108">
        <f t="shared" si="210"/>
        <v>0.44315347465851068</v>
      </c>
      <c r="Y114" s="108">
        <f t="shared" si="210"/>
        <v>0.39991641060123351</v>
      </c>
      <c r="Z114" s="108">
        <f t="shared" si="210"/>
        <v>0.37737180292180422</v>
      </c>
      <c r="AA114" s="108">
        <f t="shared" si="210"/>
        <v>0.38539532702248563</v>
      </c>
      <c r="AB114" s="108">
        <f t="shared" si="210"/>
        <v>0.36791644753566821</v>
      </c>
      <c r="AC114" s="108">
        <f t="shared" si="210"/>
        <v>0.42241888294737884</v>
      </c>
      <c r="AD114" s="108">
        <f t="shared" si="210"/>
        <v>0.42685532008933152</v>
      </c>
      <c r="AE114" s="108">
        <f t="shared" si="210"/>
        <v>0.33725631055514482</v>
      </c>
      <c r="AF114" s="108">
        <f t="shared" si="210"/>
        <v>0.39276142331407193</v>
      </c>
      <c r="AG114" s="108">
        <f t="shared" si="210"/>
        <v>0.32277496091222102</v>
      </c>
      <c r="AH114" s="108">
        <f t="shared" si="210"/>
        <v>-0.68336567429043871</v>
      </c>
      <c r="AI114" s="108" t="str">
        <f t="shared" si="210"/>
        <v/>
      </c>
      <c r="AJ114" s="108">
        <f t="shared" si="210"/>
        <v>0.4371140480253819</v>
      </c>
      <c r="AK114" s="108">
        <f t="shared" si="210"/>
        <v>0.33504444824828805</v>
      </c>
      <c r="AL114" s="108">
        <f t="shared" si="210"/>
        <v>0.44856712413865946</v>
      </c>
      <c r="AM114" s="108">
        <f t="shared" si="210"/>
        <v>0.41413749034374148</v>
      </c>
      <c r="AN114" s="108">
        <f t="shared" si="210"/>
        <v>0.42955033056296238</v>
      </c>
    </row>
    <row r="115" spans="1:40">
      <c r="A115" s="74"/>
      <c r="B115" s="242"/>
      <c r="C115" s="242"/>
      <c r="D115" s="242"/>
      <c r="E115" s="59" t="str">
        <f t="shared" si="145"/>
        <v>CCT</v>
      </c>
      <c r="F115" s="75">
        <f t="shared" ref="F115:F150" si="211">AVERAGE(I115:AN115)</f>
        <v>3006.5555555555557</v>
      </c>
      <c r="G115" s="75">
        <f t="shared" ref="G115:G150" si="212">STDEV(I115:AN115)</f>
        <v>1169.7572836123322</v>
      </c>
      <c r="H115" s="242"/>
      <c r="I115" s="109" t="str">
        <f>IF(I$54,getCCTfromXY(I113,I114,0),"")</f>
        <v/>
      </c>
      <c r="J115" s="109" t="str">
        <f t="shared" ref="J115" si="213">IF(J$54,getCCTfromXY(J113,J114,0),"")</f>
        <v/>
      </c>
      <c r="K115" s="109">
        <f t="shared" ref="K115" si="214">IF(K$54,getCCTfromXY(K113,K114,0),"")</f>
        <v>4928</v>
      </c>
      <c r="L115" s="109">
        <f t="shared" ref="L115" si="215">IF(L$54,getCCTfromXY(L113,L114,0),"")</f>
        <v>4844</v>
      </c>
      <c r="M115" s="109" t="str">
        <f t="shared" ref="M115" si="216">IF(M$54,getCCTfromXY(M113,M114,0),"")</f>
        <v/>
      </c>
      <c r="N115" s="109">
        <f t="shared" ref="N115" si="217">IF(N$54,getCCTfromXY(N113,N114,0),"")</f>
        <v>2744</v>
      </c>
      <c r="O115" s="109">
        <f t="shared" ref="O115" si="218">IF(O$54,getCCTfromXY(O113,O114,0),"")</f>
        <v>2972</v>
      </c>
      <c r="P115" s="109" t="str">
        <f t="shared" ref="P115" si="219">IF(P$54,getCCTfromXY(P113,P114,0),"")</f>
        <v/>
      </c>
      <c r="Q115" s="109">
        <f t="shared" ref="Q115" si="220">IF(Q$54,getCCTfromXY(Q113,Q114,0),"")</f>
        <v>3058</v>
      </c>
      <c r="R115" s="109">
        <f t="shared" ref="R115" si="221">IF(R$54,getCCTfromXY(R113,R114,0),"")</f>
        <v>2790</v>
      </c>
      <c r="S115" s="109">
        <f t="shared" ref="S115" si="222">IF(S$54,getCCTfromXY(S113,S114,0),"")</f>
        <v>2630</v>
      </c>
      <c r="T115" s="109">
        <f t="shared" ref="T115" si="223">IF(T$54,getCCTfromXY(T113,T114,0),"")</f>
        <v>2916</v>
      </c>
      <c r="U115" s="109">
        <f t="shared" ref="U115" si="224">IF(U$54,getCCTfromXY(U113,U114,0),"")</f>
        <v>2621</v>
      </c>
      <c r="V115" s="109">
        <f t="shared" ref="V115" si="225">IF(V$54,getCCTfromXY(V113,V114,0),"")</f>
        <v>2658</v>
      </c>
      <c r="W115" s="109">
        <f t="shared" ref="W115" si="226">IF(W$54,getCCTfromXY(W113,W114,0),"")</f>
        <v>2693</v>
      </c>
      <c r="X115" s="109">
        <f t="shared" ref="X115" si="227">IF(X$54,getCCTfromXY(X113,X114,0),"")</f>
        <v>2573</v>
      </c>
      <c r="Y115" s="109">
        <f t="shared" ref="Y115" si="228">IF(Y$54,getCCTfromXY(Y113,Y114,0),"")</f>
        <v>2929</v>
      </c>
      <c r="Z115" s="109">
        <f t="shared" ref="Z115" si="229">IF(Z$54,getCCTfromXY(Z113,Z114,0),"")</f>
        <v>3261</v>
      </c>
      <c r="AA115" s="109">
        <f t="shared" ref="AA115" si="230">IF(AA$54,getCCTfromXY(AA113,AA114,0),"")</f>
        <v>3232</v>
      </c>
      <c r="AB115" s="109">
        <f t="shared" ref="AB115" si="231">IF(AB$54,getCCTfromXY(AB113,AB114,0),"")</f>
        <v>3577</v>
      </c>
      <c r="AC115" s="109">
        <f t="shared" ref="AC115" si="232">IF(AC$54,getCCTfromXY(AC113,AC114,0),"")</f>
        <v>2696</v>
      </c>
      <c r="AD115" s="109">
        <f t="shared" ref="AD115" si="233">IF(AD$54,getCCTfromXY(AD113,AD114,0),"")</f>
        <v>2689</v>
      </c>
      <c r="AE115" s="109">
        <f t="shared" ref="AE115" si="234">IF(AE$54,getCCTfromXY(AE113,AE114,0),"")</f>
        <v>4269</v>
      </c>
      <c r="AF115" s="109">
        <f t="shared" ref="AF115" si="235">IF(AF$54,getCCTfromXY(AF113,AF114,0),"")</f>
        <v>3054</v>
      </c>
      <c r="AG115" s="109">
        <f t="shared" ref="AG115" si="236">IF(AG$54,getCCTfromXY(AG113,AG114,0),"")</f>
        <v>4877</v>
      </c>
      <c r="AH115" s="109">
        <f t="shared" ref="AH115" si="237">IF(AH$54,getCCTfromXY(AH113,AH114,0),"")</f>
        <v>-1500</v>
      </c>
      <c r="AI115" s="109" t="str">
        <f t="shared" ref="AI115" si="238">IF(AI$54,getCCTfromXY(AI113,AI114,0),"")</f>
        <v/>
      </c>
      <c r="AJ115" s="109">
        <f t="shared" ref="AJ115" si="239">IF(AJ$54,getCCTfromXY(AJ113,AJ114,0),"")</f>
        <v>2606</v>
      </c>
      <c r="AK115" s="109">
        <f t="shared" ref="AK115" si="240">IF(AK$54,getCCTfromXY(AK113,AK114,0),"")</f>
        <v>4053</v>
      </c>
      <c r="AL115" s="109">
        <f t="shared" ref="AL115" si="241">IF(AL$54,getCCTfromXY(AL113,AL114,0),"")</f>
        <v>2518</v>
      </c>
      <c r="AM115" s="109">
        <f t="shared" ref="AM115" si="242">IF(AM$54,getCCTfromXY(AM113,AM114,0),"")</f>
        <v>2783</v>
      </c>
      <c r="AN115" s="109">
        <f t="shared" ref="AN115" si="243">IF(AN$54,getCCTfromXY(AN113,AN114,0),"")</f>
        <v>2706</v>
      </c>
    </row>
    <row r="116" spans="1:40">
      <c r="A116" s="74"/>
      <c r="B116" s="242"/>
      <c r="C116" s="242"/>
      <c r="D116" s="242"/>
      <c r="E116" s="59" t="str">
        <f t="shared" si="145"/>
        <v>MK-1</v>
      </c>
      <c r="F116" s="61">
        <f t="shared" si="211"/>
        <v>291.5921698289319</v>
      </c>
      <c r="G116" s="61">
        <f t="shared" si="212"/>
        <v>200.78879284007971</v>
      </c>
      <c r="H116" s="242"/>
      <c r="I116" s="130" t="str">
        <f>IF(I$54,10^6/I115,"")</f>
        <v/>
      </c>
      <c r="J116" s="130" t="str">
        <f t="shared" ref="J116" si="244">IF(J$54,10^6/J115,"")</f>
        <v/>
      </c>
      <c r="K116" s="130">
        <f t="shared" ref="K116" si="245">IF(K$54,10^6/K115,"")</f>
        <v>202.92207792207793</v>
      </c>
      <c r="L116" s="130">
        <f t="shared" ref="L116" si="246">IF(L$54,10^6/L115,"")</f>
        <v>206.4409578860446</v>
      </c>
      <c r="M116" s="130" t="str">
        <f t="shared" ref="M116" si="247">IF(M$54,10^6/M115,"")</f>
        <v/>
      </c>
      <c r="N116" s="130">
        <f t="shared" ref="N116" si="248">IF(N$54,10^6/N115,"")</f>
        <v>364.43148688046648</v>
      </c>
      <c r="O116" s="130">
        <f t="shared" ref="O116" si="249">IF(O$54,10^6/O115,"")</f>
        <v>336.47375504710635</v>
      </c>
      <c r="P116" s="130" t="str">
        <f t="shared" ref="P116" si="250">IF(P$54,10^6/P115,"")</f>
        <v/>
      </c>
      <c r="Q116" s="130">
        <f t="shared" ref="Q116" si="251">IF(Q$54,10^6/Q115,"")</f>
        <v>327.01111837802483</v>
      </c>
      <c r="R116" s="130">
        <f t="shared" ref="R116" si="252">IF(R$54,10^6/R115,"")</f>
        <v>358.42293906810033</v>
      </c>
      <c r="S116" s="130">
        <f t="shared" ref="S116" si="253">IF(S$54,10^6/S115,"")</f>
        <v>380.22813688212926</v>
      </c>
      <c r="T116" s="130">
        <f t="shared" ref="T116" si="254">IF(T$54,10^6/T115,"")</f>
        <v>342.93552812071329</v>
      </c>
      <c r="U116" s="130">
        <f t="shared" ref="U116" si="255">IF(U$54,10^6/U115,"")</f>
        <v>381.53376573826785</v>
      </c>
      <c r="V116" s="130">
        <f t="shared" ref="V116" si="256">IF(V$54,10^6/V115,"")</f>
        <v>376.22272385252069</v>
      </c>
      <c r="W116" s="130">
        <f t="shared" ref="W116" si="257">IF(W$54,10^6/W115,"")</f>
        <v>371.33308577794281</v>
      </c>
      <c r="X116" s="130">
        <f t="shared" ref="X116" si="258">IF(X$54,10^6/X115,"")</f>
        <v>388.65137971239795</v>
      </c>
      <c r="Y116" s="130">
        <f t="shared" ref="Y116" si="259">IF(Y$54,10^6/Y115,"")</f>
        <v>341.41345168999658</v>
      </c>
      <c r="Z116" s="130">
        <f t="shared" ref="Z116" si="260">IF(Z$54,10^6/Z115,"")</f>
        <v>306.65440049064705</v>
      </c>
      <c r="AA116" s="130">
        <f t="shared" ref="AA116" si="261">IF(AA$54,10^6/AA115,"")</f>
        <v>309.40594059405942</v>
      </c>
      <c r="AB116" s="130">
        <f t="shared" ref="AB116" si="262">IF(AB$54,10^6/AB115,"")</f>
        <v>279.56388034665923</v>
      </c>
      <c r="AC116" s="130">
        <f t="shared" ref="AC116" si="263">IF(AC$54,10^6/AC115,"")</f>
        <v>370.919881305638</v>
      </c>
      <c r="AD116" s="130">
        <f t="shared" ref="AD116" si="264">IF(AD$54,10^6/AD115,"")</f>
        <v>371.88545927854221</v>
      </c>
      <c r="AE116" s="130">
        <f t="shared" ref="AE116" si="265">IF(AE$54,10^6/AE115,"")</f>
        <v>234.24689622862496</v>
      </c>
      <c r="AF116" s="130">
        <f t="shared" ref="AF116" si="266">IF(AF$54,10^6/AF115,"")</f>
        <v>327.43942370661426</v>
      </c>
      <c r="AG116" s="130">
        <f t="shared" ref="AG116" si="267">IF(AG$54,10^6/AG115,"")</f>
        <v>205.0440844781628</v>
      </c>
      <c r="AH116" s="130">
        <f t="shared" ref="AH116" si="268">IF(AH$54,10^6/AH115,"")</f>
        <v>-666.66666666666663</v>
      </c>
      <c r="AI116" s="130" t="str">
        <f t="shared" ref="AI116" si="269">IF(AI$54,10^6/AI115,"")</f>
        <v/>
      </c>
      <c r="AJ116" s="130">
        <f t="shared" ref="AJ116" si="270">IF(AJ$54,10^6/AJ115,"")</f>
        <v>383.7298541826554</v>
      </c>
      <c r="AK116" s="130">
        <f t="shared" ref="AK116" si="271">IF(AK$54,10^6/AK115,"")</f>
        <v>246.7308166790032</v>
      </c>
      <c r="AL116" s="130">
        <f t="shared" ref="AL116" si="272">IF(AL$54,10^6/AL115,"")</f>
        <v>397.14058776806991</v>
      </c>
      <c r="AM116" s="130">
        <f t="shared" ref="AM116" si="273">IF(AM$54,10^6/AM115,"")</f>
        <v>359.32446999640678</v>
      </c>
      <c r="AN116" s="130">
        <f t="shared" ref="AN116" si="274">IF(AN$54,10^6/AN115,"")</f>
        <v>369.54915003695493</v>
      </c>
    </row>
    <row r="117" spans="1:40">
      <c r="A117" s="74"/>
      <c r="B117" s="242"/>
      <c r="C117" s="242" t="str">
        <f>C95</f>
        <v>Error</v>
      </c>
      <c r="D117" s="59" t="str">
        <f>C109</f>
        <v>LO</v>
      </c>
      <c r="E117" s="242" t="str">
        <f>E95</f>
        <v>Δxy</v>
      </c>
      <c r="F117" s="60">
        <f t="shared" si="211"/>
        <v>0.10933435528422553</v>
      </c>
      <c r="G117" s="60">
        <f t="shared" si="212"/>
        <v>0.31493011609348548</v>
      </c>
      <c r="H117" s="60">
        <f>H103/SUM(H103:H105)</f>
        <v>0.45127436281859068</v>
      </c>
      <c r="I117" s="108" t="str">
        <f>IF(I$54,((I109-$H117)^2+(I110-$H118)^2)^0.5,"")</f>
        <v/>
      </c>
      <c r="J117" s="108" t="str">
        <f t="shared" ref="J117" si="275">IF(J$54,((J109-$H117)^2+(J110-$H118)^2)^0.5,"")</f>
        <v/>
      </c>
      <c r="K117" s="108">
        <f t="shared" ref="K117" si="276">IF(K$54,((K109-$H117)^2+(K110-$H118)^2)^0.5,"")</f>
        <v>0.12893640620358937</v>
      </c>
      <c r="L117" s="108">
        <f t="shared" ref="L117" si="277">IF(L$54,((L109-$H117)^2+(L110-$H118)^2)^0.5,"")</f>
        <v>0.14277295001758997</v>
      </c>
      <c r="M117" s="108" t="str">
        <f t="shared" ref="M117" si="278">IF(M$54,((M109-$H117)^2+(M110-$H118)^2)^0.5,"")</f>
        <v/>
      </c>
      <c r="N117" s="108">
        <f t="shared" ref="N117" si="279">IF(N$54,((N109-$H117)^2+(N110-$H118)^2)^0.5,"")</f>
        <v>1.3759332844722675E-2</v>
      </c>
      <c r="O117" s="108">
        <f t="shared" ref="O117" si="280">IF(O$54,((O109-$H117)^2+(O110-$H118)^2)^0.5,"")</f>
        <v>1.6668644668743161E-2</v>
      </c>
      <c r="P117" s="108" t="str">
        <f t="shared" ref="P117" si="281">IF(P$54,((P109-$H117)^2+(P110-$H118)^2)^0.5,"")</f>
        <v/>
      </c>
      <c r="Q117" s="108">
        <f t="shared" ref="Q117" si="282">IF(Q$54,((Q109-$H117)^2+(Q110-$H118)^2)^0.5,"")</f>
        <v>3.3753477187205283E-2</v>
      </c>
      <c r="R117" s="108">
        <f t="shared" ref="R117" si="283">IF(R$54,((R109-$H117)^2+(R110-$H118)^2)^0.5,"")</f>
        <v>1.4591137937944585E-2</v>
      </c>
      <c r="S117" s="108">
        <f t="shared" ref="S117" si="284">IF(S$54,((S109-$H117)^2+(S110-$H118)^2)^0.5,"")</f>
        <v>3.148580460115874E-2</v>
      </c>
      <c r="T117" s="108">
        <f t="shared" ref="T117" si="285">IF(T$54,((T109-$H117)^2+(T110-$H118)^2)^0.5,"")</f>
        <v>1.259148504997441E-2</v>
      </c>
      <c r="U117" s="108">
        <f t="shared" ref="U117" si="286">IF(U$54,((U109-$H117)^2+(U110-$H118)^2)^0.5,"")</f>
        <v>3.6928244451733892E-2</v>
      </c>
      <c r="V117" s="108">
        <f t="shared" ref="V117" si="287">IF(V$54,((V109-$H117)^2+(V110-$H118)^2)^0.5,"")</f>
        <v>3.1075965272089046E-2</v>
      </c>
      <c r="W117" s="108">
        <f t="shared" ref="W117" si="288">IF(W$54,((W109-$H117)^2+(W110-$H118)^2)^0.5,"")</f>
        <v>2.2156766272760937E-2</v>
      </c>
      <c r="X117" s="108">
        <f t="shared" ref="X117" si="289">IF(X$54,((X109-$H117)^2+(X110-$H118)^2)^0.5,"")</f>
        <v>4.957356132142763E-2</v>
      </c>
      <c r="Y117" s="108">
        <f t="shared" ref="Y117" si="290">IF(Y$54,((Y109-$H117)^2+(Y110-$H118)^2)^0.5,"")</f>
        <v>1.4409252416224365E-2</v>
      </c>
      <c r="Z117" s="108">
        <f t="shared" ref="Z117" si="291">IF(Z$54,((Z109-$H117)^2+(Z110-$H118)^2)^0.5,"")</f>
        <v>5.1046660729859285E-2</v>
      </c>
      <c r="AA117" s="108">
        <f t="shared" ref="AA117" si="292">IF(AA$54,((AA109-$H117)^2+(AA110-$H118)^2)^0.5,"")</f>
        <v>3.9090803049627455E-2</v>
      </c>
      <c r="AB117" s="108">
        <f t="shared" ref="AB117" si="293">IF(AB$54,((AB109-$H117)^2+(AB110-$H118)^2)^0.5,"")</f>
        <v>7.2474880661150778E-2</v>
      </c>
      <c r="AC117" s="108">
        <f t="shared" ref="AC117" si="294">IF(AC$54,((AC109-$H117)^2+(AC110-$H118)^2)^0.5,"")</f>
        <v>1.5407664919703539E-2</v>
      </c>
      <c r="AD117" s="108">
        <f t="shared" ref="AD117" si="295">IF(AD$54,((AD109-$H117)^2+(AD110-$H118)^2)^0.5,"")</f>
        <v>2.4663819366931326E-2</v>
      </c>
      <c r="AE117" s="108">
        <f t="shared" ref="AE117" si="296">IF(AE$54,((AE109-$H117)^2+(AE110-$H118)^2)^0.5,"")</f>
        <v>0.1169888235338431</v>
      </c>
      <c r="AF117" s="108">
        <f t="shared" ref="AF117" si="297">IF(AF$54,((AF109-$H117)^2+(AF110-$H118)^2)^0.5,"")</f>
        <v>3.2025308342922817E-2</v>
      </c>
      <c r="AG117" s="108">
        <f t="shared" ref="AG117" si="298">IF(AG$54,((AG109-$H117)^2+(AG110-$H118)^2)^0.5,"")</f>
        <v>0.13530716580027002</v>
      </c>
      <c r="AH117" s="108">
        <f t="shared" ref="AH117" si="299">IF(AH$54,((AH109-$H117)^2+(AH110-$H118)^2)^0.5,"")</f>
        <v>1.6713058754342256</v>
      </c>
      <c r="AI117" s="108" t="str">
        <f t="shared" ref="AI117" si="300">IF(AI$54,((AI109-$H117)^2+(AI110-$H118)^2)^0.5,"")</f>
        <v/>
      </c>
      <c r="AJ117" s="108">
        <f t="shared" ref="AJ117" si="301">IF(AJ$54,((AJ109-$H117)^2+(AJ110-$H118)^2)^0.5,"")</f>
        <v>4.0335811518877898E-2</v>
      </c>
      <c r="AK117" s="108">
        <f t="shared" ref="AK117" si="302">IF(AK$54,((AK109-$H117)^2+(AK110-$H118)^2)^0.5,"")</f>
        <v>0.11740054188419315</v>
      </c>
      <c r="AL117" s="108">
        <f t="shared" ref="AL117" si="303">IF(AL$54,((AL109-$H117)^2+(AL110-$H118)^2)^0.5,"")</f>
        <v>5.7426613660262402E-2</v>
      </c>
      <c r="AM117" s="108">
        <f t="shared" ref="AM117" si="304">IF(AM$54,((AM109-$H117)^2+(AM110-$H118)^2)^0.5,"")</f>
        <v>2.0556598618583903E-3</v>
      </c>
      <c r="AN117" s="108">
        <f t="shared" ref="AN117" si="305">IF(AN$54,((AN109-$H117)^2+(AN110-$H118)^2)^0.5,"")</f>
        <v>2.7794935665198646E-2</v>
      </c>
    </row>
    <row r="118" spans="1:40">
      <c r="A118" s="74"/>
      <c r="B118" s="242"/>
      <c r="C118" s="242"/>
      <c r="D118" s="59" t="str">
        <f>C113</f>
        <v>HI</v>
      </c>
      <c r="E118" s="242"/>
      <c r="F118" s="60">
        <f t="shared" si="211"/>
        <v>0.10923402715288827</v>
      </c>
      <c r="G118" s="60">
        <f t="shared" si="212"/>
        <v>0.31338015212466164</v>
      </c>
      <c r="H118" s="60">
        <f>H104/SUM(H103:H105)</f>
        <v>0.41169415292353823</v>
      </c>
      <c r="I118" s="108" t="str">
        <f>IF(I$54,((I113-$H117)^2+(I114-$H118)^2)^0.5,"")</f>
        <v/>
      </c>
      <c r="J118" s="108" t="str">
        <f t="shared" ref="J118" si="306">IF(J$54,((J113-$H117)^2+(J114-$H118)^2)^0.5,"")</f>
        <v/>
      </c>
      <c r="K118" s="108">
        <f t="shared" ref="K118" si="307">IF(K$54,((K113-$H117)^2+(K114-$H118)^2)^0.5,"")</f>
        <v>0.13748919627513984</v>
      </c>
      <c r="L118" s="108">
        <f t="shared" ref="L118" si="308">IF(L$54,((L113-$H117)^2+(L114-$H118)^2)^0.5,"")</f>
        <v>0.13472522947550797</v>
      </c>
      <c r="M118" s="108" t="str">
        <f t="shared" ref="M118" si="309">IF(M$54,((M113-$H117)^2+(M114-$H118)^2)^0.5,"")</f>
        <v/>
      </c>
      <c r="N118" s="108">
        <f t="shared" ref="N118" si="310">IF(N$54,((N113-$H117)^2+(N114-$H118)^2)^0.5,"")</f>
        <v>1.631508034231419E-2</v>
      </c>
      <c r="O118" s="108">
        <f t="shared" ref="O118" si="311">IF(O$54,((O113-$H117)^2+(O114-$H118)^2)^0.5,"")</f>
        <v>1.9071157457025735E-2</v>
      </c>
      <c r="P118" s="108" t="str">
        <f t="shared" ref="P118" si="312">IF(P$54,((P113-$H117)^2+(P114-$H118)^2)^0.5,"")</f>
        <v/>
      </c>
      <c r="Q118" s="108">
        <f t="shared" ref="Q118" si="313">IF(Q$54,((Q113-$H117)^2+(Q114-$H118)^2)^0.5,"")</f>
        <v>3.2691307739238944E-2</v>
      </c>
      <c r="R118" s="108">
        <f t="shared" ref="R118" si="314">IF(R$54,((R113-$H117)^2+(R114-$H118)^2)^0.5,"")</f>
        <v>7.8403088247886981E-3</v>
      </c>
      <c r="S118" s="108">
        <f t="shared" ref="S118" si="315">IF(S$54,((S113-$H117)^2+(S114-$H118)^2)^0.5,"")</f>
        <v>3.2268798419610986E-2</v>
      </c>
      <c r="T118" s="108">
        <f t="shared" ref="T118" si="316">IF(T$54,((T113-$H117)^2+(T114-$H118)^2)^0.5,"")</f>
        <v>1.4635891364199642E-2</v>
      </c>
      <c r="U118" s="108">
        <f t="shared" ref="U118" si="317">IF(U$54,((U113-$H117)^2+(U114-$H118)^2)^0.5,"")</f>
        <v>3.4523733007538256E-2</v>
      </c>
      <c r="V118" s="108">
        <f t="shared" ref="V118" si="318">IF(V$54,((V113-$H117)^2+(V114-$H118)^2)^0.5,"")</f>
        <v>3.0817641897091082E-2</v>
      </c>
      <c r="W118" s="108">
        <f t="shared" ref="W118" si="319">IF(W$54,((W113-$H117)^2+(W114-$H118)^2)^0.5,"")</f>
        <v>2.3272934681421956E-2</v>
      </c>
      <c r="X118" s="108">
        <f t="shared" ref="X118" si="320">IF(X$54,((X113-$H117)^2+(X114-$H118)^2)^0.5,"")</f>
        <v>4.8958456670163311E-2</v>
      </c>
      <c r="Y118" s="108">
        <f t="shared" ref="Y118" si="321">IF(Y$54,((Y113-$H117)^2+(Y114-$H118)^2)^0.5,"")</f>
        <v>1.6643746034978646E-2</v>
      </c>
      <c r="Z118" s="108">
        <f t="shared" ref="Z118" si="322">IF(Z$54,((Z113-$H117)^2+(Z114-$H118)^2)^0.5,"")</f>
        <v>5.2463160446421055E-2</v>
      </c>
      <c r="AA118" s="108">
        <f t="shared" ref="AA118" si="323">IF(AA$54,((AA113-$H117)^2+(AA114-$H118)^2)^0.5,"")</f>
        <v>4.3655577231826878E-2</v>
      </c>
      <c r="AB118" s="108">
        <f t="shared" ref="AB118" si="324">IF(AB$54,((AB113-$H117)^2+(AB114-$H118)^2)^0.5,"")</f>
        <v>7.1692230419105232E-2</v>
      </c>
      <c r="AC118" s="108">
        <f t="shared" ref="AC118" si="325">IF(AC$54,((AC113-$H117)^2+(AC114-$H118)^2)^0.5,"")</f>
        <v>1.9064135153783204E-2</v>
      </c>
      <c r="AD118" s="108">
        <f t="shared" ref="AD118" si="326">IF(AD$54,((AD113-$H117)^2+(AD114-$H118)^2)^0.5,"")</f>
        <v>2.41563510562833E-2</v>
      </c>
      <c r="AE118" s="108">
        <f t="shared" ref="AE118" si="327">IF(AE$54,((AE113-$H117)^2+(AE114-$H118)^2)^0.5,"")</f>
        <v>0.115223847715542</v>
      </c>
      <c r="AF118" s="108">
        <f t="shared" ref="AF118" si="328">IF(AF$54,((AF113-$H117)^2+(AF114-$H118)^2)^0.5,"")</f>
        <v>2.9287327072316568E-2</v>
      </c>
      <c r="AG118" s="108">
        <f t="shared" ref="AG118" si="329">IF(AG$54,((AG113-$H117)^2+(AG114-$H118)^2)^0.5,"")</f>
        <v>0.13749054175377917</v>
      </c>
      <c r="AH118" s="108">
        <f t="shared" ref="AH118" si="330">IF(AH$54,((AH113-$H117)^2+(AH114-$H118)^2)^0.5,"")</f>
        <v>1.6636893280762568</v>
      </c>
      <c r="AI118" s="108" t="str">
        <f t="shared" ref="AI118" si="331">IF(AI$54,((AI113-$H117)^2+(AI114-$H118)^2)^0.5,"")</f>
        <v/>
      </c>
      <c r="AJ118" s="108">
        <f t="shared" ref="AJ118" si="332">IF(AJ$54,((AJ113-$H117)^2+(AJ114-$H118)^2)^0.5,"")</f>
        <v>4.0283144717235826E-2</v>
      </c>
      <c r="AK118" s="108">
        <f t="shared" ref="AK118" si="333">IF(AK$54,((AK113-$H117)^2+(AK114-$H118)^2)^0.5,"")</f>
        <v>0.11271584491810008</v>
      </c>
      <c r="AL118" s="108">
        <f t="shared" ref="AL118" si="334">IF(AL$54,((AL113-$H117)^2+(AL114-$H118)^2)^0.5,"")</f>
        <v>5.8640455889542135E-2</v>
      </c>
      <c r="AM118" s="108">
        <f t="shared" ref="AM118" si="335">IF(AM$54,((AM113-$H117)^2+(AM114-$H118)^2)^0.5,"")</f>
        <v>5.598484870280967E-3</v>
      </c>
      <c r="AN118" s="108">
        <f t="shared" ref="AN118" si="336">IF(AN$54,((AN113-$H117)^2+(AN114-$H118)^2)^0.5,"")</f>
        <v>2.6104821618490821E-2</v>
      </c>
    </row>
    <row r="119" spans="1:40">
      <c r="A119" s="74"/>
      <c r="B119" s="242"/>
      <c r="C119" s="242"/>
      <c r="D119" s="59" t="str">
        <f>D117</f>
        <v>LO</v>
      </c>
      <c r="E119" s="242" t="str">
        <f t="shared" ref="E119" si="337">E97</f>
        <v>MK-1</v>
      </c>
      <c r="F119" s="61">
        <f t="shared" si="211"/>
        <v>-60.50475036515958</v>
      </c>
      <c r="G119" s="61">
        <f t="shared" si="212"/>
        <v>200.91200863939881</v>
      </c>
      <c r="H119" s="243">
        <f>10^6/H121</f>
        <v>352.36081747709653</v>
      </c>
      <c r="I119" s="130" t="str">
        <f>IF(I$54,I112-$H119,"")</f>
        <v/>
      </c>
      <c r="J119" s="130" t="str">
        <f t="shared" ref="J119:AN119" si="338">IF(J$54,J112-$H119,"")</f>
        <v/>
      </c>
      <c r="K119" s="130">
        <f t="shared" si="338"/>
        <v>-137.44570894496673</v>
      </c>
      <c r="L119" s="130">
        <f t="shared" si="338"/>
        <v>-157.65676763285978</v>
      </c>
      <c r="M119" s="130" t="str">
        <f t="shared" si="338"/>
        <v/>
      </c>
      <c r="N119" s="130">
        <f t="shared" si="338"/>
        <v>9.564625881571601</v>
      </c>
      <c r="O119" s="130">
        <f t="shared" si="338"/>
        <v>-12.686904433618281</v>
      </c>
      <c r="P119" s="130" t="str">
        <f t="shared" si="338"/>
        <v/>
      </c>
      <c r="Q119" s="130">
        <f t="shared" si="338"/>
        <v>-26.415576277618072</v>
      </c>
      <c r="R119" s="130">
        <f t="shared" si="338"/>
        <v>12.869277482728137</v>
      </c>
      <c r="S119" s="130">
        <f t="shared" si="338"/>
        <v>27.434093271099414</v>
      </c>
      <c r="T119" s="130">
        <f t="shared" si="338"/>
        <v>-7.1761436766132647</v>
      </c>
      <c r="U119" s="130">
        <f t="shared" si="338"/>
        <v>31.516341831924592</v>
      </c>
      <c r="V119" s="130">
        <f t="shared" si="338"/>
        <v>24.145206619289013</v>
      </c>
      <c r="W119" s="130">
        <f t="shared" si="338"/>
        <v>18.14677792860931</v>
      </c>
      <c r="X119" s="130">
        <f t="shared" si="338"/>
        <v>36.89570256961423</v>
      </c>
      <c r="Y119" s="130">
        <f t="shared" si="338"/>
        <v>-8.6000749538926584</v>
      </c>
      <c r="Z119" s="130">
        <f t="shared" si="338"/>
        <v>-44.099411805086675</v>
      </c>
      <c r="AA119" s="130">
        <f t="shared" si="338"/>
        <v>-37.598463054685453</v>
      </c>
      <c r="AB119" s="130">
        <f t="shared" si="338"/>
        <v>-73.498575424670435</v>
      </c>
      <c r="AC119" s="130">
        <f t="shared" si="338"/>
        <v>15.016111251779307</v>
      </c>
      <c r="AD119" s="130">
        <f t="shared" si="338"/>
        <v>20.078661107633422</v>
      </c>
      <c r="AE119" s="130">
        <f t="shared" si="338"/>
        <v>-120.39607611778314</v>
      </c>
      <c r="AF119" s="130">
        <f t="shared" si="338"/>
        <v>-27.368942273976586</v>
      </c>
      <c r="AG119" s="130">
        <f t="shared" si="338"/>
        <v>-143.37440159412893</v>
      </c>
      <c r="AH119" s="130">
        <f t="shared" si="338"/>
        <v>-1019.0274841437631</v>
      </c>
      <c r="AI119" s="130" t="str">
        <f t="shared" si="338"/>
        <v/>
      </c>
      <c r="AJ119" s="130">
        <f t="shared" si="338"/>
        <v>31.516341831924592</v>
      </c>
      <c r="AK119" s="130">
        <f t="shared" si="338"/>
        <v>-111.62899272986496</v>
      </c>
      <c r="AL119" s="130">
        <f t="shared" si="338"/>
        <v>43.678786483299518</v>
      </c>
      <c r="AM119" s="130">
        <f t="shared" si="338"/>
        <v>3.5110686438999323</v>
      </c>
      <c r="AN119" s="130">
        <f t="shared" si="338"/>
        <v>18.972268300846281</v>
      </c>
    </row>
    <row r="120" spans="1:40">
      <c r="A120" s="74"/>
      <c r="B120" s="242"/>
      <c r="C120" s="242"/>
      <c r="D120" s="59" t="str">
        <f t="shared" ref="D120:D124" si="339">D118</f>
        <v>HI</v>
      </c>
      <c r="E120" s="242"/>
      <c r="F120" s="61">
        <f t="shared" si="211"/>
        <v>-60.768647648164659</v>
      </c>
      <c r="G120" s="61">
        <f t="shared" si="212"/>
        <v>200.78879284007971</v>
      </c>
      <c r="H120" s="243"/>
      <c r="I120" s="130" t="str">
        <f>IF(I$54,I116-$H119,"")</f>
        <v/>
      </c>
      <c r="J120" s="130" t="str">
        <f t="shared" ref="J120" si="340">IF(J$54,J116-$H119,"")</f>
        <v/>
      </c>
      <c r="K120" s="130">
        <f t="shared" ref="K120" si="341">IF(K$54,K116-$H119,"")</f>
        <v>-149.4387395550186</v>
      </c>
      <c r="L120" s="130">
        <f t="shared" ref="L120" si="342">IF(L$54,L116-$H119,"")</f>
        <v>-145.91985959105193</v>
      </c>
      <c r="M120" s="130" t="str">
        <f t="shared" ref="M120" si="343">IF(M$54,M116-$H119,"")</f>
        <v/>
      </c>
      <c r="N120" s="130">
        <f t="shared" ref="N120" si="344">IF(N$54,N116-$H119,"")</f>
        <v>12.070669403369948</v>
      </c>
      <c r="O120" s="130">
        <f t="shared" ref="O120" si="345">IF(O$54,O116-$H119,"")</f>
        <v>-15.887062429990181</v>
      </c>
      <c r="P120" s="130" t="str">
        <f t="shared" ref="P120" si="346">IF(P$54,P116-$H119,"")</f>
        <v/>
      </c>
      <c r="Q120" s="130">
        <f t="shared" ref="Q120" si="347">IF(Q$54,Q116-$H119,"")</f>
        <v>-25.349699099071699</v>
      </c>
      <c r="R120" s="130">
        <f t="shared" ref="R120" si="348">IF(R$54,R116-$H119,"")</f>
        <v>6.0621215910038018</v>
      </c>
      <c r="S120" s="130">
        <f t="shared" ref="S120" si="349">IF(S$54,S116-$H119,"")</f>
        <v>27.867319405032731</v>
      </c>
      <c r="T120" s="130">
        <f t="shared" ref="T120" si="350">IF(T$54,T116-$H119,"")</f>
        <v>-9.4252893563832458</v>
      </c>
      <c r="U120" s="130">
        <f t="shared" ref="U120" si="351">IF(U$54,U116-$H119,"")</f>
        <v>29.172948261171314</v>
      </c>
      <c r="V120" s="130">
        <f t="shared" ref="V120" si="352">IF(V$54,V116-$H119,"")</f>
        <v>23.861906375424155</v>
      </c>
      <c r="W120" s="130">
        <f t="shared" ref="W120" si="353">IF(W$54,W116-$H119,"")</f>
        <v>18.972268300846281</v>
      </c>
      <c r="X120" s="130">
        <f t="shared" ref="X120" si="354">IF(X$54,X116-$H119,"")</f>
        <v>36.290562235301422</v>
      </c>
      <c r="Y120" s="130">
        <f t="shared" ref="Y120" si="355">IF(Y$54,Y116-$H119,"")</f>
        <v>-10.947365787099955</v>
      </c>
      <c r="Z120" s="130">
        <f t="shared" ref="Z120" si="356">IF(Z$54,Z116-$H119,"")</f>
        <v>-45.706416986449483</v>
      </c>
      <c r="AA120" s="130">
        <f t="shared" ref="AA120" si="357">IF(AA$54,AA116-$H119,"")</f>
        <v>-42.954876883037116</v>
      </c>
      <c r="AB120" s="130">
        <f t="shared" ref="AB120" si="358">IF(AB$54,AB116-$H119,"")</f>
        <v>-72.7969371304373</v>
      </c>
      <c r="AC120" s="130">
        <f t="shared" ref="AC120" si="359">IF(AC$54,AC116-$H119,"")</f>
        <v>18.559063828541468</v>
      </c>
      <c r="AD120" s="130">
        <f t="shared" ref="AD120" si="360">IF(AD$54,AD116-$H119,"")</f>
        <v>19.524641801445682</v>
      </c>
      <c r="AE120" s="130">
        <f t="shared" ref="AE120" si="361">IF(AE$54,AE116-$H119,"")</f>
        <v>-118.11392124847157</v>
      </c>
      <c r="AF120" s="130">
        <f t="shared" ref="AF120" si="362">IF(AF$54,AF116-$H119,"")</f>
        <v>-24.921393770482268</v>
      </c>
      <c r="AG120" s="130">
        <f t="shared" ref="AG120" si="363">IF(AG$54,AG116-$H119,"")</f>
        <v>-147.31673299893373</v>
      </c>
      <c r="AH120" s="130">
        <f t="shared" ref="AH120" si="364">IF(AH$54,AH116-$H119,"")</f>
        <v>-1019.0274841437631</v>
      </c>
      <c r="AI120" s="130" t="str">
        <f t="shared" ref="AI120" si="365">IF(AI$54,AI116-$H119,"")</f>
        <v/>
      </c>
      <c r="AJ120" s="130">
        <f t="shared" ref="AJ120" si="366">IF(AJ$54,AJ116-$H119,"")</f>
        <v>31.369036705558869</v>
      </c>
      <c r="AK120" s="130">
        <f t="shared" ref="AK120" si="367">IF(AK$54,AK116-$H119,"")</f>
        <v>-105.63000079809333</v>
      </c>
      <c r="AL120" s="130">
        <f t="shared" ref="AL120" si="368">IF(AL$54,AL116-$H119,"")</f>
        <v>44.779770290973374</v>
      </c>
      <c r="AM120" s="130">
        <f t="shared" ref="AM120" si="369">IF(AM$54,AM116-$H119,"")</f>
        <v>6.9636525193102443</v>
      </c>
      <c r="AN120" s="130">
        <f t="shared" ref="AN120" si="370">IF(AN$54,AN116-$H119,"")</f>
        <v>17.188332559858395</v>
      </c>
    </row>
    <row r="121" spans="1:40">
      <c r="A121" s="74"/>
      <c r="B121" s="242"/>
      <c r="C121" s="242"/>
      <c r="D121" s="59" t="str">
        <f t="shared" si="339"/>
        <v>LO</v>
      </c>
      <c r="E121" s="242" t="str">
        <f t="shared" ref="E121" si="371">E99</f>
        <v>%/CCT</v>
      </c>
      <c r="F121" s="63">
        <f t="shared" si="211"/>
        <v>0.17171248153632293</v>
      </c>
      <c r="G121" s="63">
        <f t="shared" si="212"/>
        <v>0.57018828051861392</v>
      </c>
      <c r="H121" s="242">
        <f>getCCTfromXY(H117,H118,0)</f>
        <v>2838</v>
      </c>
      <c r="I121" s="91" t="str">
        <f>IF(I$54,1-$H121/I111,"")</f>
        <v/>
      </c>
      <c r="J121" s="91" t="str">
        <f t="shared" ref="J121:AN121" si="372">IF(J$54,1-$H121/J111,"")</f>
        <v/>
      </c>
      <c r="K121" s="91">
        <f t="shared" si="372"/>
        <v>0.39007092198581561</v>
      </c>
      <c r="L121" s="91">
        <f t="shared" si="372"/>
        <v>0.44742990654205606</v>
      </c>
      <c r="M121" s="91" t="str">
        <f t="shared" si="372"/>
        <v/>
      </c>
      <c r="N121" s="91">
        <f t="shared" si="372"/>
        <v>-2.7144408251900121E-2</v>
      </c>
      <c r="O121" s="91">
        <f t="shared" si="372"/>
        <v>3.6005434782608647E-2</v>
      </c>
      <c r="P121" s="91" t="str">
        <f t="shared" si="372"/>
        <v/>
      </c>
      <c r="Q121" s="91">
        <f t="shared" si="372"/>
        <v>7.49674054758801E-2</v>
      </c>
      <c r="R121" s="91">
        <f t="shared" si="372"/>
        <v>-3.6523009495982528E-2</v>
      </c>
      <c r="S121" s="91">
        <f t="shared" si="372"/>
        <v>-7.7857956703380138E-2</v>
      </c>
      <c r="T121" s="91">
        <f t="shared" si="372"/>
        <v>2.0365895754228536E-2</v>
      </c>
      <c r="U121" s="91">
        <f t="shared" si="372"/>
        <v>-8.9443378119001826E-2</v>
      </c>
      <c r="V121" s="91">
        <f t="shared" si="372"/>
        <v>-6.8524096385542244E-2</v>
      </c>
      <c r="W121" s="91">
        <f t="shared" si="372"/>
        <v>-5.1500555761393008E-2</v>
      </c>
      <c r="X121" s="91">
        <f t="shared" si="372"/>
        <v>-0.10471000389256524</v>
      </c>
      <c r="Y121" s="91">
        <f t="shared" si="372"/>
        <v>2.440701271914747E-2</v>
      </c>
      <c r="Z121" s="91">
        <f t="shared" si="372"/>
        <v>0.12515413070283599</v>
      </c>
      <c r="AA121" s="91">
        <f t="shared" si="372"/>
        <v>0.10670443814919739</v>
      </c>
      <c r="AB121" s="91">
        <f t="shared" si="372"/>
        <v>0.20858895705521474</v>
      </c>
      <c r="AC121" s="91">
        <f t="shared" si="372"/>
        <v>-4.2615723732549515E-2</v>
      </c>
      <c r="AD121" s="91">
        <f t="shared" si="372"/>
        <v>-5.6983240223463794E-2</v>
      </c>
      <c r="AE121" s="91">
        <f t="shared" si="372"/>
        <v>0.34168406402226859</v>
      </c>
      <c r="AF121" s="91">
        <f t="shared" si="372"/>
        <v>7.7673058173545639E-2</v>
      </c>
      <c r="AG121" s="91">
        <f t="shared" si="372"/>
        <v>0.40689655172413797</v>
      </c>
      <c r="AH121" s="91">
        <f t="shared" si="372"/>
        <v>2.8919999999999999</v>
      </c>
      <c r="AI121" s="91" t="str">
        <f t="shared" si="372"/>
        <v/>
      </c>
      <c r="AJ121" s="91">
        <f t="shared" si="372"/>
        <v>-8.9443378119001826E-2</v>
      </c>
      <c r="AK121" s="91">
        <f t="shared" si="372"/>
        <v>0.3168030813673568</v>
      </c>
      <c r="AL121" s="91">
        <f t="shared" si="372"/>
        <v>-0.12396039603960407</v>
      </c>
      <c r="AM121" s="91">
        <f t="shared" si="372"/>
        <v>-9.9644128113878239E-3</v>
      </c>
      <c r="AN121" s="91">
        <f t="shared" si="372"/>
        <v>-5.3843297437801807E-2</v>
      </c>
    </row>
    <row r="122" spans="1:40">
      <c r="A122" s="74"/>
      <c r="B122" s="242"/>
      <c r="C122" s="242"/>
      <c r="D122" s="59" t="str">
        <f t="shared" si="339"/>
        <v>HI</v>
      </c>
      <c r="E122" s="242"/>
      <c r="F122" s="63">
        <f t="shared" si="211"/>
        <v>0.17246142202549136</v>
      </c>
      <c r="G122" s="63">
        <f t="shared" si="212"/>
        <v>0.56983859408014625</v>
      </c>
      <c r="H122" s="242"/>
      <c r="I122" s="91" t="str">
        <f>IF(I$54,1-$H121/I115,"")</f>
        <v/>
      </c>
      <c r="J122" s="91" t="str">
        <f t="shared" ref="J122" si="373">IF(J$54,1-$H121/J115,"")</f>
        <v/>
      </c>
      <c r="K122" s="91">
        <f t="shared" ref="K122" si="374">IF(K$54,1-$H121/K115,"")</f>
        <v>0.4241071428571429</v>
      </c>
      <c r="L122" s="91">
        <f t="shared" ref="L122" si="375">IF(L$54,1-$H121/L115,"")</f>
        <v>0.41412056151940546</v>
      </c>
      <c r="M122" s="91" t="str">
        <f t="shared" ref="M122" si="376">IF(M$54,1-$H121/M115,"")</f>
        <v/>
      </c>
      <c r="N122" s="91">
        <f t="shared" ref="N122" si="377">IF(N$54,1-$H121/N115,"")</f>
        <v>-3.4256559766763894E-2</v>
      </c>
      <c r="O122" s="91">
        <f t="shared" ref="O122" si="378">IF(O$54,1-$H121/O115,"")</f>
        <v>4.5087483176312282E-2</v>
      </c>
      <c r="P122" s="91" t="str">
        <f t="shared" ref="P122" si="379">IF(P$54,1-$H121/P115,"")</f>
        <v/>
      </c>
      <c r="Q122" s="91">
        <f t="shared" ref="Q122" si="380">IF(Q$54,1-$H121/Q115,"")</f>
        <v>7.1942446043165464E-2</v>
      </c>
      <c r="R122" s="91">
        <f t="shared" ref="R122" si="381">IF(R$54,1-$H121/R115,"")</f>
        <v>-1.7204301075268713E-2</v>
      </c>
      <c r="S122" s="91">
        <f t="shared" ref="S122" si="382">IF(S$54,1-$H121/S115,"")</f>
        <v>-7.9087452471482855E-2</v>
      </c>
      <c r="T122" s="91">
        <f t="shared" ref="T122" si="383">IF(T$54,1-$H121/T115,"")</f>
        <v>2.6748971193415683E-2</v>
      </c>
      <c r="U122" s="91">
        <f t="shared" ref="U122" si="384">IF(U$54,1-$H121/U115,"")</f>
        <v>-8.2792827165204086E-2</v>
      </c>
      <c r="V122" s="91">
        <f t="shared" ref="V122" si="385">IF(V$54,1-$H121/V115,"")</f>
        <v>-6.7720090293453827E-2</v>
      </c>
      <c r="W122" s="91">
        <f t="shared" ref="W122" si="386">IF(W$54,1-$H121/W115,"")</f>
        <v>-5.3843297437801807E-2</v>
      </c>
      <c r="X122" s="91">
        <f t="shared" ref="X122" si="387">IF(X$54,1-$H121/X115,"")</f>
        <v>-0.10299261562378548</v>
      </c>
      <c r="Y122" s="91">
        <f t="shared" ref="Y122" si="388">IF(Y$54,1-$H121/Y115,"")</f>
        <v>3.1068624103789744E-2</v>
      </c>
      <c r="Z122" s="91">
        <f t="shared" ref="Z122" si="389">IF(Z$54,1-$H121/Z115,"")</f>
        <v>0.12971481140754371</v>
      </c>
      <c r="AA122" s="91">
        <f t="shared" ref="AA122" si="390">IF(AA$54,1-$H121/AA115,"")</f>
        <v>0.12190594059405946</v>
      </c>
      <c r="AB122" s="91">
        <f t="shared" ref="AB122" si="391">IF(AB$54,1-$H121/AB115,"")</f>
        <v>0.20659770757618112</v>
      </c>
      <c r="AC122" s="91">
        <f t="shared" ref="AC122" si="392">IF(AC$54,1-$H121/AC115,"")</f>
        <v>-5.2670623145400608E-2</v>
      </c>
      <c r="AD122" s="91">
        <f t="shared" ref="AD122" si="393">IF(AD$54,1-$H121/AD115,"")</f>
        <v>-5.5410933432502807E-2</v>
      </c>
      <c r="AE122" s="91">
        <f t="shared" ref="AE122" si="394">IF(AE$54,1-$H121/AE115,"")</f>
        <v>0.33520730850316238</v>
      </c>
      <c r="AF122" s="91">
        <f t="shared" ref="AF122" si="395">IF(AF$54,1-$H121/AF115,"")</f>
        <v>7.0726915520628708E-2</v>
      </c>
      <c r="AG122" s="91">
        <f t="shared" ref="AG122" si="396">IF(AG$54,1-$H121/AG115,"")</f>
        <v>0.41808488825097401</v>
      </c>
      <c r="AH122" s="91">
        <f t="shared" ref="AH122" si="397">IF(AH$54,1-$H121/AH115,"")</f>
        <v>2.8919999999999999</v>
      </c>
      <c r="AI122" s="91" t="str">
        <f t="shared" ref="AI122" si="398">IF(AI$54,1-$H121/AI115,"")</f>
        <v/>
      </c>
      <c r="AJ122" s="91">
        <f t="shared" ref="AJ122" si="399">IF(AJ$54,1-$H121/AJ115,"")</f>
        <v>-8.9025326170375951E-2</v>
      </c>
      <c r="AK122" s="91">
        <f t="shared" ref="AK122" si="400">IF(AK$54,1-$H121/AK115,"")</f>
        <v>0.29977794226498888</v>
      </c>
      <c r="AL122" s="91">
        <f t="shared" ref="AL122" si="401">IF(AL$54,1-$H121/AL115,"")</f>
        <v>-0.12708498808578228</v>
      </c>
      <c r="AM122" s="91">
        <f t="shared" ref="AM122" si="402">IF(AM$54,1-$H121/AM115,"")</f>
        <v>-1.9762845849802479E-2</v>
      </c>
      <c r="AN122" s="91">
        <f t="shared" ref="AN122" si="403">IF(AN$54,1-$H121/AN115,"")</f>
        <v>-4.8780487804878092E-2</v>
      </c>
    </row>
    <row r="123" spans="1:40" s="64" customFormat="1">
      <c r="A123" s="74"/>
      <c r="B123" s="242"/>
      <c r="C123" s="242"/>
      <c r="D123" s="64" t="str">
        <f t="shared" si="339"/>
        <v>LO</v>
      </c>
      <c r="E123" s="242" t="s">
        <v>85</v>
      </c>
      <c r="F123" s="63">
        <f t="shared" ref="F123:F124" si="404">AVERAGE(I123:AN123)</f>
        <v>0.13459472676311371</v>
      </c>
      <c r="G123" s="63">
        <f t="shared" ref="G123:G124" si="405">STDEV(I123:AN123)</f>
        <v>2.485923620723145</v>
      </c>
      <c r="H123" s="64">
        <f>H104</f>
        <v>1373</v>
      </c>
      <c r="I123" s="91" t="str">
        <f>IF(I$54,1-$H123/I104,"")</f>
        <v/>
      </c>
      <c r="J123" s="91" t="str">
        <f t="shared" ref="J123:AN123" si="406">IF(J$54,1-$H123/J104,"")</f>
        <v/>
      </c>
      <c r="K123" s="91">
        <f t="shared" si="406"/>
        <v>-2.0606968270813613</v>
      </c>
      <c r="L123" s="91">
        <f t="shared" si="406"/>
        <v>-1.7109018664237339</v>
      </c>
      <c r="M123" s="91" t="str">
        <f t="shared" si="406"/>
        <v/>
      </c>
      <c r="N123" s="91">
        <f t="shared" si="406"/>
        <v>0.19954149887011363</v>
      </c>
      <c r="O123" s="91">
        <f t="shared" si="406"/>
        <v>-0.15697967757629017</v>
      </c>
      <c r="P123" s="91" t="str">
        <f t="shared" si="406"/>
        <v/>
      </c>
      <c r="Q123" s="91">
        <f t="shared" si="406"/>
        <v>-0.43443071521271936</v>
      </c>
      <c r="R123" s="91">
        <f t="shared" si="406"/>
        <v>6.9030097309113914E-2</v>
      </c>
      <c r="S123" s="91">
        <f t="shared" si="406"/>
        <v>0.26014274921426239</v>
      </c>
      <c r="T123" s="91">
        <f t="shared" si="406"/>
        <v>-0.17937593124816487</v>
      </c>
      <c r="U123" s="91">
        <f t="shared" si="406"/>
        <v>0.29861581376199364</v>
      </c>
      <c r="V123" s="91">
        <f t="shared" si="406"/>
        <v>0.36101854623497243</v>
      </c>
      <c r="W123" s="91">
        <f t="shared" si="406"/>
        <v>0.25495758877456931</v>
      </c>
      <c r="X123" s="91">
        <f t="shared" si="406"/>
        <v>0.55933955495352139</v>
      </c>
      <c r="Y123" s="91">
        <f t="shared" si="406"/>
        <v>-0.24994016744871339</v>
      </c>
      <c r="Z123" s="91">
        <f t="shared" si="406"/>
        <v>-0.69592375149914809</v>
      </c>
      <c r="AA123" s="91">
        <f t="shared" si="406"/>
        <v>-0.32268221368321526</v>
      </c>
      <c r="AB123" s="91">
        <f t="shared" si="406"/>
        <v>-0.61235558587882255</v>
      </c>
      <c r="AC123" s="91">
        <f t="shared" si="406"/>
        <v>0.2467845701600162</v>
      </c>
      <c r="AD123" s="91">
        <f t="shared" si="406"/>
        <v>0.26099660430763516</v>
      </c>
      <c r="AE123" s="91">
        <f t="shared" si="406"/>
        <v>-1.8099111457770052</v>
      </c>
      <c r="AF123" s="91">
        <f t="shared" si="406"/>
        <v>-0.39756790667915065</v>
      </c>
      <c r="AG123" s="91">
        <f t="shared" si="406"/>
        <v>-1.7148409621103911</v>
      </c>
      <c r="AH123" s="91">
        <f t="shared" si="406"/>
        <v>11.900802441914049</v>
      </c>
      <c r="AI123" s="91" t="str">
        <f t="shared" si="406"/>
        <v/>
      </c>
      <c r="AJ123" s="91">
        <f t="shared" si="406"/>
        <v>0.38958855721185048</v>
      </c>
      <c r="AK123" s="91">
        <f t="shared" si="406"/>
        <v>-1.7947271803024343</v>
      </c>
      <c r="AL123" s="91">
        <f t="shared" si="406"/>
        <v>0.60162944041181743</v>
      </c>
      <c r="AM123" s="91">
        <f t="shared" si="406"/>
        <v>-5.1305153575356144E-3</v>
      </c>
      <c r="AN123" s="91">
        <f t="shared" si="406"/>
        <v>0.37707460575884133</v>
      </c>
    </row>
    <row r="124" spans="1:40" s="64" customFormat="1">
      <c r="A124" s="74"/>
      <c r="B124" s="242"/>
      <c r="C124" s="242"/>
      <c r="D124" s="64" t="str">
        <f t="shared" si="339"/>
        <v>HI</v>
      </c>
      <c r="E124" s="242"/>
      <c r="F124" s="63">
        <f t="shared" si="404"/>
        <v>0.1034208880124086</v>
      </c>
      <c r="G124" s="63">
        <f t="shared" si="405"/>
        <v>2.3608549995706185</v>
      </c>
      <c r="H124" s="75">
        <f>H123/O$20</f>
        <v>1468.1200606754317</v>
      </c>
      <c r="I124" s="91" t="str">
        <f>IF(I$54,1-$H124/I107,"")</f>
        <v/>
      </c>
      <c r="J124" s="91" t="str">
        <f t="shared" ref="J124:AN124" si="407">IF(J$54,1-$H124/J107,"")</f>
        <v/>
      </c>
      <c r="K124" s="91">
        <f t="shared" si="407"/>
        <v>-2.1725955026472761</v>
      </c>
      <c r="L124" s="91">
        <f t="shared" si="407"/>
        <v>-1.7035886299857959</v>
      </c>
      <c r="M124" s="91" t="str">
        <f t="shared" si="407"/>
        <v/>
      </c>
      <c r="N124" s="91">
        <f t="shared" si="407"/>
        <v>0.18888469858576873</v>
      </c>
      <c r="O124" s="91">
        <f t="shared" si="407"/>
        <v>-0.18823434659100036</v>
      </c>
      <c r="P124" s="91" t="str">
        <f t="shared" si="407"/>
        <v/>
      </c>
      <c r="Q124" s="91">
        <f t="shared" si="407"/>
        <v>-0.35320565335160348</v>
      </c>
      <c r="R124" s="91">
        <f t="shared" si="407"/>
        <v>9.810919821625852E-2</v>
      </c>
      <c r="S124" s="91">
        <f t="shared" si="407"/>
        <v>0.28373545666822331</v>
      </c>
      <c r="T124" s="91">
        <f t="shared" si="407"/>
        <v>-0.28528622596034303</v>
      </c>
      <c r="U124" s="91">
        <f t="shared" si="407"/>
        <v>0.26060618693671689</v>
      </c>
      <c r="V124" s="91">
        <f t="shared" si="407"/>
        <v>0.36723038362992477</v>
      </c>
      <c r="W124" s="91">
        <f t="shared" si="407"/>
        <v>0.2517317771549018</v>
      </c>
      <c r="X124" s="91">
        <f t="shared" si="407"/>
        <v>0.54406162151266357</v>
      </c>
      <c r="Y124" s="91">
        <f t="shared" si="407"/>
        <v>-0.31598283093590185</v>
      </c>
      <c r="Z124" s="91">
        <f t="shared" si="407"/>
        <v>-0.70628613745975266</v>
      </c>
      <c r="AA124" s="91">
        <f t="shared" si="407"/>
        <v>-0.49205573191654972</v>
      </c>
      <c r="AB124" s="91">
        <f t="shared" si="407"/>
        <v>-0.44512383390088783</v>
      </c>
      <c r="AC124" s="91">
        <f t="shared" si="407"/>
        <v>0.21128722873894057</v>
      </c>
      <c r="AD124" s="91">
        <f t="shared" si="407"/>
        <v>0.24320964578952109</v>
      </c>
      <c r="AE124" s="91">
        <f t="shared" si="407"/>
        <v>-1.8097166411975776</v>
      </c>
      <c r="AF124" s="91">
        <f t="shared" si="407"/>
        <v>-0.40609391855734733</v>
      </c>
      <c r="AG124" s="91">
        <f t="shared" si="407"/>
        <v>-1.7464340704484931</v>
      </c>
      <c r="AH124" s="91">
        <f t="shared" si="407"/>
        <v>11.216423276283709</v>
      </c>
      <c r="AI124" s="91" t="str">
        <f t="shared" si="407"/>
        <v/>
      </c>
      <c r="AJ124" s="91">
        <f t="shared" si="407"/>
        <v>0.38567376779782048</v>
      </c>
      <c r="AK124" s="91">
        <f t="shared" si="407"/>
        <v>-1.6053826327898348</v>
      </c>
      <c r="AL124" s="91">
        <f t="shared" si="407"/>
        <v>0.58894251401650488</v>
      </c>
      <c r="AM124" s="91">
        <f t="shared" si="407"/>
        <v>1.1602464937707668E-2</v>
      </c>
      <c r="AN124" s="91">
        <f t="shared" si="407"/>
        <v>0.37085191180873334</v>
      </c>
    </row>
    <row r="125" spans="1:40">
      <c r="A125" s="74"/>
      <c r="B125" s="242" t="str">
        <f>data0!A27</f>
        <v>U30</v>
      </c>
      <c r="C125" s="242" t="str">
        <f>data0!B27</f>
        <v>LO</v>
      </c>
      <c r="D125" s="242"/>
      <c r="E125" s="59" t="str">
        <f t="shared" ref="E125:E131" si="408">E103</f>
        <v>X</v>
      </c>
      <c r="F125" s="61">
        <f t="shared" si="211"/>
        <v>930.29619586268984</v>
      </c>
      <c r="G125" s="61">
        <f t="shared" si="212"/>
        <v>124.52680661447947</v>
      </c>
      <c r="H125" s="59">
        <f>E13</f>
        <v>928.5</v>
      </c>
      <c r="I125" s="168" t="str">
        <f>IF(I$54,$V$32*($Q$32*data0!F350+$R$32*data0!F351+$S$32*data0!F352+$T$32*data0!F353),"")</f>
        <v/>
      </c>
      <c r="J125" s="168" t="str">
        <f>IF(J$54,$V$32*($Q$32*data0!G350+$R$32*data0!G351+$S$32*data0!G352+$T$32*data0!G353),"")</f>
        <v/>
      </c>
      <c r="K125" s="168">
        <f>IF(K$54,$V$32*($Q$32*data0!H350+$R$32*data0!H351+$S$32*data0!H352+$T$32*data0!H353),"")</f>
        <v>931.294749002039</v>
      </c>
      <c r="L125" s="168">
        <f>IF(L$54,$V$32*($Q$32*data0!I350+$R$32*data0!I351+$S$32*data0!I352+$T$32*data0!I353),"")</f>
        <v>1070.6676285070448</v>
      </c>
      <c r="M125" s="168" t="str">
        <f>IF(M$54,$V$32*($Q$32*data0!J350+$R$32*data0!J351+$S$32*data0!J352+$T$32*data0!J353),"")</f>
        <v/>
      </c>
      <c r="N125" s="168">
        <f>IF(N$54,$V$32*($Q$32*data0!K350+$R$32*data0!K351+$S$32*data0!K352+$T$32*data0!K353),"")</f>
        <v>963.37409125705631</v>
      </c>
      <c r="O125" s="168">
        <f>IF(O$54,$V$32*($Q$32*data0!L350+$R$32*data0!L351+$S$32*data0!L352+$T$32*data0!L353),"")</f>
        <v>992.4850415230303</v>
      </c>
      <c r="P125" s="168" t="str">
        <f>IF(P$54,$V$32*($Q$32*data0!M350+$R$32*data0!M351+$S$32*data0!M352+$T$32*data0!M353),"")</f>
        <v/>
      </c>
      <c r="Q125" s="168">
        <f>IF(Q$54,$V$32*($Q$32*data0!N350+$R$32*data0!N351+$S$32*data0!N352+$T$32*data0!N353),"")</f>
        <v>874.51491247047522</v>
      </c>
      <c r="R125" s="168">
        <f>IF(R$54,$V$32*($Q$32*data0!O350+$R$32*data0!O351+$S$32*data0!O352+$T$32*data0!O353),"")</f>
        <v>877.44183124159781</v>
      </c>
      <c r="S125" s="168">
        <f>IF(S$54,$V$32*($Q$32*data0!P350+$R$32*data0!P351+$S$32*data0!P352+$T$32*data0!P353),"")</f>
        <v>748.81781043351282</v>
      </c>
      <c r="T125" s="168">
        <f>IF(T$54,$V$32*($Q$32*data0!Q350+$R$32*data0!Q351+$S$32*data0!Q352+$T$32*data0!Q353),"")</f>
        <v>932.1162013452489</v>
      </c>
      <c r="U125" s="168">
        <f>IF(U$54,$V$32*($Q$32*data0!R350+$R$32*data0!R351+$S$32*data0!R352+$T$32*data0!R353),"")</f>
        <v>785.8030371979163</v>
      </c>
      <c r="V125" s="168">
        <f>IF(V$54,$V$32*($Q$32*data0!S350+$R$32*data0!S351+$S$32*data0!S352+$T$32*data0!S353),"")</f>
        <v>848.73126325067608</v>
      </c>
      <c r="W125" s="168">
        <f>IF(W$54,$V$32*($Q$32*data0!T350+$R$32*data0!T351+$S$32*data0!T352+$T$32*data0!T353),"")</f>
        <v>829.12989501895822</v>
      </c>
      <c r="X125" s="168">
        <f>IF(X$54,$V$32*($Q$32*data0!U350+$R$32*data0!U351+$S$32*data0!U352+$T$32*data0!U353),"")</f>
        <v>750.10243225066813</v>
      </c>
      <c r="Y125" s="168">
        <f>IF(Y$54,$V$32*($Q$32*data0!V350+$R$32*data0!V351+$S$32*data0!V352+$T$32*data0!V353),"")</f>
        <v>980.26623914435379</v>
      </c>
      <c r="Z125" s="168">
        <f>IF(Z$54,$V$32*($Q$32*data0!W350+$R$32*data0!W351+$S$32*data0!W352+$T$32*data0!W353),"")</f>
        <v>1097.8684531861491</v>
      </c>
      <c r="AA125" s="168">
        <f>IF(AA$54,$V$32*($Q$32*data0!X350+$R$32*data0!X351+$S$32*data0!X352+$T$32*data0!X353),"")</f>
        <v>1077.2516970834254</v>
      </c>
      <c r="AB125" s="168">
        <f>IF(AB$54,$V$32*($Q$32*data0!Y350+$R$32*data0!Y351+$S$32*data0!Y352+$T$32*data0!Y353),"")</f>
        <v>1087.8496824201632</v>
      </c>
      <c r="AC125" s="168">
        <f>IF(AC$54,$V$32*($Q$32*data0!Z350+$R$32*data0!Z351+$S$32*data0!Z352+$T$32*data0!Z353),"")</f>
        <v>1131.7488375621929</v>
      </c>
      <c r="AD125" s="168">
        <f>IF(AD$54,$V$32*($Q$32*data0!AA350+$R$32*data0!AA351+$S$32*data0!AA352+$T$32*data0!AA353),"")</f>
        <v>875.53089079803578</v>
      </c>
      <c r="AE125" s="168">
        <f>IF(AE$54,$V$32*($Q$32*data0!AB350+$R$32*data0!AB351+$S$32*data0!AB352+$T$32*data0!AB353),"")</f>
        <v>989.18933689952394</v>
      </c>
      <c r="AF125" s="168">
        <f>IF(AF$54,$V$32*($Q$32*data0!AC350+$R$32*data0!AC351+$S$32*data0!AC352+$T$32*data0!AC353),"")</f>
        <v>1092.7660012055394</v>
      </c>
      <c r="AG125" s="168">
        <f>IF(AG$54,$V$32*($Q$32*data0!AD350+$R$32*data0!AD351+$S$32*data0!AD352+$T$32*data0!AD353),"")</f>
        <v>978.14186515144434</v>
      </c>
      <c r="AH125" s="168">
        <f>IF(AH$54,$V$32*($Q$32*data0!AE350+$R$32*data0!AE351+$S$32*data0!AE352+$T$32*data0!AE353),"")</f>
        <v>949.08866756737837</v>
      </c>
      <c r="AI125" s="168" t="str">
        <f>IF(AI$54,$V$32*($Q$32*data0!AF350+$R$32*data0!AF351+$S$32*data0!AF352+$T$32*data0!AF353),"")</f>
        <v/>
      </c>
      <c r="AJ125" s="168">
        <f>IF(AJ$54,$V$32*($Q$32*data0!AG350+$R$32*data0!AG351+$S$32*data0!AG352+$T$32*data0!AG353),"")</f>
        <v>794.29662070005452</v>
      </c>
      <c r="AK125" s="168">
        <f>IF(AK$54,$V$32*($Q$32*data0!AH350+$R$32*data0!AH351+$S$32*data0!AH352+$T$32*data0!AH353),"")</f>
        <v>977.60811320990035</v>
      </c>
      <c r="AL125" s="168">
        <f>IF(AL$54,$V$32*($Q$32*data0!AI350+$R$32*data0!AI351+$S$32*data0!AI352+$T$32*data0!AI353),"")</f>
        <v>685.31099120362842</v>
      </c>
      <c r="AM125" s="168">
        <f>IF(AM$54,$V$32*($Q$32*data0!AJ350+$R$32*data0!AJ351+$S$32*data0!AJ352+$T$32*data0!AJ353),"")</f>
        <v>1027.8175899637231</v>
      </c>
      <c r="AN125" s="168">
        <f>IF(AN$54,$V$32*($Q$32*data0!AK350+$R$32*data0!AK351+$S$32*data0!AK352+$T$32*data0!AK353),"")</f>
        <v>768.78340869889814</v>
      </c>
    </row>
    <row r="126" spans="1:40">
      <c r="A126" s="74"/>
      <c r="B126" s="242"/>
      <c r="C126" s="242"/>
      <c r="D126" s="242"/>
      <c r="E126" s="59" t="str">
        <f t="shared" si="408"/>
        <v>Y</v>
      </c>
      <c r="F126" s="61">
        <f t="shared" si="211"/>
        <v>880.97990746285961</v>
      </c>
      <c r="G126" s="61">
        <f t="shared" si="212"/>
        <v>116.93190316439912</v>
      </c>
      <c r="H126" s="59">
        <f>F13</f>
        <v>852.5</v>
      </c>
      <c r="I126" s="168" t="str">
        <f>IF(I$54,$V$32*($Q$33*data0!F350+$R$33*data0!F351+$S$33*data0!F352+$T$33*data0!F353),"")</f>
        <v/>
      </c>
      <c r="J126" s="168" t="str">
        <f>IF(J$54,$V$32*($Q$33*data0!G350+$R$33*data0!G351+$S$33*data0!G352+$T$33*data0!G353),"")</f>
        <v/>
      </c>
      <c r="K126" s="168">
        <f>IF(K$54,$V$32*($Q$33*data0!H350+$R$33*data0!H351+$S$33*data0!H352+$T$33*data0!H353),"")</f>
        <v>882.60997096744393</v>
      </c>
      <c r="L126" s="168">
        <f>IF(L$54,$V$32*($Q$33*data0!I350+$R$33*data0!I351+$S$33*data0!I352+$T$33*data0!I353),"")</f>
        <v>1014.3420541426344</v>
      </c>
      <c r="M126" s="168" t="str">
        <f>IF(M$54,$V$32*($Q$33*data0!J350+$R$33*data0!J351+$S$33*data0!J352+$T$33*data0!J353),"")</f>
        <v/>
      </c>
      <c r="N126" s="168">
        <f>IF(N$54,$V$32*($Q$33*data0!K350+$R$33*data0!K351+$S$33*data0!K352+$T$33*data0!K353),"")</f>
        <v>911.18330515730906</v>
      </c>
      <c r="O126" s="168">
        <f>IF(O$54,$V$32*($Q$33*data0!L350+$R$33*data0!L351+$S$33*data0!L352+$T$33*data0!L353),"")</f>
        <v>940.46031719473115</v>
      </c>
      <c r="P126" s="168" t="str">
        <f>IF(P$54,$V$32*($Q$33*data0!M350+$R$33*data0!M351+$S$33*data0!M352+$T$33*data0!M353),"")</f>
        <v/>
      </c>
      <c r="Q126" s="168">
        <f>IF(Q$54,$V$32*($Q$33*data0!N350+$R$33*data0!N351+$S$33*data0!N352+$T$33*data0!N353),"")</f>
        <v>831.4799295691696</v>
      </c>
      <c r="R126" s="168">
        <f>IF(R$54,$V$32*($Q$33*data0!O350+$R$33*data0!O351+$S$33*data0!O352+$T$33*data0!O353),"")</f>
        <v>829.67516527623093</v>
      </c>
      <c r="S126" s="168">
        <f>IF(S$54,$V$32*($Q$33*data0!P350+$R$33*data0!P351+$S$33*data0!P352+$T$33*data0!P353),"")</f>
        <v>712.31042817570187</v>
      </c>
      <c r="T126" s="168">
        <f>IF(T$54,$V$32*($Q$33*data0!Q350+$R$33*data0!Q351+$S$33*data0!Q352+$T$33*data0!Q353),"")</f>
        <v>881.50742366453994</v>
      </c>
      <c r="U126" s="168">
        <f>IF(U$54,$V$32*($Q$33*data0!R350+$R$33*data0!R351+$S$33*data0!R352+$T$33*data0!R353),"")</f>
        <v>744.29261826478523</v>
      </c>
      <c r="V126" s="168">
        <f>IF(V$54,$V$32*($Q$33*data0!S350+$R$33*data0!S351+$S$33*data0!S352+$T$33*data0!S353),"")</f>
        <v>803.93727758563205</v>
      </c>
      <c r="W126" s="168">
        <f>IF(W$54,$V$32*($Q$33*data0!T350+$R$33*data0!T351+$S$33*data0!T352+$T$33*data0!T353),"")</f>
        <v>787.42930776424168</v>
      </c>
      <c r="X126" s="168">
        <f>IF(X$54,$V$32*($Q$33*data0!U350+$R$33*data0!U351+$S$33*data0!U352+$T$33*data0!U353),"")</f>
        <v>710.18808251560404</v>
      </c>
      <c r="Y126" s="168">
        <f>IF(Y$54,$V$32*($Q$33*data0!V350+$R$33*data0!V351+$S$33*data0!V352+$T$33*data0!V353),"")</f>
        <v>925.14709709364604</v>
      </c>
      <c r="Z126" s="168">
        <f>IF(Z$54,$V$32*($Q$33*data0!W350+$R$33*data0!W351+$S$33*data0!W352+$T$33*data0!W353),"")</f>
        <v>1034.6200700443771</v>
      </c>
      <c r="AA126" s="168">
        <f>IF(AA$54,$V$32*($Q$33*data0!X350+$R$33*data0!X351+$S$33*data0!X352+$T$33*data0!X353),"")</f>
        <v>1018.5807446299337</v>
      </c>
      <c r="AB126" s="168">
        <f>IF(AB$54,$V$32*($Q$33*data0!Y350+$R$33*data0!Y351+$S$33*data0!Y352+$T$33*data0!Y353),"")</f>
        <v>1031.8216064695464</v>
      </c>
      <c r="AC126" s="168">
        <f>IF(AC$54,$V$32*($Q$33*data0!Z350+$R$33*data0!Z351+$S$33*data0!Z352+$T$33*data0!Z353),"")</f>
        <v>1067.6404695582523</v>
      </c>
      <c r="AD126" s="168">
        <f>IF(AD$54,$V$32*($Q$33*data0!AA350+$R$33*data0!AA351+$S$33*data0!AA352+$T$33*data0!AA353),"")</f>
        <v>827.00161389438392</v>
      </c>
      <c r="AE126" s="168">
        <f>IF(AE$54,$V$32*($Q$33*data0!AB350+$R$33*data0!AB351+$S$33*data0!AB352+$T$33*data0!AB353),"")</f>
        <v>936.74607329115861</v>
      </c>
      <c r="AF126" s="168">
        <f>IF(AF$54,$V$32*($Q$33*data0!AC350+$R$33*data0!AC351+$S$33*data0!AC352+$T$33*data0!AC353),"")</f>
        <v>1029.3833655099136</v>
      </c>
      <c r="AG126" s="168">
        <f>IF(AG$54,$V$32*($Q$33*data0!AD350+$R$33*data0!AD351+$S$33*data0!AD352+$T$33*data0!AD353),"")</f>
        <v>932.82815136919714</v>
      </c>
      <c r="AH126" s="168">
        <f>IF(AH$54,$V$32*($Q$33*data0!AE350+$R$33*data0!AE351+$S$33*data0!AE352+$T$33*data0!AE353),"")</f>
        <v>904.31256851849309</v>
      </c>
      <c r="AI126" s="168" t="str">
        <f>IF(AI$54,$V$32*($Q$33*data0!AF350+$R$33*data0!AF351+$S$33*data0!AF352+$T$33*data0!AF353),"")</f>
        <v/>
      </c>
      <c r="AJ126" s="168">
        <f>IF(AJ$54,$V$32*($Q$33*data0!AG350+$R$33*data0!AG351+$S$33*data0!AG352+$T$33*data0!AG353),"")</f>
        <v>750.00900023012605</v>
      </c>
      <c r="AK126" s="168">
        <f>IF(AK$54,$V$32*($Q$33*data0!AH350+$R$33*data0!AH351+$S$33*data0!AH352+$T$33*data0!AH353),"")</f>
        <v>930.11400192407473</v>
      </c>
      <c r="AL126" s="168">
        <f>IF(AL$54,$V$32*($Q$33*data0!AI350+$R$33*data0!AI351+$S$33*data0!AI352+$T$33*data0!AI353),"")</f>
        <v>649.66251775370904</v>
      </c>
      <c r="AM126" s="168">
        <f>IF(AM$54,$V$32*($Q$33*data0!AJ350+$R$33*data0!AJ351+$S$33*data0!AJ352+$T$33*data0!AJ353),"")</f>
        <v>969.5401612047242</v>
      </c>
      <c r="AN126" s="168">
        <f>IF(AN$54,$V$32*($Q$33*data0!AK350+$R$33*data0!AK351+$S$33*data0!AK352+$T$33*data0!AK353),"")</f>
        <v>729.63417972764614</v>
      </c>
    </row>
    <row r="127" spans="1:40">
      <c r="A127" s="74"/>
      <c r="B127" s="242"/>
      <c r="C127" s="242"/>
      <c r="D127" s="242"/>
      <c r="E127" s="59" t="str">
        <f t="shared" si="408"/>
        <v>Z</v>
      </c>
      <c r="F127" s="61">
        <f t="shared" si="211"/>
        <v>267.36532142964035</v>
      </c>
      <c r="G127" s="61">
        <f t="shared" si="212"/>
        <v>34.577471003917367</v>
      </c>
      <c r="H127" s="59">
        <f>G13</f>
        <v>252.5</v>
      </c>
      <c r="I127" s="168" t="str">
        <f>IF(I$54,$V$32*($Q$34*data0!F350+$R$34*data0!F351+$S$34*data0!F352+$T$34*data0!F353),"")</f>
        <v/>
      </c>
      <c r="J127" s="168" t="str">
        <f>IF(J$54,$V$32*($Q$34*data0!G350+$R$34*data0!G351+$S$34*data0!G352+$T$34*data0!G353),"")</f>
        <v/>
      </c>
      <c r="K127" s="168">
        <f>IF(K$54,$V$32*($Q$34*data0!H350+$R$34*data0!H351+$S$34*data0!H352+$T$34*data0!H353),"")</f>
        <v>272.76887150466439</v>
      </c>
      <c r="L127" s="168">
        <f>IF(L$54,$V$32*($Q$34*data0!I350+$R$34*data0!I351+$S$34*data0!I352+$T$34*data0!I353),"")</f>
        <v>310.79761583251053</v>
      </c>
      <c r="M127" s="168" t="str">
        <f>IF(M$54,$V$32*($Q$34*data0!J350+$R$34*data0!J351+$S$34*data0!J352+$T$34*data0!J353),"")</f>
        <v/>
      </c>
      <c r="N127" s="168">
        <f>IF(N$54,$V$32*($Q$34*data0!K350+$R$34*data0!K351+$S$34*data0!K352+$T$34*data0!K353),"")</f>
        <v>270.64542156779305</v>
      </c>
      <c r="O127" s="168">
        <f>IF(O$54,$V$32*($Q$34*data0!L350+$R$34*data0!L351+$S$34*data0!L352+$T$34*data0!L353),"")</f>
        <v>289.52365920358466</v>
      </c>
      <c r="P127" s="168" t="str">
        <f>IF(P$54,$V$32*($Q$34*data0!M350+$R$34*data0!M351+$S$34*data0!M352+$T$34*data0!M353),"")</f>
        <v/>
      </c>
      <c r="Q127" s="168">
        <f>IF(Q$54,$V$32*($Q$34*data0!N350+$R$34*data0!N351+$S$34*data0!N352+$T$34*data0!N353),"")</f>
        <v>272.11257368836414</v>
      </c>
      <c r="R127" s="168">
        <f>IF(R$54,$V$32*($Q$34*data0!O350+$R$34*data0!O351+$S$34*data0!O352+$T$34*data0!O353),"")</f>
        <v>245.05631551154406</v>
      </c>
      <c r="S127" s="168">
        <f>IF(S$54,$V$32*($Q$34*data0!P350+$R$34*data0!P351+$S$34*data0!P352+$T$34*data0!P353),"")</f>
        <v>234.52020740048877</v>
      </c>
      <c r="T127" s="168">
        <f>IF(T$54,$V$32*($Q$34*data0!Q350+$R$34*data0!Q351+$S$34*data0!Q352+$T$34*data0!Q353),"")</f>
        <v>259.29455680663261</v>
      </c>
      <c r="U127" s="168">
        <f>IF(U$54,$V$32*($Q$34*data0!R350+$R$34*data0!R351+$S$34*data0!R352+$T$34*data0!R353),"")</f>
        <v>225.7200888018638</v>
      </c>
      <c r="V127" s="168">
        <f>IF(V$54,$V$32*($Q$34*data0!S350+$R$34*data0!S351+$S$34*data0!S352+$T$34*data0!S353),"")</f>
        <v>245.35554684797506</v>
      </c>
      <c r="W127" s="168">
        <f>IF(W$54,$V$32*($Q$34*data0!T350+$R$34*data0!T351+$S$34*data0!T352+$T$34*data0!T353),"")</f>
        <v>251.16751144307338</v>
      </c>
      <c r="X127" s="168">
        <f>IF(X$54,$V$32*($Q$34*data0!U350+$R$34*data0!U351+$S$34*data0!U352+$T$34*data0!U353),"")</f>
        <v>214.53100197324966</v>
      </c>
      <c r="Y127" s="168">
        <f>IF(Y$54,$V$32*($Q$34*data0!V350+$R$34*data0!V351+$S$34*data0!V352+$T$34*data0!V353),"")</f>
        <v>261.58620345479108</v>
      </c>
      <c r="Z127" s="168">
        <f>IF(Z$54,$V$32*($Q$34*data0!W350+$R$34*data0!W351+$S$34*data0!W352+$T$34*data0!W353),"")</f>
        <v>283.6917950596594</v>
      </c>
      <c r="AA127" s="168">
        <f>IF(AA$54,$V$32*($Q$34*data0!X350+$R$34*data0!X351+$S$34*data0!X352+$T$34*data0!X353),"")</f>
        <v>299.27706816234991</v>
      </c>
      <c r="AB127" s="168">
        <f>IF(AB$54,$V$32*($Q$34*data0!Y350+$R$34*data0!Y351+$S$34*data0!Y352+$T$34*data0!Y353),"")</f>
        <v>324.32775892085181</v>
      </c>
      <c r="AC127" s="168">
        <f>IF(AC$54,$V$32*($Q$34*data0!Z350+$R$34*data0!Z351+$S$34*data0!Z352+$T$34*data0!Z353),"")</f>
        <v>299.51537564558993</v>
      </c>
      <c r="AD127" s="168">
        <f>IF(AD$54,$V$32*($Q$34*data0!AA350+$R$34*data0!AA351+$S$34*data0!AA352+$T$34*data0!AA353),"")</f>
        <v>239.00378301295876</v>
      </c>
      <c r="AE127" s="168">
        <f>IF(AE$54,$V$32*($Q$34*data0!AB350+$R$34*data0!AB351+$S$34*data0!AB352+$T$34*data0!AB353),"")</f>
        <v>285.97004592064707</v>
      </c>
      <c r="AF127" s="168">
        <f>IF(AF$54,$V$32*($Q$34*data0!AC350+$R$34*data0!AC351+$S$34*data0!AC352+$T$34*data0!AC353),"")</f>
        <v>280.61086076423345</v>
      </c>
      <c r="AG127" s="168">
        <f>IF(AG$54,$V$32*($Q$34*data0!AD350+$R$34*data0!AD351+$S$34*data0!AD352+$T$34*data0!AD353),"")</f>
        <v>321.74389246877047</v>
      </c>
      <c r="AH127" s="168">
        <f>IF(AH$54,$V$32*($Q$34*data0!AE350+$R$34*data0!AE351+$S$34*data0!AE352+$T$34*data0!AE353),"")</f>
        <v>306.90314951098696</v>
      </c>
      <c r="AI127" s="168" t="str">
        <f>IF(AI$54,$V$32*($Q$34*data0!AF350+$R$34*data0!AF351+$S$34*data0!AF352+$T$34*data0!AF353),"")</f>
        <v/>
      </c>
      <c r="AJ127" s="168">
        <f>IF(AJ$54,$V$32*($Q$34*data0!AG350+$R$34*data0!AG351+$S$34*data0!AG352+$T$34*data0!AG353),"")</f>
        <v>214.39622433695163</v>
      </c>
      <c r="AK127" s="168">
        <f>IF(AK$54,$V$32*($Q$34*data0!AH350+$R$34*data0!AH351+$S$34*data0!AH352+$T$34*data0!AH353),"")</f>
        <v>307.87512514178513</v>
      </c>
      <c r="AL127" s="168">
        <f>IF(AL$54,$V$32*($Q$34*data0!AI350+$R$34*data0!AI351+$S$34*data0!AI352+$T$34*data0!AI353),"")</f>
        <v>200.472129104109</v>
      </c>
      <c r="AM127" s="168">
        <f>IF(AM$54,$V$32*($Q$34*data0!AJ350+$R$34*data0!AJ351+$S$34*data0!AJ352+$T$34*data0!AJ353),"")</f>
        <v>271.38800885365191</v>
      </c>
      <c r="AN127" s="168">
        <f>IF(AN$54,$V$32*($Q$34*data0!AK350+$R$34*data0!AK351+$S$34*data0!AK352+$T$34*data0!AK353),"")</f>
        <v>230.60888766121025</v>
      </c>
    </row>
    <row r="128" spans="1:40">
      <c r="A128" s="74"/>
      <c r="B128" s="242"/>
      <c r="C128" s="242" t="str">
        <f>data0!B33</f>
        <v>HI</v>
      </c>
      <c r="D128" s="242"/>
      <c r="E128" s="59" t="str">
        <f t="shared" si="408"/>
        <v>X</v>
      </c>
      <c r="F128" s="61">
        <f t="shared" si="211"/>
        <v>1009.5504326831301</v>
      </c>
      <c r="G128" s="61">
        <f t="shared" si="212"/>
        <v>139.46327554431599</v>
      </c>
      <c r="H128" s="242"/>
      <c r="I128" s="168" t="str">
        <f>IF(I$54,$V$33*($Q$32*data0!F354+$R$32*data0!F355+$S$32*data0!F356+$T$32*data0!F357),"")</f>
        <v/>
      </c>
      <c r="J128" s="168" t="str">
        <f>IF(J$54,$V$33*($Q$32*data0!G354+$R$32*data0!G355+$S$32*data0!G356+$T$32*data0!G357),"")</f>
        <v/>
      </c>
      <c r="K128" s="168">
        <f>IF(K$54,$V$33*($Q$32*data0!H354+$R$32*data0!H355+$S$32*data0!H356+$T$32*data0!H357),"")</f>
        <v>1035.5596673269908</v>
      </c>
      <c r="L128" s="168">
        <f>IF(L$54,$V$33*($Q$32*data0!I354+$R$32*data0!I355+$S$32*data0!I356+$T$32*data0!I357),"")</f>
        <v>1156.7297261632052</v>
      </c>
      <c r="M128" s="168" t="str">
        <f>IF(M$54,$V$33*($Q$32*data0!J354+$R$32*data0!J355+$S$32*data0!J356+$T$32*data0!J357),"")</f>
        <v/>
      </c>
      <c r="N128" s="168">
        <f>IF(N$54,$V$33*($Q$32*data0!K354+$R$32*data0!K355+$S$32*data0!K356+$T$32*data0!K357),"")</f>
        <v>1038.0018744215906</v>
      </c>
      <c r="O128" s="168">
        <f>IF(O$54,$V$33*($Q$32*data0!L354+$R$32*data0!L355+$S$32*data0!L356+$T$32*data0!L357),"")</f>
        <v>1038.0018744215906</v>
      </c>
      <c r="P128" s="168" t="str">
        <f>IF(P$54,$V$33*($Q$32*data0!M354+$R$32*data0!M355+$S$32*data0!M356+$T$32*data0!M357),"")</f>
        <v/>
      </c>
      <c r="Q128" s="168">
        <f>IF(Q$54,$V$33*($Q$32*data0!N354+$R$32*data0!N355+$S$32*data0!N356+$T$32*data0!N357),"")</f>
        <v>1009.3634088558903</v>
      </c>
      <c r="R128" s="168">
        <f>IF(R$54,$V$33*($Q$32*data0!O354+$R$32*data0!O355+$S$32*data0!O356+$T$32*data0!O357),"")</f>
        <v>1018.6003558269316</v>
      </c>
      <c r="S128" s="168">
        <f>IF(S$54,$V$33*($Q$32*data0!P354+$R$32*data0!P355+$S$32*data0!P356+$T$32*data0!P357),"")</f>
        <v>897.43029699071735</v>
      </c>
      <c r="T128" s="168">
        <f>IF(T$54,$V$33*($Q$32*data0!Q354+$R$32*data0!Q355+$S$32*data0!Q356+$T$32*data0!Q357),"")</f>
        <v>951.15885307191388</v>
      </c>
      <c r="U128" s="168">
        <f>IF(U$54,$V$33*($Q$32*data0!R354+$R$32*data0!R355+$S$32*data0!R356+$T$32*data0!R357),"")</f>
        <v>829.98879423569906</v>
      </c>
      <c r="V128" s="168">
        <f>IF(V$54,$V$33*($Q$32*data0!S354+$R$32*data0!S355+$S$32*data0!S356+$T$32*data0!S357),"")</f>
        <v>919.27402267997593</v>
      </c>
      <c r="W128" s="168">
        <f>IF(W$54,$V$33*($Q$32*data0!T354+$R$32*data0!T355+$S$32*data0!T356+$T$32*data0!T357),"")</f>
        <v>920.07818041161363</v>
      </c>
      <c r="X128" s="168">
        <f>IF(X$54,$V$33*($Q$32*data0!U354+$R$32*data0!U355+$S$32*data0!U356+$T$32*data0!U357),"")</f>
        <v>781.14465234370221</v>
      </c>
      <c r="Y128" s="168">
        <f>IF(Y$54,$V$33*($Q$32*data0!V354+$R$32*data0!V355+$S$32*data0!V356+$T$32*data0!V357),"")</f>
        <v>1050.4851862188696</v>
      </c>
      <c r="Z128" s="168">
        <f>IF(Z$54,$V$33*($Q$32*data0!W354+$R$32*data0!W355+$S$32*data0!W356+$T$32*data0!W357),"")</f>
        <v>1188.6145565551431</v>
      </c>
      <c r="AA128" s="168">
        <f>IF(AA$54,$V$33*($Q$32*data0!X354+$R$32*data0!X355+$S$32*data0!X356+$T$32*data0!X357),"")</f>
        <v>1038.0018744215906</v>
      </c>
      <c r="AB128" s="168">
        <f>IF(AB$54,$V$33*($Q$32*data0!Y354+$R$32*data0!Y355+$S$32*data0!Y356+$T$32*data0!Y357),"")</f>
        <v>1314.2606150941378</v>
      </c>
      <c r="AC128" s="168">
        <f>IF(AC$54,$V$33*($Q$32*data0!Z354+$R$32*data0!Z355+$S$32*data0!Z356+$T$32*data0!Z357),"")</f>
        <v>1188.6145565551431</v>
      </c>
      <c r="AD128" s="168">
        <f>IF(AD$54,$V$33*($Q$32*data0!AA354+$R$32*data0!AA355+$S$32*data0!AA356+$T$32*data0!AA357),"")</f>
        <v>916.83181558537615</v>
      </c>
      <c r="AE128" s="168">
        <f>IF(AE$54,$V$33*($Q$32*data0!AB354+$R$32*data0!AB355+$S$32*data0!AB356+$T$32*data0!AB357),"")</f>
        <v>1086.0418585819496</v>
      </c>
      <c r="AF128" s="168">
        <f>IF(AF$54,$V$33*($Q$32*data0!AC354+$R$32*data0!AC355+$S$32*data0!AC356+$T$32*data0!AC357),"")</f>
        <v>1137.3282075685468</v>
      </c>
      <c r="AG128" s="168">
        <f>IF(AG$54,$V$33*($Q$32*data0!AD354+$R$32*data0!AD355+$S$32*data0!AD356+$T$32*data0!AD357),"")</f>
        <v>999.32230415321089</v>
      </c>
      <c r="AH128" s="168">
        <f>IF(AH$54,$V$33*($Q$32*data0!AE354+$R$32*data0!AE355+$S$32*data0!AE356+$T$32*data0!AE357),"")</f>
        <v>1128.0912605975047</v>
      </c>
      <c r="AI128" s="168" t="str">
        <f>IF(AI$54,$V$33*($Q$32*data0!AF354+$R$32*data0!AF355+$S$32*data0!AF356+$T$32*data0!AF357),"")</f>
        <v/>
      </c>
      <c r="AJ128" s="168">
        <f>IF(AJ$54,$V$33*($Q$32*data0!AG354+$R$32*data0!AG355+$S$32*data0!AG356+$T$32*data0!AG357),"")</f>
        <v>849.39031283035786</v>
      </c>
      <c r="AK128" s="168">
        <f>IF(AK$54,$V$33*($Q$32*data0!AH354+$R$32*data0!AH355+$S$32*data0!AH356+$T$32*data0!AH357),"")</f>
        <v>1128.0912605975047</v>
      </c>
      <c r="AL128" s="168">
        <f>IF(AL$54,$V$33*($Q$32*data0!AI354+$R$32*data0!AI355+$S$32*data0!AI356+$T$32*data0!AI357),"")</f>
        <v>730.66246108874327</v>
      </c>
      <c r="AM128" s="168">
        <f>IF(AM$54,$V$33*($Q$32*data0!AJ354+$R$32*data0!AJ355+$S$32*data0!AJ356+$T$32*data0!AJ357),"")</f>
        <v>1089.2882234081874</v>
      </c>
      <c r="AN128" s="168">
        <f>IF(AN$54,$V$33*($Q$32*data0!AK354+$R$32*data0!AK355+$S$32*data0!AK356+$T$32*data0!AK357),"")</f>
        <v>817.50548243842002</v>
      </c>
    </row>
    <row r="129" spans="1:40">
      <c r="A129" s="74"/>
      <c r="B129" s="242"/>
      <c r="C129" s="242"/>
      <c r="D129" s="242"/>
      <c r="E129" s="59" t="str">
        <f t="shared" si="408"/>
        <v>Y</v>
      </c>
      <c r="F129" s="61">
        <f t="shared" si="211"/>
        <v>954.7341945870462</v>
      </c>
      <c r="G129" s="61">
        <f t="shared" si="212"/>
        <v>131.10880032872223</v>
      </c>
      <c r="H129" s="242"/>
      <c r="I129" s="168" t="str">
        <f>IF(I$54,$V$33*($Q$33*data0!F354+$R$33*data0!F355+$S$33*data0!F356+$T$33*data0!F357),"")</f>
        <v/>
      </c>
      <c r="J129" s="168" t="str">
        <f>IF(J$54,$V$33*($Q$33*data0!G354+$R$33*data0!G355+$S$33*data0!G356+$T$33*data0!G357),"")</f>
        <v/>
      </c>
      <c r="K129" s="168">
        <f>IF(K$54,$V$33*($Q$33*data0!H354+$R$33*data0!H355+$S$33*data0!H356+$T$33*data0!H357),"")</f>
        <v>979.42781206049085</v>
      </c>
      <c r="L129" s="168">
        <f>IF(L$54,$V$33*($Q$33*data0!I354+$R$33*data0!I355+$S$33*data0!I356+$T$33*data0!I357),"")</f>
        <v>1092.7408281416472</v>
      </c>
      <c r="M129" s="168" t="str">
        <f>IF(M$54,$V$33*($Q$33*data0!J354+$R$33*data0!J355+$S$33*data0!J356+$T$33*data0!J357),"")</f>
        <v/>
      </c>
      <c r="N129" s="168">
        <f>IF(N$54,$V$33*($Q$33*data0!K354+$R$33*data0!K355+$S$33*data0!K356+$T$33*data0!K357),"")</f>
        <v>981.64815774993099</v>
      </c>
      <c r="O129" s="168">
        <f>IF(O$54,$V$33*($Q$33*data0!L354+$R$33*data0!L355+$S$33*data0!L356+$T$33*data0!L357),"")</f>
        <v>981.64815774993099</v>
      </c>
      <c r="P129" s="168" t="str">
        <f>IF(P$54,$V$33*($Q$33*data0!M354+$R$33*data0!M355+$S$33*data0!M356+$T$33*data0!M357),"")</f>
        <v/>
      </c>
      <c r="Q129" s="168">
        <f>IF(Q$54,$V$33*($Q$33*data0!N354+$R$33*data0!N355+$S$33*data0!N356+$T$33*data0!N357),"")</f>
        <v>958.81631042970196</v>
      </c>
      <c r="R129" s="168">
        <f>IF(R$54,$V$33*($Q$33*data0!O354+$R$33*data0!O355+$S$33*data0!O356+$T$33*data0!O357),"")</f>
        <v>960.83137595330891</v>
      </c>
      <c r="S129" s="168">
        <f>IF(S$54,$V$33*($Q$33*data0!P354+$R$33*data0!P355+$S$33*data0!P356+$T$33*data0!P357),"")</f>
        <v>847.5183598721527</v>
      </c>
      <c r="T129" s="168">
        <f>IF(T$54,$V$33*($Q$33*data0!Q354+$R$33*data0!Q355+$S$33*data0!Q356+$T$33*data0!Q357),"")</f>
        <v>896.36596503983606</v>
      </c>
      <c r="U129" s="168">
        <f>IF(U$54,$V$33*($Q$33*data0!R354+$R$33*data0!R355+$S$33*data0!R356+$T$33*data0!R357),"")</f>
        <v>783.05294895867951</v>
      </c>
      <c r="V129" s="168">
        <f>IF(V$54,$V$33*($Q$33*data0!S354+$R$33*data0!S355+$S$33*data0!S356+$T$33*data0!S357),"")</f>
        <v>870.5554873582148</v>
      </c>
      <c r="W129" s="168">
        <f>IF(W$54,$V$33*($Q$33*data0!T354+$R$33*data0!T355+$S$33*data0!T356+$T$33*data0!T357),"")</f>
        <v>871.31377203016689</v>
      </c>
      <c r="X129" s="168">
        <f>IF(X$54,$V$33*($Q$33*data0!U354+$R$33*data0!U355+$S$33*data0!U356+$T$33*data0!U357),"")</f>
        <v>738.64603516987643</v>
      </c>
      <c r="Y129" s="168">
        <f>IF(Y$54,$V$33*($Q$33*data0!V354+$R$33*data0!V355+$S$33*data0!V356+$T$33*data0!V357),"")</f>
        <v>986.64185363493004</v>
      </c>
      <c r="Z129" s="168">
        <f>IF(Z$54,$V$33*($Q$33*data0!W354+$R$33*data0!W355+$S$33*data0!W356+$T$33*data0!W357),"")</f>
        <v>1118.5513058232682</v>
      </c>
      <c r="AA129" s="168">
        <f>IF(AA$54,$V$33*($Q$33*data0!X354+$R$33*data0!X355+$S$33*data0!X356+$T$33*data0!X357),"")</f>
        <v>981.64815774993099</v>
      </c>
      <c r="AB129" s="168">
        <f>IF(AB$54,$V$33*($Q$33*data0!Y354+$R$33*data0!Y355+$S$33*data0!Y356+$T$33*data0!Y357),"")</f>
        <v>1245.467062126608</v>
      </c>
      <c r="AC129" s="168">
        <f>IF(AC$54,$V$33*($Q$33*data0!Z354+$R$33*data0!Z355+$S$33*data0!Z356+$T$33*data0!Z357),"")</f>
        <v>1118.5513058232682</v>
      </c>
      <c r="AD129" s="168">
        <f>IF(AD$54,$V$33*($Q$33*data0!AA354+$R$33*data0!AA355+$S$33*data0!AA356+$T$33*data0!AA357),"")</f>
        <v>868.33514166877478</v>
      </c>
      <c r="AE129" s="168">
        <f>IF(AE$54,$V$33*($Q$33*data0!AB354+$R$33*data0!AB355+$S$33*data0!AB356+$T$33*data0!AB357),"")</f>
        <v>1025.2967868667818</v>
      </c>
      <c r="AF129" s="168">
        <f>IF(AF$54,$V$33*($Q$33*data0!AC354+$R$33*data0!AC355+$S$33*data0!AC356+$T$33*data0!AC357),"")</f>
        <v>1071.9240463450253</v>
      </c>
      <c r="AG129" s="168">
        <f>IF(AG$54,$V$33*($Q$33*data0!AD354+$R$33*data0!AD355+$S$33*data0!AD356+$T$33*data0!AD357),"")</f>
        <v>956.04296023414292</v>
      </c>
      <c r="AH129" s="168">
        <f>IF(AH$54,$V$33*($Q$33*data0!AE354+$R$33*data0!AE355+$S$33*data0!AE356+$T$33*data0!AE357),"")</f>
        <v>1069.9089808214183</v>
      </c>
      <c r="AI129" s="168" t="str">
        <f>IF(AI$54,$V$33*($Q$33*data0!AF354+$R$33*data0!AF355+$S$33*data0!AF356+$T$33*data0!AF357),"")</f>
        <v/>
      </c>
      <c r="AJ129" s="168">
        <f>IF(AJ$54,$V$33*($Q$33*data0!AG354+$R$33*data0!AG355+$S$33*data0!AG356+$T$33*data0!AG357),"")</f>
        <v>803.86973075530159</v>
      </c>
      <c r="AK129" s="168">
        <f>IF(AK$54,$V$33*($Q$33*data0!AH354+$R$33*data0!AH355+$S$33*data0!AH356+$T$33*data0!AH357),"")</f>
        <v>1069.9089808214183</v>
      </c>
      <c r="AL129" s="168">
        <f>IF(AL$54,$V$33*($Q$33*data0!AI354+$R$33*data0!AI355+$S$33*data0!AI356+$T$33*data0!AI357),"")</f>
        <v>692.77706036358529</v>
      </c>
      <c r="AM129" s="168">
        <f>IF(AM$54,$V$33*($Q$33*data0!AJ354+$R$33*data0!AJ355+$S$33*data0!AJ356+$T$33*data0!AJ357),"")</f>
        <v>1028.2754172281741</v>
      </c>
      <c r="AN129" s="168">
        <f>IF(AN$54,$V$33*($Q$33*data0!AK354+$R$33*data0!AK355+$S$33*data0!AK356+$T$33*data0!AK357),"")</f>
        <v>778.05925307368045</v>
      </c>
    </row>
    <row r="130" spans="1:40">
      <c r="A130" s="74"/>
      <c r="B130" s="242"/>
      <c r="C130" s="242"/>
      <c r="D130" s="242"/>
      <c r="E130" s="59" t="str">
        <f t="shared" si="408"/>
        <v>Z</v>
      </c>
      <c r="F130" s="61">
        <f t="shared" si="211"/>
        <v>282.81233607748976</v>
      </c>
      <c r="G130" s="61">
        <f t="shared" si="212"/>
        <v>40.838809048660053</v>
      </c>
      <c r="H130" s="242"/>
      <c r="I130" s="168" t="str">
        <f>IF(I$54,$V$33*($Q$34*data0!F354+$R$34*data0!F355+$S$34*data0!F356+$T$34*data0!F357),"")</f>
        <v/>
      </c>
      <c r="J130" s="168" t="str">
        <f>IF(J$54,$V$33*($Q$34*data0!G354+$R$34*data0!G355+$S$34*data0!G356+$T$34*data0!G357),"")</f>
        <v/>
      </c>
      <c r="K130" s="168">
        <f>IF(K$54,$V$33*($Q$34*data0!H354+$R$34*data0!H355+$S$34*data0!H356+$T$34*data0!H357),"")</f>
        <v>291.25577866601907</v>
      </c>
      <c r="L130" s="168">
        <f>IF(L$54,$V$33*($Q$34*data0!I354+$R$34*data0!I355+$S$34*data0!I356+$T$34*data0!I357),"")</f>
        <v>317.55791996515421</v>
      </c>
      <c r="M130" s="168" t="str">
        <f>IF(M$54,$V$33*($Q$34*data0!J354+$R$34*data0!J355+$S$34*data0!J356+$T$34*data0!J357),"")</f>
        <v/>
      </c>
      <c r="N130" s="168">
        <f>IF(N$54,$V$33*($Q$34*data0!K354+$R$34*data0!K355+$S$34*data0!K356+$T$34*data0!K357),"")</f>
        <v>291.34503868113018</v>
      </c>
      <c r="O130" s="168">
        <f>IF(O$54,$V$33*($Q$34*data0!L354+$R$34*data0!L355+$S$34*data0!L356+$T$34*data0!L357),"")</f>
        <v>291.34503868113018</v>
      </c>
      <c r="P130" s="168" t="str">
        <f>IF(P$54,$V$33*($Q$34*data0!M354+$R$34*data0!M355+$S$34*data0!M356+$T$34*data0!M357),"")</f>
        <v/>
      </c>
      <c r="Q130" s="168">
        <f>IF(Q$54,$V$33*($Q$34*data0!N354+$R$34*data0!N355+$S$34*data0!N356+$T$34*data0!N357),"")</f>
        <v>308.54188531962433</v>
      </c>
      <c r="R130" s="168">
        <f>IF(R$54,$V$33*($Q$34*data0!O354+$R$34*data0!O355+$S$34*data0!O356+$T$34*data0!O357),"")</f>
        <v>270.57740487853761</v>
      </c>
      <c r="S130" s="168">
        <f>IF(S$54,$V$33*($Q$34*data0!P354+$R$34*data0!P355+$S$34*data0!P356+$T$34*data0!P357),"")</f>
        <v>244.27526357940258</v>
      </c>
      <c r="T130" s="168">
        <f>IF(T$54,$V$33*($Q$34*data0!Q354+$R$34*data0!Q355+$S$34*data0!Q356+$T$34*data0!Q357),"")</f>
        <v>246.2389839118467</v>
      </c>
      <c r="U130" s="168">
        <f>IF(U$54,$V$33*($Q$34*data0!R354+$R$34*data0!R355+$S$34*data0!R356+$T$34*data0!R357),"")</f>
        <v>219.93684261271156</v>
      </c>
      <c r="V130" s="168">
        <f>IF(V$54,$V$33*($Q$34*data0!S354+$R$34*data0!S355+$S$34*data0!S356+$T$34*data0!S357),"")</f>
        <v>265.1321573971062</v>
      </c>
      <c r="W130" s="168">
        <f>IF(W$54,$V$33*($Q$34*data0!T354+$R$34*data0!T355+$S$34*data0!T356+$T$34*data0!T357),"")</f>
        <v>263.34657053522977</v>
      </c>
      <c r="X130" s="168">
        <f>IF(X$54,$V$33*($Q$34*data0!U354+$R$34*data0!U355+$S$34*data0!U356+$T$34*data0!U357),"")</f>
        <v>218.15164231048962</v>
      </c>
      <c r="Y130" s="168">
        <f>IF(Y$54,$V$33*($Q$34*data0!V354+$R$34*data0!V355+$S$34*data0!V356+$T$34*data0!V357),"")</f>
        <v>251.68423139327805</v>
      </c>
      <c r="Z130" s="168">
        <f>IF(Z$54,$V$33*($Q$34*data0!W354+$R$34*data0!W355+$S$34*data0!W356+$T$34*data0!W357),"")</f>
        <v>298.66474647989469</v>
      </c>
      <c r="AA130" s="168">
        <f>IF(AA$54,$V$33*($Q$34*data0!X354+$R$34*data0!X355+$S$34*data0!X356+$T$34*data0!X357),"")</f>
        <v>291.34503868113018</v>
      </c>
      <c r="AB130" s="168">
        <f>IF(AB$54,$V$33*($Q$34*data0!Y354+$R$34*data0!Y355+$S$34*data0!Y356+$T$34*data0!Y357),"")</f>
        <v>385.30606885436339</v>
      </c>
      <c r="AC130" s="168">
        <f>IF(AC$54,$V$33*($Q$34*data0!Z354+$R$34*data0!Z355+$S$34*data0!Z356+$T$34*data0!Z357),"")</f>
        <v>298.66474647989469</v>
      </c>
      <c r="AD130" s="168">
        <f>IF(AD$54,$V$33*($Q$34*data0!AA354+$R$34*data0!AA355+$S$34*data0!AA356+$T$34*data0!AA357),"")</f>
        <v>265.04289738199509</v>
      </c>
      <c r="AE130" s="168">
        <f>IF(AE$54,$V$33*($Q$34*data0!AB354+$R$34*data0!AB355+$S$34*data0!AB356+$T$34*data0!AB357),"")</f>
        <v>294.9158258452286</v>
      </c>
      <c r="AF130" s="168">
        <f>IF(AF$54,$V$33*($Q$34*data0!AC354+$R$34*data0!AC355+$S$34*data0!AC356+$T$34*data0!AC357),"")</f>
        <v>296.79028616256164</v>
      </c>
      <c r="AG130" s="168">
        <f>IF(AG$54,$V$33*($Q$34*data0!AD354+$R$34*data0!AD355+$S$34*data0!AD356+$T$34*data0!AD357),"")</f>
        <v>348.29195262258759</v>
      </c>
      <c r="AH130" s="168">
        <f>IF(AH$54,$V$33*($Q$34*data0!AE354+$R$34*data0!AE355+$S$34*data0!AE356+$T$34*data0!AE357),"")</f>
        <v>334.75476660364842</v>
      </c>
      <c r="AI130" s="168" t="str">
        <f>IF(AI$54,$V$33*($Q$34*data0!AF354+$R$34*data0!AF355+$S$34*data0!AF356+$T$34*data0!AF357),"")</f>
        <v/>
      </c>
      <c r="AJ130" s="168">
        <f>IF(AJ$54,$V$33*($Q$34*data0!AG354+$R$34*data0!AG355+$S$34*data0!AG356+$T$34*data0!AG357),"")</f>
        <v>240.70447641530416</v>
      </c>
      <c r="AK130" s="168">
        <f>IF(AK$54,$V$33*($Q$34*data0!AH354+$R$34*data0!AH355+$S$34*data0!AH356+$T$34*data0!AH357),"")</f>
        <v>334.75476660364842</v>
      </c>
      <c r="AL130" s="168">
        <f>IF(AL$54,$V$33*($Q$34*data0!AI354+$R$34*data0!AI355+$S$34*data0!AI356+$T$34*data0!AI357),"")</f>
        <v>214.49159513128012</v>
      </c>
      <c r="AM130" s="168">
        <f>IF(AM$54,$V$33*($Q$34*data0!AJ354+$R$34*data0!AJ355+$S$34*data0!AJ356+$T$34*data0!AJ357),"")</f>
        <v>293.21949899846322</v>
      </c>
      <c r="AN130" s="168">
        <f>IF(AN$54,$V$33*($Q$34*data0!AK354+$R$34*data0!AK355+$S$34*data0!AK356+$T$34*data0!AK357),"")</f>
        <v>259.59764990056368</v>
      </c>
    </row>
    <row r="131" spans="1:40">
      <c r="A131" s="74"/>
      <c r="B131" s="242"/>
      <c r="C131" s="242" t="str">
        <f>C125</f>
        <v>LO</v>
      </c>
      <c r="D131" s="242"/>
      <c r="E131" s="59" t="str">
        <f t="shared" si="408"/>
        <v>x</v>
      </c>
      <c r="F131" s="60">
        <f t="shared" si="211"/>
        <v>0.44740629367997875</v>
      </c>
      <c r="G131" s="60">
        <f t="shared" si="212"/>
        <v>4.4648303710301384E-3</v>
      </c>
      <c r="H131" s="242"/>
      <c r="I131" s="108" t="str">
        <f>IF(I$54,I125/SUM(I125:I127),"")</f>
        <v/>
      </c>
      <c r="J131" s="108" t="str">
        <f t="shared" ref="J131:AN131" si="409">IF(J$54,J125/SUM(J125:J127),"")</f>
        <v/>
      </c>
      <c r="K131" s="108">
        <f t="shared" si="409"/>
        <v>0.44630590659084274</v>
      </c>
      <c r="L131" s="108">
        <f t="shared" si="409"/>
        <v>0.44689221423832476</v>
      </c>
      <c r="M131" s="108" t="str">
        <f t="shared" si="409"/>
        <v/>
      </c>
      <c r="N131" s="108">
        <f t="shared" si="409"/>
        <v>0.44908298794947255</v>
      </c>
      <c r="O131" s="108">
        <f t="shared" si="409"/>
        <v>0.44656867363275649</v>
      </c>
      <c r="P131" s="108" t="str">
        <f t="shared" si="409"/>
        <v/>
      </c>
      <c r="Q131" s="108">
        <f t="shared" si="409"/>
        <v>0.44209677670543729</v>
      </c>
      <c r="R131" s="108">
        <f t="shared" si="409"/>
        <v>0.44946922787785537</v>
      </c>
      <c r="S131" s="108">
        <f t="shared" si="409"/>
        <v>0.44161147447495591</v>
      </c>
      <c r="T131" s="108">
        <f t="shared" si="409"/>
        <v>0.44966376846020517</v>
      </c>
      <c r="U131" s="108">
        <f t="shared" si="409"/>
        <v>0.44754299519455271</v>
      </c>
      <c r="V131" s="108">
        <f t="shared" si="409"/>
        <v>0.4471656965566676</v>
      </c>
      <c r="W131" s="108">
        <f t="shared" si="409"/>
        <v>0.44392463239057678</v>
      </c>
      <c r="X131" s="108">
        <f t="shared" si="409"/>
        <v>0.44787007137986778</v>
      </c>
      <c r="Y131" s="108">
        <f t="shared" si="409"/>
        <v>0.45236107400526876</v>
      </c>
      <c r="Z131" s="108">
        <f t="shared" si="409"/>
        <v>0.45438183767801643</v>
      </c>
      <c r="AA131" s="108">
        <f t="shared" si="409"/>
        <v>0.4497713748125563</v>
      </c>
      <c r="AB131" s="108">
        <f t="shared" si="409"/>
        <v>0.44511051810544089</v>
      </c>
      <c r="AC131" s="108">
        <f t="shared" si="409"/>
        <v>0.45289796180199288</v>
      </c>
      <c r="AD131" s="108">
        <f t="shared" si="409"/>
        <v>0.45094747718199463</v>
      </c>
      <c r="AE131" s="108">
        <f t="shared" si="409"/>
        <v>0.44721140054447978</v>
      </c>
      <c r="AF131" s="108">
        <f t="shared" si="409"/>
        <v>0.45479610853712532</v>
      </c>
      <c r="AG131" s="108">
        <f t="shared" si="409"/>
        <v>0.43809547708428909</v>
      </c>
      <c r="AH131" s="108">
        <f t="shared" si="409"/>
        <v>0.43933099145431764</v>
      </c>
      <c r="AI131" s="108" t="str">
        <f t="shared" si="409"/>
        <v/>
      </c>
      <c r="AJ131" s="108">
        <f t="shared" si="409"/>
        <v>0.45163802087181382</v>
      </c>
      <c r="AK131" s="108">
        <f t="shared" si="409"/>
        <v>0.44123909140102746</v>
      </c>
      <c r="AL131" s="108">
        <f t="shared" si="409"/>
        <v>0.44632709502425461</v>
      </c>
      <c r="AM131" s="108">
        <f t="shared" si="409"/>
        <v>0.45303339319682584</v>
      </c>
      <c r="AN131" s="108">
        <f t="shared" si="409"/>
        <v>0.44463368220850746</v>
      </c>
    </row>
    <row r="132" spans="1:40">
      <c r="A132" s="74"/>
      <c r="B132" s="242"/>
      <c r="C132" s="242"/>
      <c r="D132" s="242"/>
      <c r="E132" s="59" t="str">
        <f t="shared" ref="E132:E138" si="410">E110</f>
        <v>y</v>
      </c>
      <c r="F132" s="60">
        <f t="shared" si="211"/>
        <v>0.42373565705059973</v>
      </c>
      <c r="G132" s="60">
        <f t="shared" si="212"/>
        <v>2.8458253924547759E-3</v>
      </c>
      <c r="H132" s="242"/>
      <c r="I132" s="108" t="str">
        <f>IF(I$54,I126/SUM(I125:I127),"")</f>
        <v/>
      </c>
      <c r="J132" s="108" t="str">
        <f t="shared" ref="J132:AN132" si="411">IF(J$54,J126/SUM(J125:J127),"")</f>
        <v/>
      </c>
      <c r="K132" s="108">
        <f t="shared" si="411"/>
        <v>0.42297462074263237</v>
      </c>
      <c r="L132" s="108">
        <f t="shared" si="411"/>
        <v>0.42338215380896793</v>
      </c>
      <c r="M132" s="108" t="str">
        <f t="shared" si="411"/>
        <v/>
      </c>
      <c r="N132" s="108">
        <f t="shared" si="411"/>
        <v>0.42475391954519015</v>
      </c>
      <c r="O132" s="108">
        <f t="shared" si="411"/>
        <v>0.42316014739064162</v>
      </c>
      <c r="P132" s="108" t="str">
        <f t="shared" si="411"/>
        <v/>
      </c>
      <c r="Q132" s="108">
        <f t="shared" si="411"/>
        <v>0.42034114171861464</v>
      </c>
      <c r="R132" s="108">
        <f t="shared" si="411"/>
        <v>0.42500077230015298</v>
      </c>
      <c r="S132" s="108">
        <f t="shared" si="411"/>
        <v>0.42008143247614288</v>
      </c>
      <c r="T132" s="108">
        <f t="shared" si="411"/>
        <v>0.4252495015949484</v>
      </c>
      <c r="U132" s="108">
        <f t="shared" si="411"/>
        <v>0.42390132375566381</v>
      </c>
      <c r="V132" s="108">
        <f t="shared" si="411"/>
        <v>0.42356537137865802</v>
      </c>
      <c r="W132" s="108">
        <f t="shared" si="411"/>
        <v>0.42159771114611011</v>
      </c>
      <c r="X132" s="108">
        <f t="shared" si="411"/>
        <v>0.42403806938077249</v>
      </c>
      <c r="Y132" s="108">
        <f t="shared" si="411"/>
        <v>0.4269253777621021</v>
      </c>
      <c r="Z132" s="108">
        <f t="shared" si="411"/>
        <v>0.42820482486858763</v>
      </c>
      <c r="AA132" s="108">
        <f t="shared" si="411"/>
        <v>0.42527522872337964</v>
      </c>
      <c r="AB132" s="108">
        <f t="shared" si="411"/>
        <v>0.42218576451324569</v>
      </c>
      <c r="AC132" s="108">
        <f t="shared" si="411"/>
        <v>0.42724337463583534</v>
      </c>
      <c r="AD132" s="108">
        <f t="shared" si="411"/>
        <v>0.42595217979252037</v>
      </c>
      <c r="AE132" s="108">
        <f t="shared" si="411"/>
        <v>0.42350185931455581</v>
      </c>
      <c r="AF132" s="108">
        <f t="shared" si="411"/>
        <v>0.42841701545462102</v>
      </c>
      <c r="AG132" s="108">
        <f t="shared" si="411"/>
        <v>0.41780012549454715</v>
      </c>
      <c r="AH132" s="108">
        <f t="shared" si="411"/>
        <v>0.41860423676760977</v>
      </c>
      <c r="AI132" s="108" t="str">
        <f t="shared" si="411"/>
        <v/>
      </c>
      <c r="AJ132" s="108">
        <f t="shared" si="411"/>
        <v>0.42645602621529399</v>
      </c>
      <c r="AK132" s="108">
        <f t="shared" si="411"/>
        <v>0.41980283465613533</v>
      </c>
      <c r="AL132" s="108">
        <f t="shared" si="411"/>
        <v>0.42311007413712848</v>
      </c>
      <c r="AM132" s="108">
        <f t="shared" si="411"/>
        <v>0.42734632425066449</v>
      </c>
      <c r="AN132" s="108">
        <f t="shared" si="411"/>
        <v>0.42199132854146909</v>
      </c>
    </row>
    <row r="133" spans="1:40">
      <c r="A133" s="74"/>
      <c r="B133" s="242"/>
      <c r="C133" s="242"/>
      <c r="D133" s="242"/>
      <c r="E133" s="59" t="str">
        <f t="shared" si="410"/>
        <v>CCT</v>
      </c>
      <c r="F133" s="75">
        <f t="shared" si="211"/>
        <v>2993.962962962963</v>
      </c>
      <c r="G133" s="75">
        <f t="shared" si="212"/>
        <v>48.803752599630805</v>
      </c>
      <c r="H133" s="242"/>
      <c r="I133" s="109" t="str">
        <f>IF(I$54,getCCTfromXY(I131,I132,0),"")</f>
        <v/>
      </c>
      <c r="J133" s="109" t="str">
        <f t="shared" ref="J133" si="412">IF(J$54,getCCTfromXY(J131,J132,0),"")</f>
        <v/>
      </c>
      <c r="K133" s="109">
        <f t="shared" ref="K133" si="413">IF(K$54,getCCTfromXY(K131,K132,0),"")</f>
        <v>3005</v>
      </c>
      <c r="L133" s="109">
        <f t="shared" ref="L133" si="414">IF(L$54,getCCTfromXY(L131,L132,0),"")</f>
        <v>2998</v>
      </c>
      <c r="M133" s="109" t="str">
        <f t="shared" ref="M133" si="415">IF(M$54,getCCTfromXY(M131,M132,0),"")</f>
        <v/>
      </c>
      <c r="N133" s="109">
        <f t="shared" ref="N133" si="416">IF(N$54,getCCTfromXY(N131,N132,0),"")</f>
        <v>2975</v>
      </c>
      <c r="O133" s="109">
        <f t="shared" ref="O133" si="417">IF(O$54,getCCTfromXY(O131,O132,0),"")</f>
        <v>3002</v>
      </c>
      <c r="P133" s="109" t="str">
        <f t="shared" ref="P133" si="418">IF(P$54,getCCTfromXY(P131,P132,0),"")</f>
        <v/>
      </c>
      <c r="Q133" s="109">
        <f t="shared" ref="Q133" si="419">IF(Q$54,getCCTfromXY(Q131,Q132,0),"")</f>
        <v>3052</v>
      </c>
      <c r="R133" s="109">
        <f t="shared" ref="R133" si="420">IF(R$54,getCCTfromXY(R131,R132,0),"")</f>
        <v>2970</v>
      </c>
      <c r="S133" s="109">
        <f t="shared" ref="S133" si="421">IF(S$54,getCCTfromXY(S131,S132,0),"")</f>
        <v>3058</v>
      </c>
      <c r="T133" s="109">
        <f t="shared" ref="T133" si="422">IF(T$54,getCCTfromXY(T131,T132,0),"")</f>
        <v>2969</v>
      </c>
      <c r="U133" s="109">
        <f t="shared" ref="U133" si="423">IF(U$54,getCCTfromXY(U131,U132,0),"")</f>
        <v>2992</v>
      </c>
      <c r="V133" s="109">
        <f t="shared" ref="V133" si="424">IF(V$54,getCCTfromXY(V131,V132,0),"")</f>
        <v>2995</v>
      </c>
      <c r="W133" s="109">
        <f t="shared" ref="W133" si="425">IF(W$54,getCCTfromXY(W131,W132,0),"")</f>
        <v>3032</v>
      </c>
      <c r="X133" s="109">
        <f t="shared" ref="X133" si="426">IF(X$54,getCCTfromXY(X131,X132,0),"")</f>
        <v>2988</v>
      </c>
      <c r="Y133" s="109">
        <f t="shared" ref="Y133" si="427">IF(Y$54,getCCTfromXY(Y131,Y132,0),"")</f>
        <v>2941</v>
      </c>
      <c r="Z133" s="109">
        <f t="shared" ref="Z133" si="428">IF(Z$54,getCCTfromXY(Z131,Z132,0),"")</f>
        <v>2920</v>
      </c>
      <c r="AA133" s="109">
        <f t="shared" ref="AA133" si="429">IF(AA$54,getCCTfromXY(AA131,AA132,0),"")</f>
        <v>2968</v>
      </c>
      <c r="AB133" s="109">
        <f t="shared" ref="AB133" si="430">IF(AB$54,getCCTfromXY(AB131,AB132,0),"")</f>
        <v>3017</v>
      </c>
      <c r="AC133" s="109">
        <f t="shared" ref="AC133" si="431">IF(AC$54,getCCTfromXY(AC131,AC132,0),"")</f>
        <v>2935</v>
      </c>
      <c r="AD133" s="109">
        <f t="shared" ref="AD133" si="432">IF(AD$54,getCCTfromXY(AD131,AD132,0),"")</f>
        <v>2955</v>
      </c>
      <c r="AE133" s="109">
        <f t="shared" ref="AE133" si="433">IF(AE$54,getCCTfromXY(AE131,AE132,0),"")</f>
        <v>2994</v>
      </c>
      <c r="AF133" s="109">
        <f t="shared" ref="AF133" si="434">IF(AF$54,getCCTfromXY(AF131,AF132,0),"")</f>
        <v>2915</v>
      </c>
      <c r="AG133" s="109">
        <f t="shared" ref="AG133" si="435">IF(AG$54,getCCTfromXY(AG131,AG132,0),"")</f>
        <v>3099</v>
      </c>
      <c r="AH133" s="109">
        <f t="shared" ref="AH133" si="436">IF(AH$54,getCCTfromXY(AH131,AH132,0),"")</f>
        <v>3084</v>
      </c>
      <c r="AI133" s="109" t="str">
        <f t="shared" ref="AI133" si="437">IF(AI$54,getCCTfromXY(AI131,AI132,0),"")</f>
        <v/>
      </c>
      <c r="AJ133" s="109">
        <f t="shared" ref="AJ133" si="438">IF(AJ$54,getCCTfromXY(AJ131,AJ132,0),"")</f>
        <v>2948</v>
      </c>
      <c r="AK133" s="109">
        <f t="shared" ref="AK133" si="439">IF(AK$54,getCCTfromXY(AK131,AK132,0),"")</f>
        <v>3062</v>
      </c>
      <c r="AL133" s="109">
        <f t="shared" ref="AL133" si="440">IF(AL$54,getCCTfromXY(AL131,AL132,0),"")</f>
        <v>3005</v>
      </c>
      <c r="AM133" s="109">
        <f t="shared" ref="AM133" si="441">IF(AM$54,getCCTfromXY(AM131,AM132,0),"")</f>
        <v>2934</v>
      </c>
      <c r="AN133" s="109">
        <f t="shared" ref="AN133" si="442">IF(AN$54,getCCTfromXY(AN131,AN132,0),"")</f>
        <v>3024</v>
      </c>
    </row>
    <row r="134" spans="1:40">
      <c r="A134" s="74"/>
      <c r="B134" s="242"/>
      <c r="C134" s="242"/>
      <c r="D134" s="242"/>
      <c r="E134" s="59" t="str">
        <f t="shared" si="410"/>
        <v>MK-1</v>
      </c>
      <c r="F134" s="61">
        <f t="shared" si="211"/>
        <v>334.09048441374358</v>
      </c>
      <c r="G134" s="61">
        <f t="shared" si="212"/>
        <v>5.4170242122285499</v>
      </c>
      <c r="H134" s="242"/>
      <c r="I134" s="130" t="str">
        <f>IF(I$54,10^6/I133,"")</f>
        <v/>
      </c>
      <c r="J134" s="130" t="str">
        <f t="shared" ref="J134" si="443">IF(J$54,10^6/J133,"")</f>
        <v/>
      </c>
      <c r="K134" s="130">
        <f t="shared" ref="K134" si="444">IF(K$54,10^6/K133,"")</f>
        <v>332.77870216306155</v>
      </c>
      <c r="L134" s="130">
        <f t="shared" ref="L134" si="445">IF(L$54,10^6/L133,"")</f>
        <v>333.55570380253505</v>
      </c>
      <c r="M134" s="130" t="str">
        <f t="shared" ref="M134" si="446">IF(M$54,10^6/M133,"")</f>
        <v/>
      </c>
      <c r="N134" s="130">
        <f t="shared" ref="N134" si="447">IF(N$54,10^6/N133,"")</f>
        <v>336.1344537815126</v>
      </c>
      <c r="O134" s="130">
        <f t="shared" ref="O134" si="448">IF(O$54,10^6/O133,"")</f>
        <v>333.11125916055965</v>
      </c>
      <c r="P134" s="130" t="str">
        <f t="shared" ref="P134" si="449">IF(P$54,10^6/P133,"")</f>
        <v/>
      </c>
      <c r="Q134" s="130">
        <f t="shared" ref="Q134" si="450">IF(Q$54,10^6/Q133,"")</f>
        <v>327.653997378768</v>
      </c>
      <c r="R134" s="130">
        <f t="shared" ref="R134" si="451">IF(R$54,10^6/R133,"")</f>
        <v>336.70033670033672</v>
      </c>
      <c r="S134" s="130">
        <f t="shared" ref="S134" si="452">IF(S$54,10^6/S133,"")</f>
        <v>327.01111837802483</v>
      </c>
      <c r="T134" s="130">
        <f t="shared" ref="T134" si="453">IF(T$54,10^6/T133,"")</f>
        <v>336.81374200067364</v>
      </c>
      <c r="U134" s="130">
        <f t="shared" ref="U134" si="454">IF(U$54,10^6/U133,"")</f>
        <v>334.22459893048131</v>
      </c>
      <c r="V134" s="130">
        <f t="shared" ref="V134" si="455">IF(V$54,10^6/V133,"")</f>
        <v>333.889816360601</v>
      </c>
      <c r="W134" s="130">
        <f t="shared" ref="W134" si="456">IF(W$54,10^6/W133,"")</f>
        <v>329.81530343007915</v>
      </c>
      <c r="X134" s="130">
        <f t="shared" ref="X134" si="457">IF(X$54,10^6/X133,"")</f>
        <v>334.67202141900935</v>
      </c>
      <c r="Y134" s="130">
        <f t="shared" ref="Y134" si="458">IF(Y$54,10^6/Y133,"")</f>
        <v>340.02040122407345</v>
      </c>
      <c r="Z134" s="130">
        <f t="shared" ref="Z134" si="459">IF(Z$54,10^6/Z133,"")</f>
        <v>342.46575342465752</v>
      </c>
      <c r="AA134" s="130">
        <f t="shared" ref="AA134" si="460">IF(AA$54,10^6/AA133,"")</f>
        <v>336.92722371967653</v>
      </c>
      <c r="AB134" s="130">
        <f t="shared" ref="AB134" si="461">IF(AB$54,10^6/AB133,"")</f>
        <v>331.45508783559825</v>
      </c>
      <c r="AC134" s="130">
        <f t="shared" ref="AC134" si="462">IF(AC$54,10^6/AC133,"")</f>
        <v>340.71550255536624</v>
      </c>
      <c r="AD134" s="130">
        <f t="shared" ref="AD134" si="463">IF(AD$54,10^6/AD133,"")</f>
        <v>338.40947546531305</v>
      </c>
      <c r="AE134" s="130">
        <f t="shared" ref="AE134" si="464">IF(AE$54,10^6/AE133,"")</f>
        <v>334.001336005344</v>
      </c>
      <c r="AF134" s="130">
        <f t="shared" ref="AF134" si="465">IF(AF$54,10^6/AF133,"")</f>
        <v>343.05317324185251</v>
      </c>
      <c r="AG134" s="130">
        <f t="shared" ref="AG134" si="466">IF(AG$54,10^6/AG133,"")</f>
        <v>322.68473701193932</v>
      </c>
      <c r="AH134" s="130">
        <f t="shared" ref="AH134" si="467">IF(AH$54,10^6/AH133,"")</f>
        <v>324.25421530479895</v>
      </c>
      <c r="AI134" s="130" t="str">
        <f t="shared" ref="AI134" si="468">IF(AI$54,10^6/AI133,"")</f>
        <v/>
      </c>
      <c r="AJ134" s="130">
        <f t="shared" ref="AJ134" si="469">IF(AJ$54,10^6/AJ133,"")</f>
        <v>339.21302578018998</v>
      </c>
      <c r="AK134" s="130">
        <f t="shared" ref="AK134" si="470">IF(AK$54,10^6/AK133,"")</f>
        <v>326.58393207054212</v>
      </c>
      <c r="AL134" s="130">
        <f t="shared" ref="AL134" si="471">IF(AL$54,10^6/AL133,"")</f>
        <v>332.77870216306155</v>
      </c>
      <c r="AM134" s="130">
        <f t="shared" ref="AM134" si="472">IF(AM$54,10^6/AM133,"")</f>
        <v>340.83162917518746</v>
      </c>
      <c r="AN134" s="130">
        <f t="shared" ref="AN134" si="473">IF(AN$54,10^6/AN133,"")</f>
        <v>330.68783068783068</v>
      </c>
    </row>
    <row r="135" spans="1:40">
      <c r="A135" s="74"/>
      <c r="B135" s="242"/>
      <c r="C135" s="242" t="str">
        <f>C128</f>
        <v>HI</v>
      </c>
      <c r="D135" s="242"/>
      <c r="E135" s="59" t="str">
        <f t="shared" si="410"/>
        <v>x</v>
      </c>
      <c r="F135" s="60">
        <f t="shared" si="211"/>
        <v>0.44916742554506761</v>
      </c>
      <c r="G135" s="60">
        <f t="shared" si="212"/>
        <v>5.1262179928644068E-3</v>
      </c>
      <c r="H135" s="242"/>
      <c r="I135" s="108" t="str">
        <f>IF(I$54,I128/SUM(I128:I130),"")</f>
        <v/>
      </c>
      <c r="J135" s="108" t="str">
        <f t="shared" ref="J135:AN135" si="474">IF(J$54,J128/SUM(J128:J130),"")</f>
        <v/>
      </c>
      <c r="K135" s="108">
        <f t="shared" si="474"/>
        <v>0.44902447463456946</v>
      </c>
      <c r="L135" s="108">
        <f t="shared" si="474"/>
        <v>0.45061039943943276</v>
      </c>
      <c r="M135" s="108" t="str">
        <f t="shared" si="474"/>
        <v/>
      </c>
      <c r="N135" s="108">
        <f t="shared" si="474"/>
        <v>0.4491579785319989</v>
      </c>
      <c r="O135" s="108">
        <f t="shared" si="474"/>
        <v>0.4491579785319989</v>
      </c>
      <c r="P135" s="108" t="str">
        <f t="shared" si="474"/>
        <v/>
      </c>
      <c r="Q135" s="108">
        <f t="shared" si="474"/>
        <v>0.44334072589912188</v>
      </c>
      <c r="R135" s="108">
        <f t="shared" si="474"/>
        <v>0.45270943092237143</v>
      </c>
      <c r="S135" s="108">
        <f t="shared" si="474"/>
        <v>0.45114594077030196</v>
      </c>
      <c r="T135" s="108">
        <f t="shared" si="474"/>
        <v>0.45428183071683187</v>
      </c>
      <c r="U135" s="108">
        <f t="shared" si="474"/>
        <v>0.45280877837983119</v>
      </c>
      <c r="V135" s="108">
        <f t="shared" si="474"/>
        <v>0.44734363528409732</v>
      </c>
      <c r="W135" s="108">
        <f t="shared" si="474"/>
        <v>0.44778358419958825</v>
      </c>
      <c r="X135" s="108">
        <f t="shared" si="474"/>
        <v>0.44946523192330401</v>
      </c>
      <c r="Y135" s="108">
        <f t="shared" si="474"/>
        <v>0.45896540244076311</v>
      </c>
      <c r="Z135" s="108">
        <f t="shared" si="474"/>
        <v>0.45613653954119115</v>
      </c>
      <c r="AA135" s="108">
        <f t="shared" si="474"/>
        <v>0.4491579785319989</v>
      </c>
      <c r="AB135" s="108">
        <f t="shared" si="474"/>
        <v>0.44626334650517085</v>
      </c>
      <c r="AC135" s="108">
        <f t="shared" si="474"/>
        <v>0.45613653954119115</v>
      </c>
      <c r="AD135" s="108">
        <f t="shared" si="474"/>
        <v>0.4471892540717925</v>
      </c>
      <c r="AE135" s="108">
        <f t="shared" si="474"/>
        <v>0.45134123241667462</v>
      </c>
      <c r="AF135" s="108">
        <f t="shared" si="474"/>
        <v>0.45383435810869943</v>
      </c>
      <c r="AG135" s="108">
        <f t="shared" si="474"/>
        <v>0.43379817829420508</v>
      </c>
      <c r="AH135" s="108">
        <f t="shared" si="474"/>
        <v>0.44540086073238211</v>
      </c>
      <c r="AI135" s="108" t="str">
        <f t="shared" si="474"/>
        <v/>
      </c>
      <c r="AJ135" s="108">
        <f t="shared" si="474"/>
        <v>0.44847213549170695</v>
      </c>
      <c r="AK135" s="108">
        <f t="shared" si="474"/>
        <v>0.44540086073238211</v>
      </c>
      <c r="AL135" s="108">
        <f t="shared" si="474"/>
        <v>0.44608863809410781</v>
      </c>
      <c r="AM135" s="108">
        <f t="shared" si="474"/>
        <v>0.45183998738815978</v>
      </c>
      <c r="AN135" s="108">
        <f t="shared" si="474"/>
        <v>0.44066518859295073</v>
      </c>
    </row>
    <row r="136" spans="1:40">
      <c r="A136" s="74"/>
      <c r="B136" s="242"/>
      <c r="C136" s="242"/>
      <c r="D136" s="242"/>
      <c r="E136" s="59" t="str">
        <f t="shared" si="410"/>
        <v>y</v>
      </c>
      <c r="F136" s="60">
        <f t="shared" si="211"/>
        <v>0.42481369440498268</v>
      </c>
      <c r="G136" s="60">
        <f t="shared" si="212"/>
        <v>3.2617534698901711E-3</v>
      </c>
      <c r="H136" s="242"/>
      <c r="I136" s="108" t="str">
        <f>IF(I$54,I129/SUM(I128:I130),"")</f>
        <v/>
      </c>
      <c r="J136" s="108" t="str">
        <f t="shared" ref="J136:AN136" si="475">IF(J$54,J129/SUM(J128:J130),"")</f>
        <v/>
      </c>
      <c r="K136" s="108">
        <f t="shared" si="475"/>
        <v>0.42468538764949743</v>
      </c>
      <c r="L136" s="108">
        <f t="shared" si="475"/>
        <v>0.42568317379198262</v>
      </c>
      <c r="M136" s="108" t="str">
        <f t="shared" si="475"/>
        <v/>
      </c>
      <c r="N136" s="108">
        <f t="shared" si="475"/>
        <v>0.42477293445188857</v>
      </c>
      <c r="O136" s="108">
        <f t="shared" si="475"/>
        <v>0.42477293445188857</v>
      </c>
      <c r="P136" s="108" t="str">
        <f t="shared" si="475"/>
        <v/>
      </c>
      <c r="Q136" s="108">
        <f t="shared" si="475"/>
        <v>0.42113902221960975</v>
      </c>
      <c r="R136" s="108">
        <f t="shared" si="475"/>
        <v>0.42703443301573685</v>
      </c>
      <c r="S136" s="108">
        <f t="shared" si="475"/>
        <v>0.42605478003890096</v>
      </c>
      <c r="T136" s="108">
        <f t="shared" si="475"/>
        <v>0.42811226565934013</v>
      </c>
      <c r="U136" s="108">
        <f t="shared" si="475"/>
        <v>0.42720245343940477</v>
      </c>
      <c r="V136" s="108">
        <f t="shared" si="475"/>
        <v>0.42363587659750124</v>
      </c>
      <c r="W136" s="108">
        <f t="shared" si="475"/>
        <v>0.42405092535461053</v>
      </c>
      <c r="X136" s="108">
        <f t="shared" si="475"/>
        <v>0.4250118214478667</v>
      </c>
      <c r="Y136" s="108">
        <f t="shared" si="475"/>
        <v>0.43107173843011976</v>
      </c>
      <c r="Z136" s="108">
        <f t="shared" si="475"/>
        <v>0.42924943088044376</v>
      </c>
      <c r="AA136" s="108">
        <f t="shared" si="475"/>
        <v>0.42477293445188857</v>
      </c>
      <c r="AB136" s="108">
        <f t="shared" si="475"/>
        <v>0.42290417343653891</v>
      </c>
      <c r="AC136" s="108">
        <f t="shared" si="475"/>
        <v>0.42924943088044376</v>
      </c>
      <c r="AD136" s="108">
        <f t="shared" si="475"/>
        <v>0.42353476143196067</v>
      </c>
      <c r="AE136" s="108">
        <f t="shared" si="475"/>
        <v>0.4260965741979193</v>
      </c>
      <c r="AF136" s="108">
        <f t="shared" si="475"/>
        <v>0.42773577431469306</v>
      </c>
      <c r="AG136" s="108">
        <f t="shared" si="475"/>
        <v>0.41501094571485331</v>
      </c>
      <c r="AH136" s="108">
        <f t="shared" si="475"/>
        <v>0.42242892716920982</v>
      </c>
      <c r="AI136" s="108" t="str">
        <f t="shared" si="475"/>
        <v/>
      </c>
      <c r="AJ136" s="108">
        <f t="shared" si="475"/>
        <v>0.42443758701186896</v>
      </c>
      <c r="AK136" s="108">
        <f t="shared" si="475"/>
        <v>0.42242892716920982</v>
      </c>
      <c r="AL136" s="108">
        <f t="shared" si="475"/>
        <v>0.42295860512655586</v>
      </c>
      <c r="AM136" s="108">
        <f t="shared" si="475"/>
        <v>0.42653169433727373</v>
      </c>
      <c r="AN136" s="108">
        <f t="shared" si="475"/>
        <v>0.41940223626332751</v>
      </c>
    </row>
    <row r="137" spans="1:40">
      <c r="A137" s="74"/>
      <c r="B137" s="242"/>
      <c r="C137" s="242"/>
      <c r="D137" s="242"/>
      <c r="E137" s="59" t="str">
        <f t="shared" si="410"/>
        <v>CCT</v>
      </c>
      <c r="F137" s="75">
        <f t="shared" si="211"/>
        <v>2975.1851851851852</v>
      </c>
      <c r="G137" s="75">
        <f t="shared" si="212"/>
        <v>55.927863591642527</v>
      </c>
      <c r="H137" s="242"/>
      <c r="I137" s="109" t="str">
        <f>IF(I$54,getCCTfromXY(I135,I136,0),"")</f>
        <v/>
      </c>
      <c r="J137" s="109" t="str">
        <f t="shared" ref="J137" si="476">IF(J$54,getCCTfromXY(J135,J136,0),"")</f>
        <v/>
      </c>
      <c r="K137" s="109">
        <f t="shared" ref="K137" si="477">IF(K$54,getCCTfromXY(K135,K136,0),"")</f>
        <v>2975</v>
      </c>
      <c r="L137" s="109">
        <f t="shared" ref="L137" si="478">IF(L$54,getCCTfromXY(L135,L136,0),"")</f>
        <v>2958</v>
      </c>
      <c r="M137" s="109" t="str">
        <f t="shared" ref="M137" si="479">IF(M$54,getCCTfromXY(M135,M136,0),"")</f>
        <v/>
      </c>
      <c r="N137" s="109">
        <f t="shared" ref="N137" si="480">IF(N$54,getCCTfromXY(N135,N136,0),"")</f>
        <v>2974</v>
      </c>
      <c r="O137" s="109">
        <f t="shared" ref="O137" si="481">IF(O$54,getCCTfromXY(O135,O136,0),"")</f>
        <v>2974</v>
      </c>
      <c r="P137" s="109" t="str">
        <f t="shared" ref="P137" si="482">IF(P$54,getCCTfromXY(P135,P136,0),"")</f>
        <v/>
      </c>
      <c r="Q137" s="109">
        <f t="shared" ref="Q137" si="483">IF(Q$54,getCCTfromXY(Q135,Q136,0),"")</f>
        <v>3038</v>
      </c>
      <c r="R137" s="109">
        <f t="shared" ref="R137" si="484">IF(R$54,getCCTfromXY(R135,R136,0),"")</f>
        <v>2936</v>
      </c>
      <c r="S137" s="109">
        <f t="shared" ref="S137" si="485">IF(S$54,getCCTfromXY(S135,S136,0),"")</f>
        <v>2953</v>
      </c>
      <c r="T137" s="109">
        <f t="shared" ref="T137" si="486">IF(T$54,getCCTfromXY(T135,T136,0),"")</f>
        <v>2921</v>
      </c>
      <c r="U137" s="109">
        <f t="shared" ref="U137" si="487">IF(U$54,getCCTfromXY(U135,U136,0),"")</f>
        <v>2936</v>
      </c>
      <c r="V137" s="109">
        <f t="shared" ref="V137" si="488">IF(V$54,getCCTfromXY(V135,V136,0),"")</f>
        <v>2993</v>
      </c>
      <c r="W137" s="109">
        <f t="shared" ref="W137" si="489">IF(W$54,getCCTfromXY(W135,W136,0),"")</f>
        <v>2989</v>
      </c>
      <c r="X137" s="109">
        <f t="shared" ref="X137" si="490">IF(X$54,getCCTfromXY(X135,X136,0),"")</f>
        <v>2971</v>
      </c>
      <c r="Y137" s="109">
        <f t="shared" ref="Y137" si="491">IF(Y$54,getCCTfromXY(Y135,Y136,0),"")</f>
        <v>2874</v>
      </c>
      <c r="Z137" s="109">
        <f t="shared" ref="Z137" si="492">IF(Z$54,getCCTfromXY(Z135,Z136,0),"")</f>
        <v>2902</v>
      </c>
      <c r="AA137" s="109">
        <f t="shared" ref="AA137" si="493">IF(AA$54,getCCTfromXY(AA135,AA136,0),"")</f>
        <v>2974</v>
      </c>
      <c r="AB137" s="109">
        <f t="shared" ref="AB137" si="494">IF(AB$54,getCCTfromXY(AB135,AB136,0),"")</f>
        <v>3005</v>
      </c>
      <c r="AC137" s="109">
        <f t="shared" ref="AC137" si="495">IF(AC$54,getCCTfromXY(AC135,AC136,0),"")</f>
        <v>2902</v>
      </c>
      <c r="AD137" s="109">
        <f t="shared" ref="AD137" si="496">IF(AD$54,getCCTfromXY(AD135,AD136,0),"")</f>
        <v>2995</v>
      </c>
      <c r="AE137" s="109">
        <f t="shared" ref="AE137" si="497">IF(AE$54,getCCTfromXY(AE135,AE136,0),"")</f>
        <v>2950</v>
      </c>
      <c r="AF137" s="109">
        <f t="shared" ref="AF137" si="498">IF(AF$54,getCCTfromXY(AF135,AF136,0),"")</f>
        <v>2925</v>
      </c>
      <c r="AG137" s="109">
        <f t="shared" ref="AG137" si="499">IF(AG$54,getCCTfromXY(AG135,AG136,0),"")</f>
        <v>3151</v>
      </c>
      <c r="AH137" s="109">
        <f t="shared" ref="AH137" si="500">IF(AH$54,getCCTfromXY(AH135,AH136,0),"")</f>
        <v>3015</v>
      </c>
      <c r="AI137" s="109" t="str">
        <f t="shared" ref="AI137" si="501">IF(AI$54,getCCTfromXY(AI135,AI136,0),"")</f>
        <v/>
      </c>
      <c r="AJ137" s="109">
        <f t="shared" ref="AJ137" si="502">IF(AJ$54,getCCTfromXY(AJ135,AJ136,0),"")</f>
        <v>2982</v>
      </c>
      <c r="AK137" s="109">
        <f t="shared" ref="AK137" si="503">IF(AK$54,getCCTfromXY(AK135,AK136,0),"")</f>
        <v>3015</v>
      </c>
      <c r="AL137" s="109">
        <f t="shared" ref="AL137" si="504">IF(AL$54,getCCTfromXY(AL135,AL136,0),"")</f>
        <v>3008</v>
      </c>
      <c r="AM137" s="109">
        <f t="shared" ref="AM137" si="505">IF(AM$54,getCCTfromXY(AM135,AM136,0),"")</f>
        <v>2946</v>
      </c>
      <c r="AN137" s="109">
        <f t="shared" ref="AN137" si="506">IF(AN$54,getCCTfromXY(AN135,AN136,0),"")</f>
        <v>3068</v>
      </c>
    </row>
    <row r="138" spans="1:40">
      <c r="A138" s="74"/>
      <c r="B138" s="242"/>
      <c r="C138" s="242"/>
      <c r="D138" s="242"/>
      <c r="E138" s="59" t="str">
        <f t="shared" si="410"/>
        <v>MK-1</v>
      </c>
      <c r="F138" s="61">
        <f t="shared" si="211"/>
        <v>336.22601151233721</v>
      </c>
      <c r="G138" s="61">
        <f t="shared" si="212"/>
        <v>6.2168484175381078</v>
      </c>
      <c r="H138" s="242"/>
      <c r="I138" s="130" t="str">
        <f>IF(I$54,10^6/I137,"")</f>
        <v/>
      </c>
      <c r="J138" s="130" t="str">
        <f t="shared" ref="J138" si="507">IF(J$54,10^6/J137,"")</f>
        <v/>
      </c>
      <c r="K138" s="130">
        <f t="shared" ref="K138" si="508">IF(K$54,10^6/K137,"")</f>
        <v>336.1344537815126</v>
      </c>
      <c r="L138" s="130">
        <f t="shared" ref="L138" si="509">IF(L$54,10^6/L137,"")</f>
        <v>338.0662609871535</v>
      </c>
      <c r="M138" s="130" t="str">
        <f t="shared" ref="M138" si="510">IF(M$54,10^6/M137,"")</f>
        <v/>
      </c>
      <c r="N138" s="130">
        <f t="shared" ref="N138" si="511">IF(N$54,10^6/N137,"")</f>
        <v>336.2474781439139</v>
      </c>
      <c r="O138" s="130">
        <f t="shared" ref="O138" si="512">IF(O$54,10^6/O137,"")</f>
        <v>336.2474781439139</v>
      </c>
      <c r="P138" s="130" t="str">
        <f t="shared" ref="P138" si="513">IF(P$54,10^6/P137,"")</f>
        <v/>
      </c>
      <c r="Q138" s="130">
        <f t="shared" ref="Q138" si="514">IF(Q$54,10^6/Q137,"")</f>
        <v>329.16392363396972</v>
      </c>
      <c r="R138" s="130">
        <f t="shared" ref="R138" si="515">IF(R$54,10^6/R137,"")</f>
        <v>340.59945504087193</v>
      </c>
      <c r="S138" s="130">
        <f t="shared" ref="S138" si="516">IF(S$54,10^6/S137,"")</f>
        <v>338.63867253640365</v>
      </c>
      <c r="T138" s="130">
        <f t="shared" ref="T138" si="517">IF(T$54,10^6/T137,"")</f>
        <v>342.3485107839781</v>
      </c>
      <c r="U138" s="130">
        <f t="shared" ref="U138" si="518">IF(U$54,10^6/U137,"")</f>
        <v>340.59945504087193</v>
      </c>
      <c r="V138" s="130">
        <f t="shared" ref="V138" si="519">IF(V$54,10^6/V137,"")</f>
        <v>334.11293017039759</v>
      </c>
      <c r="W138" s="130">
        <f t="shared" ref="W138" si="520">IF(W$54,10^6/W137,"")</f>
        <v>334.56005352960858</v>
      </c>
      <c r="X138" s="130">
        <f t="shared" ref="X138" si="521">IF(X$54,10^6/X137,"")</f>
        <v>336.58700774150117</v>
      </c>
      <c r="Y138" s="130">
        <f t="shared" ref="Y138" si="522">IF(Y$54,10^6/Y137,"")</f>
        <v>347.94711203897009</v>
      </c>
      <c r="Z138" s="130">
        <f t="shared" ref="Z138" si="523">IF(Z$54,10^6/Z137,"")</f>
        <v>344.58993797381117</v>
      </c>
      <c r="AA138" s="130">
        <f t="shared" ref="AA138" si="524">IF(AA$54,10^6/AA137,"")</f>
        <v>336.2474781439139</v>
      </c>
      <c r="AB138" s="130">
        <f t="shared" ref="AB138" si="525">IF(AB$54,10^6/AB137,"")</f>
        <v>332.77870216306155</v>
      </c>
      <c r="AC138" s="130">
        <f t="shared" ref="AC138" si="526">IF(AC$54,10^6/AC137,"")</f>
        <v>344.58993797381117</v>
      </c>
      <c r="AD138" s="130">
        <f t="shared" ref="AD138" si="527">IF(AD$54,10^6/AD137,"")</f>
        <v>333.889816360601</v>
      </c>
      <c r="AE138" s="130">
        <f t="shared" ref="AE138" si="528">IF(AE$54,10^6/AE137,"")</f>
        <v>338.9830508474576</v>
      </c>
      <c r="AF138" s="130">
        <f t="shared" ref="AF138" si="529">IF(AF$54,10^6/AF137,"")</f>
        <v>341.88034188034186</v>
      </c>
      <c r="AG138" s="130">
        <f t="shared" ref="AG138" si="530">IF(AG$54,10^6/AG137,"")</f>
        <v>317.35956839098696</v>
      </c>
      <c r="AH138" s="130">
        <f t="shared" ref="AH138" si="531">IF(AH$54,10^6/AH137,"")</f>
        <v>331.6749585406302</v>
      </c>
      <c r="AI138" s="130" t="str">
        <f t="shared" ref="AI138" si="532">IF(AI$54,10^6/AI137,"")</f>
        <v/>
      </c>
      <c r="AJ138" s="130">
        <f t="shared" ref="AJ138" si="533">IF(AJ$54,10^6/AJ137,"")</f>
        <v>335.34540576794097</v>
      </c>
      <c r="AK138" s="130">
        <f t="shared" ref="AK138" si="534">IF(AK$54,10^6/AK137,"")</f>
        <v>331.6749585406302</v>
      </c>
      <c r="AL138" s="130">
        <f t="shared" ref="AL138" si="535">IF(AL$54,10^6/AL137,"")</f>
        <v>332.44680851063828</v>
      </c>
      <c r="AM138" s="130">
        <f t="shared" ref="AM138" si="536">IF(AM$54,10^6/AM137,"")</f>
        <v>339.44331296673454</v>
      </c>
      <c r="AN138" s="130">
        <f t="shared" ref="AN138" si="537">IF(AN$54,10^6/AN137,"")</f>
        <v>325.94524119947846</v>
      </c>
    </row>
    <row r="139" spans="1:40">
      <c r="A139" s="74"/>
      <c r="B139" s="242"/>
      <c r="C139" s="242" t="str">
        <f>C117</f>
        <v>Error</v>
      </c>
      <c r="D139" s="59" t="str">
        <f>C131</f>
        <v>LO</v>
      </c>
      <c r="E139" s="242" t="str">
        <f>E117</f>
        <v>Δxy</v>
      </c>
      <c r="F139" s="60">
        <f t="shared" si="211"/>
        <v>1.116437098098113E-2</v>
      </c>
      <c r="G139" s="60">
        <f t="shared" si="212"/>
        <v>2.7402890174998526E-3</v>
      </c>
      <c r="H139" s="60">
        <f>H125/SUM(H125:H127)</f>
        <v>0.45660191787558396</v>
      </c>
      <c r="I139" s="108" t="str">
        <f>IF(I$54,((I131-$H139)^2+(I132-$H140)^2)^0.5,"")</f>
        <v/>
      </c>
      <c r="J139" s="108" t="str">
        <f t="shared" ref="J139" si="538">IF(J$54,((J131-$H139)^2+(J132-$H140)^2)^0.5,"")</f>
        <v/>
      </c>
      <c r="K139" s="108">
        <f t="shared" ref="K139" si="539">IF(K$54,((K131-$H139)^2+(K132-$H140)^2)^0.5,"")</f>
        <v>1.0956528824644523E-2</v>
      </c>
      <c r="L139" s="108">
        <f t="shared" ref="L139" si="540">IF(L$54,((L131-$H139)^2+(L132-$H140)^2)^0.5,"")</f>
        <v>1.0561055933270174E-2</v>
      </c>
      <c r="M139" s="108" t="str">
        <f t="shared" ref="M139" si="541">IF(M$54,((M131-$H139)^2+(M132-$H140)^2)^0.5,"")</f>
        <v/>
      </c>
      <c r="N139" s="108">
        <f t="shared" ref="N139" si="542">IF(N$54,((N131-$H139)^2+(N132-$H140)^2)^0.5,"")</f>
        <v>9.33117592120381E-3</v>
      </c>
      <c r="O139" s="108">
        <f t="shared" ref="O139" si="543">IF(O$54,((O131-$H139)^2+(O132-$H140)^2)^0.5,"")</f>
        <v>1.077628446355618E-2</v>
      </c>
      <c r="P139" s="108" t="str">
        <f t="shared" ref="P139" si="544">IF(P$54,((P131-$H139)^2+(P132-$H140)^2)^0.5,"")</f>
        <v/>
      </c>
      <c r="Q139" s="108">
        <f t="shared" ref="Q139" si="545">IF(Q$54,((Q131-$H139)^2+(Q132-$H140)^2)^0.5,"")</f>
        <v>1.4547795569746232E-2</v>
      </c>
      <c r="R139" s="108">
        <f t="shared" ref="R139" si="546">IF(R$54,((R131-$H139)^2+(R132-$H140)^2)^0.5,"")</f>
        <v>9.1761075710977049E-3</v>
      </c>
      <c r="S139" s="108">
        <f t="shared" ref="S139" si="547">IF(S$54,((S131-$H139)^2+(S132-$H140)^2)^0.5,"")</f>
        <v>1.5014721315324001E-2</v>
      </c>
      <c r="T139" s="108">
        <f t="shared" ref="T139" si="548">IF(T$54,((T131-$H139)^2+(T132-$H140)^2)^0.5,"")</f>
        <v>9.1867957444643992E-3</v>
      </c>
      <c r="U139" s="108">
        <f t="shared" ref="U139" si="549">IF(U$54,((U131-$H139)^2+(U132-$H140)^2)^0.5,"")</f>
        <v>1.0193363986683157E-2</v>
      </c>
      <c r="V139" s="108">
        <f t="shared" ref="V139" si="550">IF(V$54,((V131-$H139)^2+(V132-$H140)^2)^0.5,"")</f>
        <v>1.0385357574833966E-2</v>
      </c>
      <c r="W139" s="108">
        <f t="shared" ref="W139" si="551">IF(W$54,((W131-$H139)^2+(W132-$H140)^2)^0.5,"")</f>
        <v>1.2896876359094346E-2</v>
      </c>
      <c r="X139" s="108">
        <f t="shared" ref="X139" si="552">IF(X$54,((X131-$H139)^2+(X132-$H140)^2)^0.5,"")</f>
        <v>9.9690803754141164E-3</v>
      </c>
      <c r="Y139" s="108">
        <f t="shared" ref="Y139" si="553">IF(Y$54,((Y131-$H139)^2+(Y132-$H140)^2)^0.5,"")</f>
        <v>8.7883687842657265E-3</v>
      </c>
      <c r="Z139" s="108">
        <f t="shared" ref="Z139" si="554">IF(Z$54,((Z131-$H139)^2+(Z132-$H140)^2)^0.5,"")</f>
        <v>9.2473433592176555E-3</v>
      </c>
      <c r="AA139" s="108">
        <f t="shared" ref="AA139" si="555">IF(AA$54,((AA131-$H139)^2+(AA132-$H140)^2)^0.5,"")</f>
        <v>9.1228347865682739E-3</v>
      </c>
      <c r="AB139" s="108">
        <f t="shared" ref="AB139" si="556">IF(AB$54,((AB131-$H139)^2+(AB132-$H140)^2)^0.5,"")</f>
        <v>1.1865961446293611E-2</v>
      </c>
      <c r="AC139" s="108">
        <f t="shared" ref="AC139" si="557">IF(AC$54,((AC131-$H139)^2+(AC132-$H140)^2)^0.5,"")</f>
        <v>8.8298702737851769E-3</v>
      </c>
      <c r="AD139" s="108">
        <f t="shared" ref="AD139" si="558">IF(AD$54,((AD131-$H139)^2+(AD132-$H140)^2)^0.5,"")</f>
        <v>8.7856818798536501E-3</v>
      </c>
      <c r="AE139" s="108">
        <f t="shared" ref="AE139" si="559">IF(AE$54,((AE131-$H139)^2+(AE132-$H140)^2)^0.5,"")</f>
        <v>1.0317377053655456E-2</v>
      </c>
      <c r="AF139" s="108">
        <f t="shared" ref="AF139" si="560">IF(AF$54,((AF131-$H139)^2+(AF132-$H140)^2)^0.5,"")</f>
        <v>9.3648384711308794E-3</v>
      </c>
      <c r="AG139" s="108">
        <f t="shared" ref="AG139" si="561">IF(AG$54,((AG131-$H139)^2+(AG132-$H140)^2)^0.5,"")</f>
        <v>1.856143805229292E-2</v>
      </c>
      <c r="AH139" s="108">
        <f t="shared" ref="AH139" si="562">IF(AH$54,((AH131-$H139)^2+(AH132-$H140)^2)^0.5,"")</f>
        <v>1.7282184334227898E-2</v>
      </c>
      <c r="AI139" s="108" t="str">
        <f t="shared" ref="AI139" si="563">IF(AI$54,((AI131-$H139)^2+(AI132-$H140)^2)^0.5,"")</f>
        <v/>
      </c>
      <c r="AJ139" s="108">
        <f t="shared" ref="AJ139" si="564">IF(AJ$54,((AJ131-$H139)^2+(AJ132-$H140)^2)^0.5,"")</f>
        <v>8.7684444157956308E-3</v>
      </c>
      <c r="AK139" s="108">
        <f t="shared" ref="AK139" si="565">IF(AK$54,((AK131-$H139)^2+(AK132-$H140)^2)^0.5,"")</f>
        <v>1.5373579615501901E-2</v>
      </c>
      <c r="AL139" s="108">
        <f t="shared" ref="AL139" si="566">IF(AL$54,((AL131-$H139)^2+(AL132-$H140)^2)^0.5,"")</f>
        <v>1.0983761247296496E-2</v>
      </c>
      <c r="AM139" s="108">
        <f t="shared" ref="AM139" si="567">IF(AM$54,((AM131-$H139)^2+(AM132-$H140)^2)^0.5,"")</f>
        <v>8.868069626408126E-3</v>
      </c>
      <c r="AN139" s="108">
        <f t="shared" ref="AN139" si="568">IF(AN$54,((AN131-$H139)^2+(AN132-$H140)^2)^0.5,"")</f>
        <v>1.2283119500864465E-2</v>
      </c>
    </row>
    <row r="140" spans="1:40">
      <c r="A140" s="74"/>
      <c r="B140" s="242"/>
      <c r="C140" s="242"/>
      <c r="D140" s="59" t="str">
        <f>C135</f>
        <v>HI</v>
      </c>
      <c r="E140" s="242"/>
      <c r="F140" s="60">
        <f t="shared" si="211"/>
        <v>1.0643646405396293E-2</v>
      </c>
      <c r="G140" s="60">
        <f t="shared" si="212"/>
        <v>3.0118127371620302E-3</v>
      </c>
      <c r="H140" s="60">
        <f>H126/SUM(H125:H127)</f>
        <v>0.41922793213671011</v>
      </c>
      <c r="I140" s="108" t="str">
        <f>IF(I$54,((I135-$H139)^2+(I136-$H140)^2)^0.5,"")</f>
        <v/>
      </c>
      <c r="J140" s="108" t="str">
        <f t="shared" ref="J140" si="569">IF(J$54,((J135-$H139)^2+(J136-$H140)^2)^0.5,"")</f>
        <v/>
      </c>
      <c r="K140" s="108">
        <f t="shared" ref="K140" si="570">IF(K$54,((K135-$H139)^2+(K136-$H140)^2)^0.5,"")</f>
        <v>9.3381725591707189E-3</v>
      </c>
      <c r="L140" s="108">
        <f t="shared" ref="L140" si="571">IF(L$54,((L135-$H139)^2+(L136-$H140)^2)^0.5,"")</f>
        <v>8.8072945902078811E-3</v>
      </c>
      <c r="M140" s="108" t="str">
        <f t="shared" ref="M140" si="572">IF(M$54,((M135-$H139)^2+(M136-$H140)^2)^0.5,"")</f>
        <v/>
      </c>
      <c r="N140" s="108">
        <f t="shared" ref="N140" si="573">IF(N$54,((N135-$H139)^2+(N136-$H140)^2)^0.5,"")</f>
        <v>9.282202520216205E-3</v>
      </c>
      <c r="O140" s="108">
        <f t="shared" ref="O140" si="574">IF(O$54,((O135-$H139)^2+(O136-$H140)^2)^0.5,"")</f>
        <v>9.282202520216205E-3</v>
      </c>
      <c r="P140" s="108" t="str">
        <f t="shared" ref="P140" si="575">IF(P$54,((P135-$H139)^2+(P136-$H140)^2)^0.5,"")</f>
        <v/>
      </c>
      <c r="Q140" s="108">
        <f t="shared" ref="Q140" si="576">IF(Q$54,((Q135-$H139)^2+(Q136-$H140)^2)^0.5,"")</f>
        <v>1.3398189353100652E-2</v>
      </c>
      <c r="R140" s="108">
        <f t="shared" ref="R140" si="577">IF(R$54,((R135-$H139)^2+(R136-$H140)^2)^0.5,"")</f>
        <v>8.723125050988035E-3</v>
      </c>
      <c r="S140" s="108">
        <f t="shared" ref="S140" si="578">IF(S$54,((S135-$H139)^2+(S136-$H140)^2)^0.5,"")</f>
        <v>8.7391955266494063E-3</v>
      </c>
      <c r="T140" s="108">
        <f t="shared" ref="T140" si="579">IF(T$54,((T135-$H139)^2+(T136-$H140)^2)^0.5,"")</f>
        <v>9.1822756746644148E-3</v>
      </c>
      <c r="U140" s="108">
        <f t="shared" ref="U140" si="580">IF(U$54,((U135-$H139)^2+(U136-$H140)^2)^0.5,"")</f>
        <v>8.8306793193598954E-3</v>
      </c>
      <c r="V140" s="108">
        <f t="shared" ref="V140" si="581">IF(V$54,((V135-$H139)^2+(V136-$H140)^2)^0.5,"")</f>
        <v>1.0254061191218035E-2</v>
      </c>
      <c r="W140" s="108">
        <f t="shared" ref="W140" si="582">IF(W$54,((W135-$H139)^2+(W136-$H140)^2)^0.5,"")</f>
        <v>1.0051083145667114E-2</v>
      </c>
      <c r="X140" s="108">
        <f t="shared" ref="X140" si="583">IF(X$54,((X135-$H139)^2+(X136-$H140)^2)^0.5,"")</f>
        <v>9.1861668798896446E-3</v>
      </c>
      <c r="Y140" s="108">
        <f t="shared" ref="Y140" si="584">IF(Y$54,((Y135-$H139)^2+(Y136-$H140)^2)^0.5,"")</f>
        <v>1.2077326144708104E-2</v>
      </c>
      <c r="Z140" s="108">
        <f t="shared" ref="Z140" si="585">IF(Z$54,((Z135-$H139)^2+(Z136-$H140)^2)^0.5,"")</f>
        <v>1.0032298543443436E-2</v>
      </c>
      <c r="AA140" s="108">
        <f t="shared" ref="AA140" si="586">IF(AA$54,((AA135-$H139)^2+(AA136-$H140)^2)^0.5,"")</f>
        <v>9.282202520216205E-3</v>
      </c>
      <c r="AB140" s="108">
        <f t="shared" ref="AB140" si="587">IF(AB$54,((AB135-$H139)^2+(AB136-$H140)^2)^0.5,"")</f>
        <v>1.0972730201535646E-2</v>
      </c>
      <c r="AC140" s="108">
        <f t="shared" ref="AC140" si="588">IF(AC$54,((AC135-$H139)^2+(AC136-$H140)^2)^0.5,"")</f>
        <v>1.0032298543443436E-2</v>
      </c>
      <c r="AD140" s="108">
        <f t="shared" ref="AD140" si="589">IF(AD$54,((AD135-$H139)^2+(AD136-$H140)^2)^0.5,"")</f>
        <v>1.0351184398977463E-2</v>
      </c>
      <c r="AE140" s="108">
        <f t="shared" ref="AE140" si="590">IF(AE$54,((AE135-$H139)^2+(AE136-$H140)^2)^0.5,"")</f>
        <v>8.6517660198708653E-3</v>
      </c>
      <c r="AF140" s="108">
        <f t="shared" ref="AF140" si="591">IF(AF$54,((AF135-$H139)^2+(AF136-$H140)^2)^0.5,"")</f>
        <v>8.9466622596778289E-3</v>
      </c>
      <c r="AG140" s="108">
        <f t="shared" ref="AG140" si="592">IF(AG$54,((AG135-$H139)^2+(AG136-$H140)^2)^0.5,"")</f>
        <v>2.3190375447100259E-2</v>
      </c>
      <c r="AH140" s="108">
        <f t="shared" ref="AH140" si="593">IF(AH$54,((AH135-$H139)^2+(AH136-$H140)^2)^0.5,"")</f>
        <v>1.164946566686048E-2</v>
      </c>
      <c r="AI140" s="108" t="str">
        <f t="shared" ref="AI140" si="594">IF(AI$54,((AI135-$H139)^2+(AI136-$H140)^2)^0.5,"")</f>
        <v/>
      </c>
      <c r="AJ140" s="108">
        <f t="shared" ref="AJ140" si="595">IF(AJ$54,((AJ135-$H139)^2+(AJ136-$H140)^2)^0.5,"")</f>
        <v>9.6557685104533934E-3</v>
      </c>
      <c r="AK140" s="108">
        <f t="shared" ref="AK140" si="596">IF(AK$54,((AK135-$H139)^2+(AK136-$H140)^2)^0.5,"")</f>
        <v>1.164946566686048E-2</v>
      </c>
      <c r="AL140" s="108">
        <f t="shared" ref="AL140" si="597">IF(AL$54,((AL135-$H139)^2+(AL136-$H140)^2)^0.5,"")</f>
        <v>1.1155580339935694E-2</v>
      </c>
      <c r="AM140" s="108">
        <f t="shared" ref="AM140" si="598">IF(AM$54,((AM135-$H139)^2+(AM136-$H140)^2)^0.5,"")</f>
        <v>8.7189978925012786E-3</v>
      </c>
      <c r="AN140" s="108">
        <f t="shared" ref="AN140" si="599">IF(AN$54,((AN135-$H139)^2+(AN136-$H140)^2)^0.5,"")</f>
        <v>1.5937682458767193E-2</v>
      </c>
    </row>
    <row r="141" spans="1:40">
      <c r="A141" s="74"/>
      <c r="B141" s="242"/>
      <c r="C141" s="242"/>
      <c r="D141" s="59" t="str">
        <f>D139</f>
        <v>LO</v>
      </c>
      <c r="E141" s="242" t="str">
        <f t="shared" ref="E141" si="600">E119</f>
        <v>MK-1</v>
      </c>
      <c r="F141" s="61">
        <f t="shared" si="211"/>
        <v>-20.771119560706463</v>
      </c>
      <c r="G141" s="61">
        <f t="shared" si="212"/>
        <v>5.4170242122322758</v>
      </c>
      <c r="H141" s="243">
        <f>10^6/H143</f>
        <v>354.86160397444996</v>
      </c>
      <c r="I141" s="130" t="str">
        <f>IF(I$54,I134-$H141,"")</f>
        <v/>
      </c>
      <c r="J141" s="130" t="str">
        <f t="shared" ref="J141:AN141" si="601">IF(J$54,J134-$H141,"")</f>
        <v/>
      </c>
      <c r="K141" s="130">
        <f t="shared" si="601"/>
        <v>-22.08290181138841</v>
      </c>
      <c r="L141" s="130">
        <f t="shared" si="601"/>
        <v>-21.305900171914914</v>
      </c>
      <c r="M141" s="130" t="str">
        <f t="shared" si="601"/>
        <v/>
      </c>
      <c r="N141" s="130">
        <f t="shared" si="601"/>
        <v>-18.727150192937358</v>
      </c>
      <c r="O141" s="130">
        <f t="shared" si="601"/>
        <v>-21.750344813890308</v>
      </c>
      <c r="P141" s="130" t="str">
        <f t="shared" si="601"/>
        <v/>
      </c>
      <c r="Q141" s="130">
        <f t="shared" si="601"/>
        <v>-27.207606595681966</v>
      </c>
      <c r="R141" s="130">
        <f t="shared" si="601"/>
        <v>-18.161267274113243</v>
      </c>
      <c r="S141" s="130">
        <f t="shared" si="601"/>
        <v>-27.850485596425131</v>
      </c>
      <c r="T141" s="130">
        <f t="shared" si="601"/>
        <v>-18.047861973776321</v>
      </c>
      <c r="U141" s="130">
        <f t="shared" si="601"/>
        <v>-20.637005043968657</v>
      </c>
      <c r="V141" s="130">
        <f t="shared" si="601"/>
        <v>-20.97178761384896</v>
      </c>
      <c r="W141" s="130">
        <f t="shared" si="601"/>
        <v>-25.046300544370808</v>
      </c>
      <c r="X141" s="130">
        <f t="shared" si="601"/>
        <v>-20.189582555440609</v>
      </c>
      <c r="Y141" s="130">
        <f t="shared" si="601"/>
        <v>-14.84120275037651</v>
      </c>
      <c r="Z141" s="130">
        <f t="shared" si="601"/>
        <v>-12.395850549792442</v>
      </c>
      <c r="AA141" s="130">
        <f t="shared" si="601"/>
        <v>-17.93438025477343</v>
      </c>
      <c r="AB141" s="130">
        <f t="shared" si="601"/>
        <v>-23.406516138851714</v>
      </c>
      <c r="AC141" s="130">
        <f t="shared" si="601"/>
        <v>-14.14610141908372</v>
      </c>
      <c r="AD141" s="130">
        <f t="shared" si="601"/>
        <v>-16.452128509136912</v>
      </c>
      <c r="AE141" s="130">
        <f t="shared" si="601"/>
        <v>-20.860267969105962</v>
      </c>
      <c r="AF141" s="130">
        <f t="shared" si="601"/>
        <v>-11.808430732597458</v>
      </c>
      <c r="AG141" s="130">
        <f t="shared" si="601"/>
        <v>-32.176866962510644</v>
      </c>
      <c r="AH141" s="130">
        <f t="shared" si="601"/>
        <v>-30.607388669651016</v>
      </c>
      <c r="AI141" s="130" t="str">
        <f t="shared" si="601"/>
        <v/>
      </c>
      <c r="AJ141" s="130">
        <f t="shared" si="601"/>
        <v>-15.648578194259983</v>
      </c>
      <c r="AK141" s="130">
        <f t="shared" si="601"/>
        <v>-28.277671903907844</v>
      </c>
      <c r="AL141" s="130">
        <f t="shared" si="601"/>
        <v>-22.08290181138841</v>
      </c>
      <c r="AM141" s="130">
        <f t="shared" si="601"/>
        <v>-14.029974799262504</v>
      </c>
      <c r="AN141" s="130">
        <f t="shared" si="601"/>
        <v>-24.17377328661928</v>
      </c>
    </row>
    <row r="142" spans="1:40">
      <c r="A142" s="74"/>
      <c r="B142" s="242"/>
      <c r="C142" s="242"/>
      <c r="D142" s="59" t="str">
        <f t="shared" ref="D142:D146" si="602">D140</f>
        <v>HI</v>
      </c>
      <c r="E142" s="242"/>
      <c r="F142" s="61">
        <f t="shared" si="211"/>
        <v>-18.635592462112758</v>
      </c>
      <c r="G142" s="61">
        <f t="shared" si="212"/>
        <v>6.2168484175397909</v>
      </c>
      <c r="H142" s="243"/>
      <c r="I142" s="130" t="str">
        <f>IF(I$54,I138-$H141,"")</f>
        <v/>
      </c>
      <c r="J142" s="130" t="str">
        <f t="shared" ref="J142" si="603">IF(J$54,J138-$H141,"")</f>
        <v/>
      </c>
      <c r="K142" s="130">
        <f t="shared" ref="K142" si="604">IF(K$54,K138-$H141,"")</f>
        <v>-18.727150192937358</v>
      </c>
      <c r="L142" s="130">
        <f t="shared" ref="L142" si="605">IF(L$54,L138-$H141,"")</f>
        <v>-16.795342987296465</v>
      </c>
      <c r="M142" s="130" t="str">
        <f t="shared" ref="M142" si="606">IF(M$54,M138-$H141,"")</f>
        <v/>
      </c>
      <c r="N142" s="130">
        <f t="shared" ref="N142" si="607">IF(N$54,N138-$H141,"")</f>
        <v>-18.614125830536068</v>
      </c>
      <c r="O142" s="130">
        <f t="shared" ref="O142" si="608">IF(O$54,O138-$H141,"")</f>
        <v>-18.614125830536068</v>
      </c>
      <c r="P142" s="130" t="str">
        <f t="shared" ref="P142" si="609">IF(P$54,P138-$H141,"")</f>
        <v/>
      </c>
      <c r="Q142" s="130">
        <f t="shared" ref="Q142" si="610">IF(Q$54,Q138-$H141,"")</f>
        <v>-25.697680340480247</v>
      </c>
      <c r="R142" s="130">
        <f t="shared" ref="R142" si="611">IF(R$54,R138-$H141,"")</f>
        <v>-14.262148933578032</v>
      </c>
      <c r="S142" s="130">
        <f t="shared" ref="S142" si="612">IF(S$54,S138-$H141,"")</f>
        <v>-16.222931438046317</v>
      </c>
      <c r="T142" s="130">
        <f t="shared" ref="T142" si="613">IF(T$54,T138-$H141,"")</f>
        <v>-12.513093190471864</v>
      </c>
      <c r="U142" s="130">
        <f t="shared" ref="U142" si="614">IF(U$54,U138-$H141,"")</f>
        <v>-14.262148933578032</v>
      </c>
      <c r="V142" s="130">
        <f t="shared" ref="V142" si="615">IF(V$54,V138-$H141,"")</f>
        <v>-20.748673804052373</v>
      </c>
      <c r="W142" s="130">
        <f t="shared" ref="W142" si="616">IF(W$54,W138-$H141,"")</f>
        <v>-20.301550444841382</v>
      </c>
      <c r="X142" s="130">
        <f t="shared" ref="X142" si="617">IF(X$54,X138-$H141,"")</f>
        <v>-18.274596232948795</v>
      </c>
      <c r="Y142" s="130">
        <f t="shared" ref="Y142" si="618">IF(Y$54,Y138-$H141,"")</f>
        <v>-6.9144919354798731</v>
      </c>
      <c r="Z142" s="130">
        <f t="shared" ref="Z142" si="619">IF(Z$54,Z138-$H141,"")</f>
        <v>-10.271666000638788</v>
      </c>
      <c r="AA142" s="130">
        <f t="shared" ref="AA142" si="620">IF(AA$54,AA138-$H141,"")</f>
        <v>-18.614125830536068</v>
      </c>
      <c r="AB142" s="130">
        <f t="shared" ref="AB142" si="621">IF(AB$54,AB138-$H141,"")</f>
        <v>-22.08290181138841</v>
      </c>
      <c r="AC142" s="130">
        <f t="shared" ref="AC142" si="622">IF(AC$54,AC138-$H141,"")</f>
        <v>-10.271666000638788</v>
      </c>
      <c r="AD142" s="130">
        <f t="shared" ref="AD142" si="623">IF(AD$54,AD138-$H141,"")</f>
        <v>-20.97178761384896</v>
      </c>
      <c r="AE142" s="130">
        <f t="shared" ref="AE142" si="624">IF(AE$54,AE138-$H141,"")</f>
        <v>-15.878553126992358</v>
      </c>
      <c r="AF142" s="130">
        <f t="shared" ref="AF142" si="625">IF(AF$54,AF138-$H141,"")</f>
        <v>-12.981262094108104</v>
      </c>
      <c r="AG142" s="130">
        <f t="shared" ref="AG142" si="626">IF(AG$54,AG138-$H141,"")</f>
        <v>-37.502035583462998</v>
      </c>
      <c r="AH142" s="130">
        <f t="shared" ref="AH142" si="627">IF(AH$54,AH138-$H141,"")</f>
        <v>-23.186645433819763</v>
      </c>
      <c r="AI142" s="130" t="str">
        <f t="shared" ref="AI142" si="628">IF(AI$54,AI138-$H141,"")</f>
        <v/>
      </c>
      <c r="AJ142" s="130">
        <f t="shared" ref="AJ142" si="629">IF(AJ$54,AJ138-$H141,"")</f>
        <v>-19.516198206508989</v>
      </c>
      <c r="AK142" s="130">
        <f t="shared" ref="AK142" si="630">IF(AK$54,AK138-$H141,"")</f>
        <v>-23.186645433819763</v>
      </c>
      <c r="AL142" s="130">
        <f t="shared" ref="AL142" si="631">IF(AL$54,AL138-$H141,"")</f>
        <v>-22.414795463811686</v>
      </c>
      <c r="AM142" s="130">
        <f t="shared" ref="AM142" si="632">IF(AM$54,AM138-$H141,"")</f>
        <v>-15.418291007715425</v>
      </c>
      <c r="AN142" s="130">
        <f t="shared" ref="AN142" si="633">IF(AN$54,AN138-$H141,"")</f>
        <v>-28.916362774971503</v>
      </c>
    </row>
    <row r="143" spans="1:40">
      <c r="A143" s="74"/>
      <c r="B143" s="242"/>
      <c r="C143" s="242"/>
      <c r="D143" s="59" t="str">
        <f t="shared" si="602"/>
        <v>LO</v>
      </c>
      <c r="E143" s="242" t="str">
        <f t="shared" ref="E143" si="634">E121</f>
        <v>%/CCT</v>
      </c>
      <c r="F143" s="63">
        <f t="shared" si="211"/>
        <v>5.853301492207081E-2</v>
      </c>
      <c r="G143" s="63">
        <f t="shared" si="212"/>
        <v>1.5265174230070558E-2</v>
      </c>
      <c r="H143" s="242">
        <f>getCCTfromXY(H139,H140,0)</f>
        <v>2818</v>
      </c>
      <c r="I143" s="91" t="str">
        <f>IF(I$54,1-$H143/I133,"")</f>
        <v/>
      </c>
      <c r="J143" s="91" t="str">
        <f t="shared" ref="J143:AN143" si="635">IF(J$54,1-$H143/J133,"")</f>
        <v/>
      </c>
      <c r="K143" s="91">
        <f t="shared" si="635"/>
        <v>6.2229617304492502E-2</v>
      </c>
      <c r="L143" s="91">
        <f t="shared" si="635"/>
        <v>6.0040026684456294E-2</v>
      </c>
      <c r="M143" s="91" t="str">
        <f t="shared" si="635"/>
        <v/>
      </c>
      <c r="N143" s="91">
        <f t="shared" si="635"/>
        <v>5.2773109243697491E-2</v>
      </c>
      <c r="O143" s="91">
        <f t="shared" si="635"/>
        <v>6.1292471685542971E-2</v>
      </c>
      <c r="P143" s="91" t="str">
        <f t="shared" si="635"/>
        <v/>
      </c>
      <c r="Q143" s="91">
        <f t="shared" si="635"/>
        <v>7.667103538663167E-2</v>
      </c>
      <c r="R143" s="91">
        <f t="shared" si="635"/>
        <v>5.1178451178451212E-2</v>
      </c>
      <c r="S143" s="91">
        <f t="shared" si="635"/>
        <v>7.8482668410725931E-2</v>
      </c>
      <c r="T143" s="91">
        <f t="shared" si="635"/>
        <v>5.0858875042101737E-2</v>
      </c>
      <c r="U143" s="91">
        <f t="shared" si="635"/>
        <v>5.8155080213903698E-2</v>
      </c>
      <c r="V143" s="91">
        <f t="shared" si="635"/>
        <v>5.9098497495826408E-2</v>
      </c>
      <c r="W143" s="91">
        <f t="shared" si="635"/>
        <v>7.0580474934036963E-2</v>
      </c>
      <c r="X143" s="91">
        <f t="shared" si="635"/>
        <v>5.6894243641231634E-2</v>
      </c>
      <c r="Y143" s="91">
        <f t="shared" si="635"/>
        <v>4.1822509350561088E-2</v>
      </c>
      <c r="Z143" s="91">
        <f t="shared" si="635"/>
        <v>3.4931506849315119E-2</v>
      </c>
      <c r="AA143" s="91">
        <f t="shared" si="635"/>
        <v>5.0539083557951447E-2</v>
      </c>
      <c r="AB143" s="91">
        <f t="shared" si="635"/>
        <v>6.5959562479284028E-2</v>
      </c>
      <c r="AC143" s="91">
        <f t="shared" si="635"/>
        <v>3.9863713798977907E-2</v>
      </c>
      <c r="AD143" s="91">
        <f t="shared" si="635"/>
        <v>4.636209813874792E-2</v>
      </c>
      <c r="AE143" s="91">
        <f t="shared" si="635"/>
        <v>5.8784235136940532E-2</v>
      </c>
      <c r="AF143" s="91">
        <f t="shared" si="635"/>
        <v>3.3276157804459694E-2</v>
      </c>
      <c r="AG143" s="91">
        <f t="shared" si="635"/>
        <v>9.0674411100354901E-2</v>
      </c>
      <c r="AH143" s="91">
        <f t="shared" si="635"/>
        <v>8.6251621271076551E-2</v>
      </c>
      <c r="AI143" s="91" t="str">
        <f t="shared" si="635"/>
        <v/>
      </c>
      <c r="AJ143" s="91">
        <f t="shared" si="635"/>
        <v>4.4097693351424661E-2</v>
      </c>
      <c r="AK143" s="91">
        <f t="shared" si="635"/>
        <v>7.9686479425212231E-2</v>
      </c>
      <c r="AL143" s="91">
        <f t="shared" si="635"/>
        <v>6.2229617304492502E-2</v>
      </c>
      <c r="AM143" s="91">
        <f t="shared" si="635"/>
        <v>3.9536468984321727E-2</v>
      </c>
      <c r="AN143" s="91">
        <f t="shared" si="635"/>
        <v>6.8121693121693139E-2</v>
      </c>
    </row>
    <row r="144" spans="1:40">
      <c r="A144" s="74"/>
      <c r="B144" s="242"/>
      <c r="C144" s="242"/>
      <c r="D144" s="59" t="str">
        <f t="shared" si="602"/>
        <v>HI</v>
      </c>
      <c r="E144" s="242"/>
      <c r="F144" s="63">
        <f t="shared" si="211"/>
        <v>5.2515099558233733E-2</v>
      </c>
      <c r="G144" s="63">
        <f t="shared" si="212"/>
        <v>1.7519078840627159E-2</v>
      </c>
      <c r="H144" s="242"/>
      <c r="I144" s="91" t="str">
        <f>IF(I$54,1-$H143/I137,"")</f>
        <v/>
      </c>
      <c r="J144" s="91" t="str">
        <f t="shared" ref="J144" si="636">IF(J$54,1-$H143/J137,"")</f>
        <v/>
      </c>
      <c r="K144" s="91">
        <f t="shared" ref="K144" si="637">IF(K$54,1-$H143/K137,"")</f>
        <v>5.2773109243697491E-2</v>
      </c>
      <c r="L144" s="91">
        <f t="shared" ref="L144" si="638">IF(L$54,1-$H143/L137,"")</f>
        <v>4.7329276538201515E-2</v>
      </c>
      <c r="M144" s="91" t="str">
        <f t="shared" ref="M144" si="639">IF(M$54,1-$H143/M137,"")</f>
        <v/>
      </c>
      <c r="N144" s="91">
        <f t="shared" ref="N144" si="640">IF(N$54,1-$H143/N137,"")</f>
        <v>5.2454606590450537E-2</v>
      </c>
      <c r="O144" s="91">
        <f t="shared" ref="O144" si="641">IF(O$54,1-$H143/O137,"")</f>
        <v>5.2454606590450537E-2</v>
      </c>
      <c r="P144" s="91" t="str">
        <f t="shared" ref="P144" si="642">IF(P$54,1-$H143/P137,"")</f>
        <v/>
      </c>
      <c r="Q144" s="91">
        <f t="shared" ref="Q144" si="643">IF(Q$54,1-$H143/Q137,"")</f>
        <v>7.2416063199473357E-2</v>
      </c>
      <c r="R144" s="91">
        <f t="shared" ref="R144" si="644">IF(R$54,1-$H143/R137,"")</f>
        <v>4.0190735694822899E-2</v>
      </c>
      <c r="S144" s="91">
        <f t="shared" ref="S144" si="645">IF(S$54,1-$H143/S137,"")</f>
        <v>4.5716220792414441E-2</v>
      </c>
      <c r="T144" s="91">
        <f t="shared" ref="T144" si="646">IF(T$54,1-$H143/T137,"")</f>
        <v>3.5261896610749743E-2</v>
      </c>
      <c r="U144" s="91">
        <f t="shared" ref="U144" si="647">IF(U$54,1-$H143/U137,"")</f>
        <v>4.0190735694822899E-2</v>
      </c>
      <c r="V144" s="91">
        <f t="shared" ref="V144" si="648">IF(V$54,1-$H143/V137,"")</f>
        <v>5.8469762779819634E-2</v>
      </c>
      <c r="W144" s="91">
        <f t="shared" ref="W144" si="649">IF(W$54,1-$H143/W137,"")</f>
        <v>5.7209769153563017E-2</v>
      </c>
      <c r="X144" s="91">
        <f t="shared" ref="X144" si="650">IF(X$54,1-$H143/X137,"")</f>
        <v>5.1497812184449709E-2</v>
      </c>
      <c r="Y144" s="91">
        <f t="shared" ref="Y144" si="651">IF(Y$54,1-$H143/Y137,"")</f>
        <v>1.9485038274182354E-2</v>
      </c>
      <c r="Z144" s="91">
        <f t="shared" ref="Z144" si="652">IF(Z$54,1-$H143/Z137,"")</f>
        <v>2.8945554789800099E-2</v>
      </c>
      <c r="AA144" s="91">
        <f t="shared" ref="AA144" si="653">IF(AA$54,1-$H143/AA137,"")</f>
        <v>5.2454606590450537E-2</v>
      </c>
      <c r="AB144" s="91">
        <f t="shared" ref="AB144" si="654">IF(AB$54,1-$H143/AB137,"")</f>
        <v>6.2229617304492502E-2</v>
      </c>
      <c r="AC144" s="91">
        <f t="shared" ref="AC144" si="655">IF(AC$54,1-$H143/AC137,"")</f>
        <v>2.8945554789800099E-2</v>
      </c>
      <c r="AD144" s="91">
        <f t="shared" ref="AD144" si="656">IF(AD$54,1-$H143/AD137,"")</f>
        <v>5.9098497495826408E-2</v>
      </c>
      <c r="AE144" s="91">
        <f t="shared" ref="AE144" si="657">IF(AE$54,1-$H143/AE137,"")</f>
        <v>4.4745762711864367E-2</v>
      </c>
      <c r="AF144" s="91">
        <f t="shared" ref="AF144" si="658">IF(AF$54,1-$H143/AF137,"")</f>
        <v>3.6581196581196629E-2</v>
      </c>
      <c r="AG144" s="91">
        <f t="shared" ref="AG144" si="659">IF(AG$54,1-$H143/AG137,"")</f>
        <v>0.10568073627419872</v>
      </c>
      <c r="AH144" s="91">
        <f t="shared" ref="AH144" si="660">IF(AH$54,1-$H143/AH137,"")</f>
        <v>6.5339966832504093E-2</v>
      </c>
      <c r="AI144" s="91" t="str">
        <f t="shared" ref="AI144" si="661">IF(AI$54,1-$H143/AI137,"")</f>
        <v/>
      </c>
      <c r="AJ144" s="91">
        <f t="shared" ref="AJ144" si="662">IF(AJ$54,1-$H143/AJ137,"")</f>
        <v>5.4996646545942274E-2</v>
      </c>
      <c r="AK144" s="91">
        <f t="shared" ref="AK144" si="663">IF(AK$54,1-$H143/AK137,"")</f>
        <v>6.5339966832504093E-2</v>
      </c>
      <c r="AL144" s="91">
        <f t="shared" ref="AL144" si="664">IF(AL$54,1-$H143/AL137,"")</f>
        <v>6.3164893617021267E-2</v>
      </c>
      <c r="AM144" s="91">
        <f t="shared" ref="AM144" si="665">IF(AM$54,1-$H143/AM137,"")</f>
        <v>4.3448744059741973E-2</v>
      </c>
      <c r="AN144" s="91">
        <f t="shared" ref="AN144" si="666">IF(AN$54,1-$H143/AN137,"")</f>
        <v>8.1486310299869635E-2</v>
      </c>
    </row>
    <row r="145" spans="1:40" s="64" customFormat="1">
      <c r="A145" s="74"/>
      <c r="B145" s="242"/>
      <c r="C145" s="242"/>
      <c r="D145" s="64" t="str">
        <f t="shared" si="602"/>
        <v>LO</v>
      </c>
      <c r="E145" s="242" t="s">
        <v>85</v>
      </c>
      <c r="F145" s="63">
        <f t="shared" si="211"/>
        <v>1.4823667418124917E-2</v>
      </c>
      <c r="G145" s="63">
        <f t="shared" si="212"/>
        <v>0.138178164474343</v>
      </c>
      <c r="H145" s="64">
        <f>H126</f>
        <v>852.5</v>
      </c>
      <c r="I145" s="91" t="str">
        <f>IF(I$54,1-$H145/I126,"")</f>
        <v/>
      </c>
      <c r="J145" s="91" t="str">
        <f t="shared" ref="J145:AN145" si="667">IF(J$54,1-$H145/J126,"")</f>
        <v/>
      </c>
      <c r="K145" s="91">
        <f t="shared" si="667"/>
        <v>3.4114696137456768E-2</v>
      </c>
      <c r="L145" s="91">
        <f t="shared" si="667"/>
        <v>0.15955372596616857</v>
      </c>
      <c r="M145" s="91" t="str">
        <f t="shared" si="667"/>
        <v/>
      </c>
      <c r="N145" s="91">
        <f t="shared" si="667"/>
        <v>6.440340250437071E-2</v>
      </c>
      <c r="O145" s="91">
        <f t="shared" si="667"/>
        <v>9.3529004452952536E-2</v>
      </c>
      <c r="P145" s="91" t="str">
        <f t="shared" si="667"/>
        <v/>
      </c>
      <c r="Q145" s="91">
        <f t="shared" si="667"/>
        <v>-2.5280310063192868E-2</v>
      </c>
      <c r="R145" s="91">
        <f t="shared" si="667"/>
        <v>-2.7510567604093428E-2</v>
      </c>
      <c r="S145" s="91">
        <f t="shared" si="667"/>
        <v>-0.19680965809153972</v>
      </c>
      <c r="T145" s="91">
        <f t="shared" si="667"/>
        <v>3.2906613019720643E-2</v>
      </c>
      <c r="U145" s="91">
        <f t="shared" si="667"/>
        <v>-0.14538284954039349</v>
      </c>
      <c r="V145" s="91">
        <f t="shared" si="667"/>
        <v>-6.0406108496685817E-2</v>
      </c>
      <c r="W145" s="91">
        <f t="shared" si="667"/>
        <v>-8.2636868597784741E-2</v>
      </c>
      <c r="X145" s="91">
        <f t="shared" si="667"/>
        <v>-0.20038623709412806</v>
      </c>
      <c r="Y145" s="91">
        <f t="shared" si="667"/>
        <v>7.8524914926358491E-2</v>
      </c>
      <c r="Z145" s="91">
        <f t="shared" si="667"/>
        <v>0.17602603633676428</v>
      </c>
      <c r="AA145" s="91">
        <f t="shared" si="667"/>
        <v>0.16305113316301056</v>
      </c>
      <c r="AB145" s="91">
        <f t="shared" si="667"/>
        <v>0.1737912884797097</v>
      </c>
      <c r="AC145" s="91">
        <f t="shared" si="667"/>
        <v>0.20151022342499714</v>
      </c>
      <c r="AD145" s="91">
        <f t="shared" si="667"/>
        <v>-3.0832329317403762E-2</v>
      </c>
      <c r="AE145" s="91">
        <f t="shared" si="667"/>
        <v>8.9934802710374795E-2</v>
      </c>
      <c r="AF145" s="91">
        <f t="shared" si="667"/>
        <v>0.17183429559529839</v>
      </c>
      <c r="AG145" s="91">
        <f t="shared" si="667"/>
        <v>8.6112486261582188E-2</v>
      </c>
      <c r="AH145" s="91">
        <f t="shared" si="667"/>
        <v>5.7294977778950873E-2</v>
      </c>
      <c r="AI145" s="91" t="str">
        <f t="shared" si="667"/>
        <v/>
      </c>
      <c r="AJ145" s="91">
        <f t="shared" si="667"/>
        <v>-0.13665302648158417</v>
      </c>
      <c r="AK145" s="91">
        <f t="shared" si="667"/>
        <v>8.3445687048597228E-2</v>
      </c>
      <c r="AL145" s="91">
        <f t="shared" si="667"/>
        <v>-0.31221977057815709</v>
      </c>
      <c r="AM145" s="91">
        <f t="shared" si="667"/>
        <v>0.12071718726874947</v>
      </c>
      <c r="AN145" s="91">
        <f t="shared" si="667"/>
        <v>-0.16839372892072646</v>
      </c>
    </row>
    <row r="146" spans="1:40" s="64" customFormat="1">
      <c r="A146" s="74"/>
      <c r="B146" s="242"/>
      <c r="C146" s="242"/>
      <c r="D146" s="64" t="str">
        <f t="shared" si="602"/>
        <v>HI</v>
      </c>
      <c r="E146" s="242"/>
      <c r="F146" s="63">
        <f t="shared" si="211"/>
        <v>2.6873363183760345E-2</v>
      </c>
      <c r="G146" s="63">
        <f t="shared" si="212"/>
        <v>0.1406752144824413</v>
      </c>
      <c r="H146" s="75">
        <f>H145/O$20</f>
        <v>911.56034357305577</v>
      </c>
      <c r="I146" s="91" t="str">
        <f>IF(I$54,1-$H146/I129,"")</f>
        <v/>
      </c>
      <c r="J146" s="91" t="str">
        <f t="shared" ref="J146:AN146" si="668">IF(J$54,1-$H146/J129,"")</f>
        <v/>
      </c>
      <c r="K146" s="91">
        <f t="shared" si="668"/>
        <v>6.9292976625462077E-2</v>
      </c>
      <c r="L146" s="91">
        <f t="shared" si="668"/>
        <v>0.16580371109287939</v>
      </c>
      <c r="M146" s="91" t="str">
        <f t="shared" si="668"/>
        <v/>
      </c>
      <c r="N146" s="91">
        <f t="shared" si="668"/>
        <v>7.1398100860827651E-2</v>
      </c>
      <c r="O146" s="91">
        <f t="shared" si="668"/>
        <v>7.1398100860827651E-2</v>
      </c>
      <c r="P146" s="91" t="str">
        <f t="shared" si="668"/>
        <v/>
      </c>
      <c r="Q146" s="91">
        <f t="shared" si="668"/>
        <v>4.9285735278604137E-2</v>
      </c>
      <c r="R146" s="91">
        <f t="shared" si="668"/>
        <v>5.1279583091640712E-2</v>
      </c>
      <c r="S146" s="91">
        <f t="shared" si="668"/>
        <v>-7.5564125490524825E-2</v>
      </c>
      <c r="T146" s="91">
        <f t="shared" si="668"/>
        <v>-1.6951088200392039E-2</v>
      </c>
      <c r="U146" s="91">
        <f t="shared" si="668"/>
        <v>-0.16411073451069713</v>
      </c>
      <c r="V146" s="91">
        <f t="shared" si="668"/>
        <v>-4.7101944459938094E-2</v>
      </c>
      <c r="W146" s="91">
        <f t="shared" si="668"/>
        <v>-4.6190675316785335E-2</v>
      </c>
      <c r="X146" s="91">
        <f t="shared" si="668"/>
        <v>-0.23409630617378441</v>
      </c>
      <c r="Y146" s="91">
        <f t="shared" si="668"/>
        <v>7.6098038802290047E-2</v>
      </c>
      <c r="Z146" s="91">
        <f t="shared" si="668"/>
        <v>0.18505272057937872</v>
      </c>
      <c r="AA146" s="91">
        <f t="shared" si="668"/>
        <v>7.1398100860827651E-2</v>
      </c>
      <c r="AB146" s="91">
        <f t="shared" si="668"/>
        <v>0.2680975906206734</v>
      </c>
      <c r="AC146" s="91">
        <f t="shared" si="668"/>
        <v>0.18505272057937872</v>
      </c>
      <c r="AD146" s="91">
        <f t="shared" si="668"/>
        <v>-4.9779399485330389E-2</v>
      </c>
      <c r="AE146" s="91">
        <f t="shared" si="668"/>
        <v>0.11093026404705186</v>
      </c>
      <c r="AF146" s="91">
        <f t="shared" si="668"/>
        <v>0.14960360607523171</v>
      </c>
      <c r="AG146" s="91">
        <f t="shared" si="668"/>
        <v>4.6527842901738392E-2</v>
      </c>
      <c r="AH146" s="91">
        <f t="shared" si="668"/>
        <v>0.14800197034217899</v>
      </c>
      <c r="AI146" s="91" t="str">
        <f t="shared" si="668"/>
        <v/>
      </c>
      <c r="AJ146" s="91">
        <f t="shared" si="668"/>
        <v>-0.13396525419183281</v>
      </c>
      <c r="AK146" s="91">
        <f t="shared" si="668"/>
        <v>0.14800197034217899</v>
      </c>
      <c r="AL146" s="91">
        <f t="shared" si="668"/>
        <v>-0.31580618892699475</v>
      </c>
      <c r="AM146" s="91">
        <f t="shared" si="668"/>
        <v>0.11350565393242229</v>
      </c>
      <c r="AN146" s="91">
        <f t="shared" si="668"/>
        <v>-0.17158216417578309</v>
      </c>
    </row>
    <row r="147" spans="1:40">
      <c r="A147" s="74"/>
      <c r="B147" s="242" t="str">
        <f>data0!A39</f>
        <v>U35</v>
      </c>
      <c r="C147" s="242" t="str">
        <f>data0!B39</f>
        <v>LO</v>
      </c>
      <c r="D147" s="242"/>
      <c r="E147" s="59" t="str">
        <f t="shared" ref="E147:E153" si="669">E125</f>
        <v>X</v>
      </c>
      <c r="F147" s="61">
        <f t="shared" si="211"/>
        <v>912.11304520808835</v>
      </c>
      <c r="G147" s="61">
        <f t="shared" si="212"/>
        <v>116.71380737840141</v>
      </c>
      <c r="H147" s="59">
        <f>E14</f>
        <v>863.5</v>
      </c>
      <c r="I147" s="168" t="str">
        <f>IF(I$54,$V$32*($Q$32*data0!F372+$R$32*data0!F373+$S$32*data0!F374+$T$32*data0!F375),"")</f>
        <v/>
      </c>
      <c r="J147" s="168" t="str">
        <f>IF(J$54,$V$32*($Q$32*data0!G372+$R$32*data0!G373+$S$32*data0!G374+$T$32*data0!G375),"")</f>
        <v/>
      </c>
      <c r="K147" s="168">
        <f>IF(K$54,$V$32*($Q$32*data0!H372+$R$32*data0!H373+$S$32*data0!H374+$T$32*data0!H375),"")</f>
        <v>900.96170798359503</v>
      </c>
      <c r="L147" s="168">
        <f>IF(L$54,$V$32*($Q$32*data0!I372+$R$32*data0!I373+$S$32*data0!I374+$T$32*data0!I375),"")</f>
        <v>1042.60912984639</v>
      </c>
      <c r="M147" s="168" t="str">
        <f>IF(M$54,$V$32*($Q$32*data0!J372+$R$32*data0!J373+$S$32*data0!J374+$T$32*data0!J375),"")</f>
        <v/>
      </c>
      <c r="N147" s="168">
        <f>IF(N$54,$V$32*($Q$32*data0!K372+$R$32*data0!K373+$S$32*data0!K374+$T$32*data0!K375),"")</f>
        <v>941.5585741874819</v>
      </c>
      <c r="O147" s="168">
        <f>IF(O$54,$V$32*($Q$32*data0!L372+$R$32*data0!L373+$S$32*data0!L374+$T$32*data0!L375),"")</f>
        <v>965.84785701160297</v>
      </c>
      <c r="P147" s="168" t="str">
        <f>IF(P$54,$V$32*($Q$32*data0!M372+$R$32*data0!M373+$S$32*data0!M374+$T$32*data0!M375),"")</f>
        <v/>
      </c>
      <c r="Q147" s="168">
        <f>IF(Q$54,$V$32*($Q$32*data0!N372+$R$32*data0!N373+$S$32*data0!N374+$T$32*data0!N375),"")</f>
        <v>862.87407767975844</v>
      </c>
      <c r="R147" s="168">
        <f>IF(R$54,$V$32*($Q$32*data0!O372+$R$32*data0!O373+$S$32*data0!O374+$T$32*data0!O375),"")</f>
        <v>857.40320344601571</v>
      </c>
      <c r="S147" s="168">
        <f>IF(S$54,$V$32*($Q$32*data0!P372+$R$32*data0!P373+$S$32*data0!P374+$T$32*data0!P375),"")</f>
        <v>747.60222968839241</v>
      </c>
      <c r="T147" s="168">
        <f>IF(T$54,$V$32*($Q$32*data0!Q372+$R$32*data0!Q373+$S$32*data0!Q374+$T$32*data0!Q375),"")</f>
        <v>922.91640478758518</v>
      </c>
      <c r="U147" s="168">
        <f>IF(U$54,$V$32*($Q$32*data0!R372+$R$32*data0!R373+$S$32*data0!R374+$T$32*data0!R375),"")</f>
        <v>783.24699186409794</v>
      </c>
      <c r="V147" s="168">
        <f>IF(V$54,$V$32*($Q$32*data0!S372+$R$32*data0!S373+$S$32*data0!S374+$T$32*data0!S375),"")</f>
        <v>826.80239434614839</v>
      </c>
      <c r="W147" s="168">
        <f>IF(W$54,$V$32*($Q$32*data0!T372+$R$32*data0!T373+$S$32*data0!T374+$T$32*data0!T375),"")</f>
        <v>824.59769102087625</v>
      </c>
      <c r="X147" s="168">
        <f>IF(X$54,$V$32*($Q$32*data0!U372+$R$32*data0!U373+$S$32*data0!U374+$T$32*data0!U375),"")</f>
        <v>743.29517009410222</v>
      </c>
      <c r="Y147" s="168">
        <f>IF(Y$54,$V$32*($Q$32*data0!V372+$R$32*data0!V373+$S$32*data0!V374+$T$32*data0!V375),"")</f>
        <v>964.81900638410491</v>
      </c>
      <c r="Z147" s="168">
        <f>IF(Z$54,$V$32*($Q$32*data0!W372+$R$32*data0!W373+$S$32*data0!W374+$T$32*data0!W375),"")</f>
        <v>1081.8604645570922</v>
      </c>
      <c r="AA147" s="168">
        <f>IF(AA$54,$V$32*($Q$32*data0!X372+$R$32*data0!X373+$S$32*data0!X374+$T$32*data0!X375),"")</f>
        <v>1061.8989959558724</v>
      </c>
      <c r="AB147" s="168">
        <f>IF(AB$54,$V$32*($Q$32*data0!Y372+$R$32*data0!Y373+$S$32*data0!Y374+$T$32*data0!Y375),"")</f>
        <v>1050.6529764904528</v>
      </c>
      <c r="AC147" s="168">
        <f>IF(AC$54,$V$32*($Q$32*data0!Z372+$R$32*data0!Z373+$S$32*data0!Z374+$T$32*data0!Z375),"")</f>
        <v>1109.7523174299133</v>
      </c>
      <c r="AD147" s="168">
        <f>IF(AD$54,$V$32*($Q$32*data0!AA372+$R$32*data0!AA373+$S$32*data0!AA374+$T$32*data0!AA375),"")</f>
        <v>858.6187837911026</v>
      </c>
      <c r="AE147" s="168">
        <f>IF(AE$54,$V$32*($Q$32*data0!AB372+$R$32*data0!AB373+$S$32*data0!AB374+$T$32*data0!AB375),"")</f>
        <v>949.79706393194988</v>
      </c>
      <c r="AF147" s="168">
        <f>IF(AF$54,$V$32*($Q$32*data0!AC372+$R$32*data0!AC373+$S$32*data0!AC374+$T$32*data0!AC375),"")</f>
        <v>1063.5426297856447</v>
      </c>
      <c r="AG147" s="168">
        <f>IF(AG$54,$V$32*($Q$32*data0!AD372+$R$32*data0!AD373+$S$32*data0!AD374+$T$32*data0!AD375),"")</f>
        <v>949.64823041164072</v>
      </c>
      <c r="AH147" s="168">
        <f>IF(AH$54,$V$32*($Q$32*data0!AE372+$R$32*data0!AE373+$S$32*data0!AE374+$T$32*data0!AE375),"")</f>
        <v>924.36190841858968</v>
      </c>
      <c r="AI147" s="168" t="str">
        <f>IF(AI$54,$V$32*($Q$32*data0!AF372+$R$32*data0!AF373+$S$32*data0!AF374+$T$32*data0!AF375),"")</f>
        <v/>
      </c>
      <c r="AJ147" s="168">
        <f>IF(AJ$54,$V$32*($Q$32*data0!AG372+$R$32*data0!AG373+$S$32*data0!AG374+$T$32*data0!AG375),"")</f>
        <v>786.57401485724085</v>
      </c>
      <c r="AK147" s="168">
        <f>IF(AK$54,$V$32*($Q$32*data0!AH372+$R$32*data0!AH373+$S$32*data0!AH374+$T$32*data0!AH375),"")</f>
        <v>956.57728559518728</v>
      </c>
      <c r="AL147" s="168">
        <f>IF(AL$54,$V$32*($Q$32*data0!AI372+$R$32*data0!AI373+$S$32*data0!AI374+$T$32*data0!AI375),"")</f>
        <v>688.53763780883833</v>
      </c>
      <c r="AM147" s="168">
        <f>IF(AM$54,$V$32*($Q$32*data0!AJ372+$R$32*data0!AJ373+$S$32*data0!AJ374+$T$32*data0!AJ375),"")</f>
        <v>1002.4761458043982</v>
      </c>
      <c r="AN147" s="168">
        <f>IF(AN$54,$V$32*($Q$32*data0!AK372+$R$32*data0!AK373+$S$32*data0!AK374+$T$32*data0!AK375),"")</f>
        <v>758.21932744031062</v>
      </c>
    </row>
    <row r="148" spans="1:40">
      <c r="A148" s="74"/>
      <c r="B148" s="242"/>
      <c r="C148" s="242"/>
      <c r="D148" s="242"/>
      <c r="E148" s="59" t="str">
        <f t="shared" si="669"/>
        <v>Y</v>
      </c>
      <c r="F148" s="61">
        <f t="shared" si="211"/>
        <v>876.69307944368586</v>
      </c>
      <c r="G148" s="61">
        <f t="shared" si="212"/>
        <v>111.42120625466704</v>
      </c>
      <c r="H148" s="59">
        <f>F14</f>
        <v>825.15</v>
      </c>
      <c r="I148" s="168" t="str">
        <f>IF(I$54,$V$32*($Q$33*data0!F372+$R$33*data0!F373+$S$33*data0!F374+$T$33*data0!F375),"")</f>
        <v/>
      </c>
      <c r="J148" s="168" t="str">
        <f>IF(J$54,$V$32*($Q$33*data0!G372+$R$33*data0!G373+$S$33*data0!G374+$T$33*data0!G375),"")</f>
        <v/>
      </c>
      <c r="K148" s="168">
        <f>IF(K$54,$V$32*($Q$33*data0!H372+$R$33*data0!H373+$S$33*data0!H374+$T$33*data0!H375),"")</f>
        <v>868.0493743850285</v>
      </c>
      <c r="L148" s="168">
        <f>IF(L$54,$V$32*($Q$33*data0!I372+$R$33*data0!I373+$S$33*data0!I374+$T$33*data0!I375),"")</f>
        <v>1003.3753438813245</v>
      </c>
      <c r="M148" s="168" t="str">
        <f>IF(M$54,$V$32*($Q$33*data0!J372+$R$33*data0!J373+$S$33*data0!J374+$T$33*data0!J375),"")</f>
        <v/>
      </c>
      <c r="N148" s="168">
        <f>IF(N$54,$V$32*($Q$33*data0!K372+$R$33*data0!K373+$S$33*data0!K374+$T$33*data0!K375),"")</f>
        <v>904.48561868176625</v>
      </c>
      <c r="O148" s="168">
        <f>IF(O$54,$V$32*($Q$33*data0!L372+$R$33*data0!L373+$S$33*data0!L374+$T$33*data0!L375),"")</f>
        <v>929.84659028226395</v>
      </c>
      <c r="P148" s="168" t="str">
        <f>IF(P$54,$V$32*($Q$33*data0!M372+$R$33*data0!M373+$S$33*data0!M374+$T$33*data0!M375),"")</f>
        <v/>
      </c>
      <c r="Q148" s="168">
        <f>IF(Q$54,$V$32*($Q$33*data0!N372+$R$33*data0!N373+$S$33*data0!N374+$T$33*data0!N375),"")</f>
        <v>832.62478554308143</v>
      </c>
      <c r="R148" s="168">
        <f>IF(R$54,$V$32*($Q$33*data0!O372+$R$33*data0!O373+$S$33*data0!O374+$T$33*data0!O375),"")</f>
        <v>823.06696964457319</v>
      </c>
      <c r="S148" s="168">
        <f>IF(S$54,$V$32*($Q$33*data0!P372+$R$33*data0!P373+$S$33*data0!P374+$T$33*data0!P375),"")</f>
        <v>721.29033247162499</v>
      </c>
      <c r="T148" s="168">
        <f>IF(T$54,$V$32*($Q$33*data0!Q372+$R$33*data0!Q373+$S$33*data0!Q374+$T$33*data0!Q375),"")</f>
        <v>884.63725821581431</v>
      </c>
      <c r="U148" s="168">
        <f>IF(U$54,$V$32*($Q$33*data0!R372+$R$33*data0!R373+$S$33*data0!R374+$T$33*data0!R375),"")</f>
        <v>751.81952631841409</v>
      </c>
      <c r="V148" s="168">
        <f>IF(V$54,$V$32*($Q$33*data0!S372+$R$33*data0!S373+$S$33*data0!S374+$T$33*data0!S375),"")</f>
        <v>794.90664620765074</v>
      </c>
      <c r="W148" s="168">
        <f>IF(W$54,$V$32*($Q$33*data0!T372+$R$33*data0!T373+$S$33*data0!T374+$T$33*data0!T375),"")</f>
        <v>793.74633879786882</v>
      </c>
      <c r="X148" s="168">
        <f>IF(X$54,$V$32*($Q$33*data0!U372+$R$33*data0!U373+$S$33*data0!U374+$T$33*data0!U375),"")</f>
        <v>713.61467118076291</v>
      </c>
      <c r="Y148" s="168">
        <f>IF(Y$54,$V$32*($Q$33*data0!V372+$R$33*data0!V373+$S$33*data0!V374+$T$33*data0!V375),"")</f>
        <v>923.41710456911017</v>
      </c>
      <c r="Z148" s="168">
        <f>IF(Z$54,$V$32*($Q$33*data0!W372+$R$33*data0!W373+$S$33*data0!W374+$T$33*data0!W375),"")</f>
        <v>1033.5527801966869</v>
      </c>
      <c r="AA148" s="168">
        <f>IF(AA$54,$V$32*($Q$33*data0!X372+$R$33*data0!X373+$S$33*data0!X374+$T$33*data0!X375),"")</f>
        <v>1017.5234530532693</v>
      </c>
      <c r="AB148" s="168">
        <f>IF(AB$54,$V$32*($Q$33*data0!Y372+$R$33*data0!Y373+$S$33*data0!Y374+$T$33*data0!Y375),"")</f>
        <v>1012.8973006398585</v>
      </c>
      <c r="AC148" s="168">
        <f>IF(AC$54,$V$32*($Q$33*data0!Z372+$R$33*data0!Z373+$S$33*data0!Z374+$T$33*data0!Z375),"")</f>
        <v>1062.1860416251341</v>
      </c>
      <c r="AD148" s="168">
        <f>IF(AD$54,$V$32*($Q$33*data0!AA372+$R$33*data0!AA373+$S$33*data0!AA374+$T$33*data0!AA375),"")</f>
        <v>823.11775840323935</v>
      </c>
      <c r="AE148" s="168">
        <f>IF(AE$54,$V$32*($Q$33*data0!AB372+$R$33*data0!AB373+$S$33*data0!AB374+$T$33*data0!AB375),"")</f>
        <v>914.53698883109507</v>
      </c>
      <c r="AF148" s="168">
        <f>IF(AF$54,$V$32*($Q$33*data0!AC372+$R$33*data0!AC373+$S$33*data0!AC374+$T$33*data0!AC375),"")</f>
        <v>1016.5365471352757</v>
      </c>
      <c r="AG148" s="168">
        <f>IF(AG$54,$V$32*($Q$33*data0!AD372+$R$33*data0!AD373+$S$33*data0!AD374+$T$33*data0!AD375),"")</f>
        <v>921.11438547465605</v>
      </c>
      <c r="AH148" s="168">
        <f>IF(AH$54,$V$32*($Q$33*data0!AE372+$R$33*data0!AE373+$S$33*data0!AE374+$T$33*data0!AE375),"")</f>
        <v>895.67101910428471</v>
      </c>
      <c r="AI148" s="168" t="str">
        <f>IF(AI$54,$V$32*($Q$33*data0!AF372+$R$33*data0!AF373+$S$33*data0!AF374+$T$33*data0!AF375),"")</f>
        <v/>
      </c>
      <c r="AJ148" s="168">
        <f>IF(AJ$54,$V$32*($Q$33*data0!AG372+$R$33*data0!AG373+$S$33*data0!AG374+$T$33*data0!AG375),"")</f>
        <v>752.95485348188288</v>
      </c>
      <c r="AK148" s="168">
        <f>IF(AK$54,$V$32*($Q$33*data0!AH372+$R$33*data0!AH373+$S$33*data0!AH374+$T$33*data0!AH375),"")</f>
        <v>925.41939039106819</v>
      </c>
      <c r="AL148" s="168">
        <f>IF(AL$54,$V$32*($Q$33*data0!AI372+$R$33*data0!AI373+$S$33*data0!AI374+$T$33*data0!AI375),"")</f>
        <v>661.27427557001454</v>
      </c>
      <c r="AM148" s="168">
        <f>IF(AM$54,$V$32*($Q$33*data0!AJ372+$R$33*data0!AJ373+$S$33*data0!AJ374+$T$33*data0!AJ375),"")</f>
        <v>959.28440050567463</v>
      </c>
      <c r="AN148" s="168">
        <f>IF(AN$54,$V$32*($Q$33*data0!AK372+$R$33*data0!AK373+$S$33*data0!AK374+$T$33*data0!AK375),"")</f>
        <v>729.76339038809465</v>
      </c>
    </row>
    <row r="149" spans="1:40">
      <c r="A149" s="74"/>
      <c r="B149" s="242"/>
      <c r="C149" s="242"/>
      <c r="D149" s="242"/>
      <c r="E149" s="59" t="str">
        <f t="shared" si="669"/>
        <v>Z</v>
      </c>
      <c r="F149" s="61">
        <f t="shared" si="211"/>
        <v>343.03986398836327</v>
      </c>
      <c r="G149" s="61">
        <f t="shared" si="212"/>
        <v>45.213522372653919</v>
      </c>
      <c r="H149" s="59">
        <f>G14</f>
        <v>328.05</v>
      </c>
      <c r="I149" s="168" t="str">
        <f>IF(I$54,$V$32*($Q$34*data0!F372+$R$34*data0!F373+$S$34*data0!F374+$T$34*data0!F375),"")</f>
        <v/>
      </c>
      <c r="J149" s="168" t="str">
        <f>IF(J$54,$V$32*($Q$34*data0!G372+$R$34*data0!G373+$S$34*data0!G374+$T$34*data0!G375),"")</f>
        <v/>
      </c>
      <c r="K149" s="168">
        <f>IF(K$54,$V$32*($Q$34*data0!H372+$R$34*data0!H373+$S$34*data0!H374+$T$34*data0!H375),"")</f>
        <v>352.87191459961491</v>
      </c>
      <c r="L149" s="168">
        <f>IF(L$54,$V$32*($Q$34*data0!I372+$R$34*data0!I373+$S$34*data0!I374+$T$34*data0!I375),"")</f>
        <v>400.39619377262335</v>
      </c>
      <c r="M149" s="168" t="str">
        <f>IF(M$54,$V$32*($Q$34*data0!J372+$R$34*data0!J373+$S$34*data0!J374+$T$34*data0!J375),"")</f>
        <v/>
      </c>
      <c r="N149" s="168">
        <f>IF(N$54,$V$32*($Q$34*data0!K372+$R$34*data0!K373+$S$34*data0!K374+$T$34*data0!K375),"")</f>
        <v>351.66543468893087</v>
      </c>
      <c r="O149" s="168">
        <f>IF(O$54,$V$32*($Q$34*data0!L372+$R$34*data0!L373+$S$34*data0!L374+$T$34*data0!L375),"")</f>
        <v>373.39225013700383</v>
      </c>
      <c r="P149" s="168" t="str">
        <f>IF(P$54,$V$32*($Q$34*data0!M372+$R$34*data0!M373+$S$34*data0!M374+$T$34*data0!M375),"")</f>
        <v/>
      </c>
      <c r="Q149" s="168">
        <f>IF(Q$54,$V$32*($Q$34*data0!N372+$R$34*data0!N373+$S$34*data0!N374+$T$34*data0!N375),"")</f>
        <v>344.76459309934467</v>
      </c>
      <c r="R149" s="168">
        <f>IF(R$54,$V$32*($Q$34*data0!O372+$R$34*data0!O373+$S$34*data0!O374+$T$34*data0!O375),"")</f>
        <v>316.72884540539872</v>
      </c>
      <c r="S149" s="168">
        <f>IF(S$54,$V$32*($Q$34*data0!P372+$R$34*data0!P373+$S$34*data0!P374+$T$34*data0!P375),"")</f>
        <v>297.40137007541398</v>
      </c>
      <c r="T149" s="168">
        <f>IF(T$54,$V$32*($Q$34*data0!Q372+$R$34*data0!Q373+$S$34*data0!Q374+$T$34*data0!Q375),"")</f>
        <v>330.55683901697336</v>
      </c>
      <c r="U149" s="168">
        <f>IF(U$54,$V$32*($Q$34*data0!R372+$R$34*data0!R373+$S$34*data0!R374+$T$34*data0!R375),"")</f>
        <v>287.07329745200741</v>
      </c>
      <c r="V149" s="168">
        <f>IF(V$54,$V$32*($Q$34*data0!S372+$R$34*data0!S373+$S$34*data0!S374+$T$34*data0!S375),"")</f>
        <v>312.58905333594959</v>
      </c>
      <c r="W149" s="168">
        <f>IF(W$54,$V$32*($Q$34*data0!T372+$R$34*data0!T373+$S$34*data0!T374+$T$34*data0!T375),"")</f>
        <v>316.07893813637804</v>
      </c>
      <c r="X149" s="168">
        <f>IF(X$54,$V$32*($Q$34*data0!U372+$R$34*data0!U373+$S$34*data0!U374+$T$34*data0!U375),"")</f>
        <v>274.31681211710418</v>
      </c>
      <c r="Y149" s="168">
        <f>IF(Y$54,$V$32*($Q$34*data0!V372+$R$34*data0!V373+$S$34*data0!V374+$T$34*data0!V375),"")</f>
        <v>337.79647398916177</v>
      </c>
      <c r="Z149" s="168">
        <f>IF(Z$54,$V$32*($Q$34*data0!W372+$R$34*data0!W373+$S$34*data0!W374+$T$34*data0!W375),"")</f>
        <v>367.20938590347589</v>
      </c>
      <c r="AA149" s="168">
        <f>IF(AA$54,$V$32*($Q$34*data0!X372+$R$34*data0!X373+$S$34*data0!X374+$T$34*data0!X375),"")</f>
        <v>379.12123121405114</v>
      </c>
      <c r="AB149" s="168">
        <f>IF(AB$54,$V$32*($Q$34*data0!Y372+$R$34*data0!Y373+$S$34*data0!Y374+$T$34*data0!Y375),"")</f>
        <v>415.87768799167674</v>
      </c>
      <c r="AC149" s="168">
        <f>IF(AC$54,$V$32*($Q$34*data0!Z372+$R$34*data0!Z373+$S$34*data0!Z374+$T$34*data0!Z375),"")</f>
        <v>389.26860277441767</v>
      </c>
      <c r="AD149" s="168">
        <f>IF(AD$54,$V$32*($Q$34*data0!AA372+$R$34*data0!AA373+$S$34*data0!AA374+$T$34*data0!AA375),"")</f>
        <v>310.11802453418875</v>
      </c>
      <c r="AE149" s="168">
        <f>IF(AE$54,$V$32*($Q$34*data0!AB372+$R$34*data0!AB373+$S$34*data0!AB374+$T$34*data0!AB375),"")</f>
        <v>369.30552589552673</v>
      </c>
      <c r="AF149" s="168">
        <f>IF(AF$54,$V$32*($Q$34*data0!AC372+$R$34*data0!AC373+$S$34*data0!AC374+$T$34*data0!AC375),"")</f>
        <v>365.05749569211503</v>
      </c>
      <c r="AG149" s="168">
        <f>IF(AG$54,$V$32*($Q$34*data0!AD372+$R$34*data0!AD373+$S$34*data0!AD374+$T$34*data0!AD375),"")</f>
        <v>409.10818113176498</v>
      </c>
      <c r="AH149" s="168">
        <f>IF(AH$54,$V$32*($Q$34*data0!AE372+$R$34*data0!AE373+$S$34*data0!AE374+$T$34*data0!AE375),"")</f>
        <v>392.25359257255917</v>
      </c>
      <c r="AI149" s="168" t="str">
        <f>IF(AI$54,$V$32*($Q$34*data0!AF372+$R$34*data0!AF373+$S$34*data0!AF374+$T$34*data0!AF375),"")</f>
        <v/>
      </c>
      <c r="AJ149" s="168">
        <f>IF(AJ$54,$V$32*($Q$34*data0!AG372+$R$34*data0!AG373+$S$34*data0!AG374+$T$34*data0!AG375),"")</f>
        <v>276.36699600111388</v>
      </c>
      <c r="AK149" s="168">
        <f>IF(AK$54,$V$32*($Q$34*data0!AH372+$R$34*data0!AH373+$S$34*data0!AH374+$T$34*data0!AH375),"")</f>
        <v>396.99111878398338</v>
      </c>
      <c r="AL149" s="168">
        <f>IF(AL$54,$V$32*($Q$34*data0!AI372+$R$34*data0!AI373+$S$34*data0!AI374+$T$34*data0!AI375),"")</f>
        <v>254.70888053871374</v>
      </c>
      <c r="AM149" s="168">
        <f>IF(AM$54,$V$32*($Q$34*data0!AJ372+$R$34*data0!AJ373+$S$34*data0!AJ374+$T$34*data0!AJ375),"")</f>
        <v>350.12763236122089</v>
      </c>
      <c r="AN149" s="168">
        <f>IF(AN$54,$V$32*($Q$34*data0!AK372+$R$34*data0!AK373+$S$34*data0!AK374+$T$34*data0!AK375),"")</f>
        <v>290.92995646509848</v>
      </c>
    </row>
    <row r="150" spans="1:40">
      <c r="A150" s="74"/>
      <c r="B150" s="242"/>
      <c r="C150" s="242" t="str">
        <f>data0!B45</f>
        <v>HI</v>
      </c>
      <c r="D150" s="242"/>
      <c r="E150" s="59" t="str">
        <f t="shared" si="669"/>
        <v>X</v>
      </c>
      <c r="F150" s="61">
        <f t="shared" si="211"/>
        <v>983.13564182593882</v>
      </c>
      <c r="G150" s="61">
        <f t="shared" si="212"/>
        <v>122.15055926463914</v>
      </c>
      <c r="H150" s="242"/>
      <c r="I150" s="168" t="str">
        <f>IF(I$54,$V$33*($Q$32*data0!F376+$R$32*data0!F377+$S$32*data0!F378+$T$32*data0!F379),"")</f>
        <v/>
      </c>
      <c r="J150" s="168" t="str">
        <f>IF(J$54,$V$33*($Q$32*data0!G376+$R$32*data0!G377+$S$32*data0!G378+$T$32*data0!G379),"")</f>
        <v/>
      </c>
      <c r="K150" s="168">
        <f>IF(K$54,$V$33*($Q$32*data0!H376+$R$32*data0!H377+$S$32*data0!H378+$T$32*data0!H379),"")</f>
        <v>984.39678526133218</v>
      </c>
      <c r="L150" s="168">
        <f>IF(L$54,$V$33*($Q$32*data0!I376+$R$32*data0!I377+$S$32*data0!I378+$T$32*data0!I379),"")</f>
        <v>1105.5668440975467</v>
      </c>
      <c r="M150" s="168" t="str">
        <f>IF(M$54,$V$33*($Q$32*data0!J376+$R$32*data0!J377+$S$32*data0!J378+$T$32*data0!J379),"")</f>
        <v/>
      </c>
      <c r="N150" s="168">
        <f>IF(N$54,$V$33*($Q$32*data0!K376+$R$32*data0!K377+$S$32*data0!K378+$T$32*data0!K379),"")</f>
        <v>1016.2816156532703</v>
      </c>
      <c r="O150" s="168">
        <f>IF(O$54,$V$33*($Q$32*data0!L376+$R$32*data0!L377+$S$32*data0!L378+$T$32*data0!L379),"")</f>
        <v>1064.3215998136288</v>
      </c>
      <c r="P150" s="168" t="str">
        <f>IF(P$54,$V$33*($Q$32*data0!M376+$R$32*data0!M377+$S$32*data0!M378+$T$32*data0!M379),"")</f>
        <v/>
      </c>
      <c r="Q150" s="168">
        <f>IF(Q$54,$V$33*($Q$32*data0!N376+$R$32*data0!N377+$S$32*data0!N378+$T$32*data0!N379),"")</f>
        <v>984.39678526133218</v>
      </c>
      <c r="R150" s="168">
        <f>IF(R$54,$V$33*($Q$32*data0!O376+$R$32*data0!O377+$S$32*data0!O378+$T$32*data0!O379),"")</f>
        <v>964.99526666667316</v>
      </c>
      <c r="S150" s="168">
        <f>IF(S$54,$V$33*($Q$32*data0!P376+$R$32*data0!P377+$S$32*data0!P378+$T$32*data0!P379),"")</f>
        <v>875.71003822239629</v>
      </c>
      <c r="T150" s="168">
        <f>IF(T$54,$V$33*($Q$32*data0!Q376+$R$32*data0!Q377+$S$32*data0!Q378+$T$32*data0!Q379),"")</f>
        <v>929.43859430359282</v>
      </c>
      <c r="U150" s="168">
        <f>IF(U$54,$V$33*($Q$32*data0!R376+$R$32*data0!R377+$S$32*data0!R378+$T$32*data0!R379),"")</f>
        <v>810.71074256197824</v>
      </c>
      <c r="V150" s="168">
        <f>IF(V$54,$V$33*($Q$32*data0!S376+$R$32*data0!S377+$S$32*data0!S378+$T$32*data0!S379),"")</f>
        <v>926.19222947735545</v>
      </c>
      <c r="W150" s="168">
        <f>IF(W$54,$V$33*($Q$32*data0!T376+$R$32*data0!T377+$S$32*data0!T378+$T$32*data0!T379),"")</f>
        <v>926.99638720899304</v>
      </c>
      <c r="X150" s="168">
        <f>IF(X$54,$V$33*($Q$32*data0!U376+$R$32*data0!U377+$S$32*data0!U378+$T$32*data0!U379),"")</f>
        <v>785.62065204648195</v>
      </c>
      <c r="Y150" s="168">
        <f>IF(Y$54,$V$33*($Q$32*data0!V376+$R$32*data0!V377+$S$32*data0!V378+$T$32*data0!V379),"")</f>
        <v>996.88009705861111</v>
      </c>
      <c r="Z150" s="168">
        <f>IF(Z$54,$V$33*($Q$32*data0!W376+$R$32*data0!W377+$S$32*data0!W378+$T$32*data0!W379),"")</f>
        <v>1186.2958163814817</v>
      </c>
      <c r="AA150" s="168">
        <f>IF(AA$54,$V$33*($Q$32*data0!X376+$R$32*data0!X377+$S$32*data0!X378+$T$32*data0!X379),"")</f>
        <v>1016.2816156532703</v>
      </c>
      <c r="AB150" s="168">
        <f>IF(AB$54,$V$33*($Q$32*data0!Y376+$R$32*data0!Y377+$S$32*data0!Y378+$T$32*data0!Y379),"")</f>
        <v>1231.2129026365405</v>
      </c>
      <c r="AC150" s="168">
        <f>IF(AC$54,$V$33*($Q$32*data0!Z376+$R$32*data0!Z377+$S$32*data0!Z378+$T$32*data0!Z379),"")</f>
        <v>1135.009467394885</v>
      </c>
      <c r="AD150" s="168">
        <f>IF(AD$54,$V$33*($Q$32*data0!AA376+$R$32*data0!AA377+$S$32*data0!AA378+$T$32*data0!AA379),"")</f>
        <v>923.75002238275567</v>
      </c>
      <c r="AE150" s="168">
        <f>IF(AE$54,$V$33*($Q$32*data0!AB376+$R$32*data0!AB377+$S$32*data0!AB378+$T$32*data0!AB379),"")</f>
        <v>1032.436769421691</v>
      </c>
      <c r="AF150" s="168">
        <f>IF(AF$54,$V$33*($Q$32*data0!AC376+$R$32*data0!AC377+$S$32*data0!AC378+$T$32*data0!AC379),"")</f>
        <v>1083.723118408288</v>
      </c>
      <c r="AG150" s="168">
        <f>IF(AG$54,$V$33*($Q$32*data0!AD376+$R$32*data0!AD377+$S$32*data0!AD378+$T$32*data0!AD379),"")</f>
        <v>1023.1998224506498</v>
      </c>
      <c r="AH150" s="168">
        <f>IF(AH$54,$V$33*($Q$32*data0!AE376+$R$32*data0!AE377+$S$32*data0!AE378+$T$32*data0!AE379),"")</f>
        <v>1045.0435481399084</v>
      </c>
      <c r="AI150" s="168" t="str">
        <f>IF(AI$54,$V$33*($Q$32*data0!AF376+$R$32*data0!AF377+$S$32*data0!AF378+$T$32*data0!AF379),"")</f>
        <v/>
      </c>
      <c r="AJ150" s="168">
        <f>IF(AJ$54,$V$33*($Q$32*data0!AG376+$R$32*data0!AG377+$S$32*data0!AG378+$T$32*data0!AG379),"")</f>
        <v>807.46437773574053</v>
      </c>
      <c r="AK150" s="168">
        <f>IF(AK$54,$V$33*($Q$32*data0!AH376+$R$32*data0!AH377+$S$32*data0!AH378+$T$32*data0!AH379),"")</f>
        <v>1045.0435481399084</v>
      </c>
      <c r="AL150" s="168">
        <f>IF(AL$54,$V$33*($Q$32*data0!AI376+$R$32*data0!AI377+$S$32*data0!AI378+$T$32*data0!AI379),"")</f>
        <v>720.62135638606389</v>
      </c>
      <c r="AM150" s="168">
        <f>IF(AM$54,$V$33*($Q$32*data0!AJ376+$R$32*data0!AJ377+$S$32*data0!AJ378+$T$32*data0!AJ379),"")</f>
        <v>1066.7638069082291</v>
      </c>
      <c r="AN150" s="168">
        <f>IF(AN$54,$V$33*($Q$32*data0!AK376+$R$32*data0!AK377+$S$32*data0!AK378+$T$32*data0!AK379),"")</f>
        <v>856.30851962773761</v>
      </c>
    </row>
    <row r="151" spans="1:40">
      <c r="A151" s="74"/>
      <c r="B151" s="242"/>
      <c r="C151" s="242"/>
      <c r="D151" s="242"/>
      <c r="E151" s="59" t="str">
        <f t="shared" si="669"/>
        <v>Y</v>
      </c>
      <c r="F151" s="61">
        <f t="shared" ref="F151:F184" si="670">AVERAGE(I151:AN151)</f>
        <v>944.03477973106624</v>
      </c>
      <c r="G151" s="61">
        <f t="shared" ref="G151:G184" si="671">STDEV(I151:AN151)</f>
        <v>118.14903188753789</v>
      </c>
      <c r="H151" s="242"/>
      <c r="I151" s="168" t="str">
        <f>IF(I$54,$V$33*($Q$33*data0!F376+$R$33*data0!F377+$S$33*data0!F378+$T$33*data0!F379),"")</f>
        <v/>
      </c>
      <c r="J151" s="168" t="str">
        <f>IF(J$54,$V$33*($Q$33*data0!G376+$R$33*data0!G377+$S$33*data0!G378+$T$33*data0!G379),"")</f>
        <v/>
      </c>
      <c r="K151" s="168">
        <f>IF(K$54,$V$33*($Q$33*data0!H376+$R$33*data0!H377+$S$33*data0!H378+$T$33*data0!H379),"")</f>
        <v>948.82891865970396</v>
      </c>
      <c r="L151" s="168">
        <f>IF(L$54,$V$33*($Q$33*data0!I376+$R$33*data0!I377+$S$33*data0!I378+$T$33*data0!I379),"")</f>
        <v>1062.1419347408605</v>
      </c>
      <c r="M151" s="168" t="str">
        <f>IF(M$54,$V$33*($Q$33*data0!J376+$R$33*data0!J377+$S$33*data0!J378+$T$33*data0!J379),"")</f>
        <v/>
      </c>
      <c r="N151" s="168">
        <f>IF(N$54,$V$33*($Q$33*data0!K376+$R$33*data0!K377+$S$33*data0!K378+$T$33*data0!K379),"")</f>
        <v>974.6393963413251</v>
      </c>
      <c r="O151" s="168">
        <f>IF(O$54,$V$33*($Q$33*data0!L376+$R$33*data0!L377+$S$33*data0!L378+$T$33*data0!L379),"")</f>
        <v>1018.288025458176</v>
      </c>
      <c r="P151" s="168" t="str">
        <f>IF(P$54,$V$33*($Q$33*data0!M376+$R$33*data0!M377+$S$33*data0!M378+$T$33*data0!M379),"")</f>
        <v/>
      </c>
      <c r="Q151" s="168">
        <f>IF(Q$54,$V$33*($Q$33*data0!N376+$R$33*data0!N377+$S$33*data0!N378+$T$33*data0!N379),"")</f>
        <v>948.82891865970396</v>
      </c>
      <c r="R151" s="168">
        <f>IF(R$54,$V$33*($Q$33*data0!O376+$R$33*data0!O377+$S$33*data0!O378+$T$33*data0!O379),"")</f>
        <v>928.01213686308165</v>
      </c>
      <c r="S151" s="168">
        <f>IF(S$54,$V$33*($Q$33*data0!P376+$R$33*data0!P377+$S$33*data0!P378+$T$33*data0!P379),"")</f>
        <v>840.50959846354658</v>
      </c>
      <c r="T151" s="168">
        <f>IF(T$54,$V$33*($Q$33*data0!Q376+$R$33*data0!Q377+$S$33*data0!Q378+$T$33*data0!Q379),"")</f>
        <v>889.35720363122994</v>
      </c>
      <c r="U151" s="168">
        <f>IF(U$54,$V$33*($Q$33*data0!R376+$R$33*data0!R377+$S$33*data0!R378+$T$33*data0!R379),"")</f>
        <v>778.26453323951375</v>
      </c>
      <c r="V151" s="168">
        <f>IF(V$54,$V$33*($Q$33*data0!S376+$R$33*data0!S377+$S$33*data0!S378+$T$33*data0!S379),"")</f>
        <v>886.3785732698376</v>
      </c>
      <c r="W151" s="168">
        <f>IF(W$54,$V$33*($Q$33*data0!T376+$R$33*data0!T377+$S$33*data0!T378+$T$33*data0!T379),"")</f>
        <v>887.1368579417898</v>
      </c>
      <c r="X151" s="168">
        <f>IF(X$54,$V$33*($Q$33*data0!U376+$R$33*data0!U377+$S$33*data0!U378+$T$33*data0!U379),"")</f>
        <v>752.2487753920592</v>
      </c>
      <c r="Y151" s="168">
        <f>IF(Y$54,$V$33*($Q$33*data0!V376+$R$33*data0!V377+$S$33*data0!V378+$T$33*data0!V379),"")</f>
        <v>953.82261454470279</v>
      </c>
      <c r="Z151" s="168">
        <f>IF(Z$54,$V$33*($Q$33*data0!W376+$R$33*data0!W377+$S$33*data0!W378+$T$33*data0!W379),"")</f>
        <v>1132.3593262112847</v>
      </c>
      <c r="AA151" s="168">
        <f>IF(AA$54,$V$33*($Q$33*data0!X376+$R$33*data0!X377+$S$33*data0!X378+$T$33*data0!X379),"")</f>
        <v>974.6393963413251</v>
      </c>
      <c r="AB151" s="168">
        <f>IF(AB$54,$V$33*($Q$33*data0!Y376+$R$33*data0!Y377+$S$33*data0!Y378+$T$33*data0!Y379),"")</f>
        <v>1189.0576910441994</v>
      </c>
      <c r="AC151" s="168">
        <f>IF(AC$54,$V$33*($Q$33*data0!Z376+$R$33*data0!Z377+$S$33*data0!Z378+$T$33*data0!Z379),"")</f>
        <v>1085.7320667330416</v>
      </c>
      <c r="AD151" s="168">
        <f>IF(AD$54,$V$33*($Q$33*data0!AA376+$R$33*data0!AA377+$S$33*data0!AA378+$T$33*data0!AA379),"")</f>
        <v>884.15822758039747</v>
      </c>
      <c r="AE151" s="168">
        <f>IF(AE$54,$V$33*($Q$33*data0!AB376+$R$33*data0!AB377+$S$33*data0!AB378+$T$33*data0!AB379),"")</f>
        <v>992.47754777655484</v>
      </c>
      <c r="AF151" s="168">
        <f>IF(AF$54,$V$33*($Q$33*data0!AC376+$R$33*data0!AC377+$S$33*data0!AC378+$T$33*data0!AC379),"")</f>
        <v>1039.1048072547983</v>
      </c>
      <c r="AG151" s="168">
        <f>IF(AG$54,$V$33*($Q$33*data0!AD376+$R$33*data0!AD377+$S$33*data0!AD378+$T$33*data0!AD379),"")</f>
        <v>990.46248225294812</v>
      </c>
      <c r="AH151" s="168">
        <f>IF(AH$54,$V$33*($Q$33*data0!AE376+$R$33*data0!AE377+$S$33*data0!AE378+$T$33*data0!AE379),"")</f>
        <v>1013.4996097390102</v>
      </c>
      <c r="AI151" s="168" t="str">
        <f>IF(AI$54,$V$33*($Q$33*data0!AF376+$R$33*data0!AF377+$S$33*data0!AF378+$T$33*data0!AF379),"")</f>
        <v/>
      </c>
      <c r="AJ151" s="168">
        <f>IF(AJ$54,$V$33*($Q$33*data0!AG376+$R$33*data0!AG377+$S$33*data0!AG378+$T$33*data0!AG379),"")</f>
        <v>775.28590287812142</v>
      </c>
      <c r="AK151" s="168">
        <f>IF(AK$54,$V$33*($Q$33*data0!AH376+$R$33*data0!AH377+$S$33*data0!AH378+$T$33*data0!AH379),"")</f>
        <v>1013.4996097390102</v>
      </c>
      <c r="AL151" s="168">
        <f>IF(AL$54,$V$33*($Q$33*data0!AI376+$R$33*data0!AI377+$S$33*data0!AI378+$T$33*data0!AI379),"")</f>
        <v>690.00371016802637</v>
      </c>
      <c r="AM151" s="168">
        <f>IF(AM$54,$V$33*($Q$33*data0!AJ376+$R$33*data0!AJ377+$S$33*data0!AJ378+$T$33*data0!AJ379),"")</f>
        <v>1020.5083711476163</v>
      </c>
      <c r="AN151" s="168">
        <f>IF(AN$54,$V$33*($Q$33*data0!AK376+$R$33*data0!AK377+$S$33*data0!AK378+$T$33*data0!AK379),"")</f>
        <v>819.6928166669245</v>
      </c>
    </row>
    <row r="152" spans="1:40">
      <c r="A152" s="74"/>
      <c r="B152" s="242"/>
      <c r="C152" s="242"/>
      <c r="D152" s="242"/>
      <c r="E152" s="59" t="str">
        <f t="shared" si="669"/>
        <v>Z</v>
      </c>
      <c r="F152" s="61">
        <f t="shared" si="670"/>
        <v>364.72002170138524</v>
      </c>
      <c r="G152" s="61">
        <f t="shared" si="671"/>
        <v>57.346433277976303</v>
      </c>
      <c r="H152" s="242"/>
      <c r="I152" s="168" t="str">
        <f>IF(I$54,$V$33*($Q$34*data0!F376+$R$34*data0!F377+$S$34*data0!F378+$T$34*data0!F379),"")</f>
        <v/>
      </c>
      <c r="J152" s="168" t="str">
        <f>IF(J$54,$V$33*($Q$34*data0!G376+$R$34*data0!G377+$S$34*data0!G378+$T$34*data0!G379),"")</f>
        <v/>
      </c>
      <c r="K152" s="168">
        <f>IF(K$54,$V$33*($Q$34*data0!H376+$R$34*data0!H377+$S$34*data0!H378+$T$34*data0!H379),"")</f>
        <v>387.86349989532869</v>
      </c>
      <c r="L152" s="168">
        <f>IF(L$54,$V$33*($Q$34*data0!I376+$R$34*data0!I377+$S$34*data0!I378+$T$34*data0!I379),"")</f>
        <v>414.16564119446372</v>
      </c>
      <c r="M152" s="168" t="str">
        <f>IF(M$54,$V$33*($Q$34*data0!J376+$R$34*data0!J377+$S$34*data0!J378+$T$34*data0!J379),"")</f>
        <v/>
      </c>
      <c r="N152" s="168">
        <f>IF(N$54,$V$33*($Q$34*data0!K376+$R$34*data0!K377+$S$34*data0!K378+$T$34*data0!K379),"")</f>
        <v>368.97032641006911</v>
      </c>
      <c r="O152" s="168">
        <f>IF(O$54,$V$33*($Q$34*data0!L376+$R$34*data0!L377+$S$34*data0!L378+$T$34*data0!L379),"")</f>
        <v>372.54111357416747</v>
      </c>
      <c r="P152" s="168" t="str">
        <f>IF(P$54,$V$33*($Q$34*data0!M376+$R$34*data0!M377+$S$34*data0!M378+$T$34*data0!M379),"")</f>
        <v/>
      </c>
      <c r="Q152" s="168">
        <f>IF(Q$54,$V$33*($Q$34*data0!N376+$R$34*data0!N377+$S$34*data0!N378+$T$34*data0!N379),"")</f>
        <v>387.86349989532869</v>
      </c>
      <c r="R152" s="168">
        <f>IF(R$54,$V$33*($Q$34*data0!O376+$R$34*data0!O377+$S$34*data0!O378+$T$34*data0!O379),"")</f>
        <v>367.095866092736</v>
      </c>
      <c r="S152" s="168">
        <f>IF(S$54,$V$33*($Q$34*data0!P376+$R$34*data0!P377+$S$34*data0!P378+$T$34*data0!P379),"")</f>
        <v>321.90055130834139</v>
      </c>
      <c r="T152" s="168">
        <f>IF(T$54,$V$33*($Q$34*data0!Q376+$R$34*data0!Q377+$S$34*data0!Q378+$T$34*data0!Q379),"")</f>
        <v>323.86427164078555</v>
      </c>
      <c r="U152" s="168">
        <f>IF(U$54,$V$33*($Q$34*data0!R376+$R$34*data0!R377+$S$34*data0!R378+$T$34*data0!R379),"")</f>
        <v>297.65139035676151</v>
      </c>
      <c r="V152" s="168">
        <f>IF(V$54,$V$33*($Q$34*data0!S376+$R$34*data0!S377+$S$34*data0!S378+$T$34*data0!S379),"")</f>
        <v>325.56059848755086</v>
      </c>
      <c r="W152" s="168">
        <f>IF(W$54,$V$33*($Q$34*data0!T376+$R$34*data0!T377+$S$34*data0!T378+$T$34*data0!T379),"")</f>
        <v>323.77501162567438</v>
      </c>
      <c r="X152" s="168">
        <f>IF(X$54,$V$33*($Q$34*data0!U376+$R$34*data0!U377+$S$34*data0!U378+$T$34*data0!U379),"")</f>
        <v>278.49082338582321</v>
      </c>
      <c r="Y152" s="168">
        <f>IF(Y$54,$V$33*($Q$34*data0!V376+$R$34*data0!V377+$S$34*data0!V378+$T$34*data0!V379),"")</f>
        <v>348.20269260747648</v>
      </c>
      <c r="Z152" s="168">
        <f>IF(Z$54,$V$33*($Q$34*data0!W376+$R$34*data0!W377+$S$34*data0!W378+$T$34*data0!W379),"")</f>
        <v>397.05766801142607</v>
      </c>
      <c r="AA152" s="168">
        <f>IF(AA$54,$V$33*($Q$34*data0!X376+$R$34*data0!X377+$S$34*data0!X378+$T$34*data0!X379),"")</f>
        <v>368.97032641006911</v>
      </c>
      <c r="AB152" s="168">
        <f>IF(AB$54,$V$33*($Q$34*data0!Y376+$R$34*data0!Y377+$S$34*data0!Y378+$T$34*data0!Y379),"")</f>
        <v>500.80696356893242</v>
      </c>
      <c r="AC152" s="168">
        <f>IF(AC$54,$V$33*($Q$34*data0!Z376+$R$34*data0!Z377+$S$34*data0!Z378+$T$34*data0!Z379),"")</f>
        <v>395.18320769409303</v>
      </c>
      <c r="AD152" s="168">
        <f>IF(AD$54,$V$33*($Q$34*data0!AA376+$R$34*data0!AA377+$S$34*data0!AA378+$T$34*data0!AA379),"")</f>
        <v>325.47133847243975</v>
      </c>
      <c r="AE152" s="168">
        <f>IF(AE$54,$V$33*($Q$34*data0!AB376+$R$34*data0!AB377+$S$34*data0!AB378+$T$34*data0!AB379),"")</f>
        <v>391.43428705942699</v>
      </c>
      <c r="AF152" s="168">
        <f>IF(AF$54,$V$33*($Q$34*data0!AC376+$R$34*data0!AC377+$S$34*data0!AC378+$T$34*data0!AC379),"")</f>
        <v>393.30874737675998</v>
      </c>
      <c r="AG152" s="168">
        <f>IF(AG$54,$V$33*($Q$34*data0!AD376+$R$34*data0!AD377+$S$34*data0!AD378+$T$34*data0!AD379),"")</f>
        <v>429.39876750051377</v>
      </c>
      <c r="AH152" s="168">
        <f>IF(AH$54,$V$33*($Q$34*data0!AE376+$R$34*data0!AE377+$S$34*data0!AE378+$T$34*data0!AE379),"")</f>
        <v>450.25566131821739</v>
      </c>
      <c r="AI152" s="168" t="str">
        <f>IF(AI$54,$V$33*($Q$34*data0!AF376+$R$34*data0!AF377+$S$34*data0!AF378+$T$34*data0!AF379),"")</f>
        <v/>
      </c>
      <c r="AJ152" s="168">
        <f>IF(AJ$54,$V$33*($Q$34*data0!AG376+$R$34*data0!AG377+$S$34*data0!AG378+$T$34*data0!AG379),"")</f>
        <v>299.34771720352694</v>
      </c>
      <c r="AK152" s="168">
        <f>IF(AK$54,$V$33*($Q$34*data0!AH376+$R$34*data0!AH377+$S$34*data0!AH378+$T$34*data0!AH379),"")</f>
        <v>450.25566131821739</v>
      </c>
      <c r="AL152" s="168">
        <f>IF(AL$54,$V$33*($Q$34*data0!AI376+$R$34*data0!AI377+$S$34*data0!AI378+$T$34*data0!AI379),"")</f>
        <v>254.24166243424335</v>
      </c>
      <c r="AM152" s="168">
        <f>IF(AM$54,$V$33*($Q$34*data0!AJ376+$R$34*data0!AJ377+$S$34*data0!AJ378+$T$34*data0!AJ379),"")</f>
        <v>372.63037358927858</v>
      </c>
      <c r="AN152" s="168">
        <f>IF(AN$54,$V$33*($Q$34*data0!AK376+$R$34*data0!AK377+$S$34*data0!AK378+$T$34*data0!AK379),"")</f>
        <v>301.13291750574888</v>
      </c>
    </row>
    <row r="153" spans="1:40">
      <c r="A153" s="74"/>
      <c r="B153" s="242"/>
      <c r="C153" s="242" t="str">
        <f>C147</f>
        <v>LO</v>
      </c>
      <c r="D153" s="242"/>
      <c r="E153" s="59" t="str">
        <f t="shared" si="669"/>
        <v>x</v>
      </c>
      <c r="F153" s="60">
        <f t="shared" si="670"/>
        <v>0.42779882906593891</v>
      </c>
      <c r="G153" s="60">
        <f t="shared" si="671"/>
        <v>5.0907035179982834E-3</v>
      </c>
      <c r="H153" s="242"/>
      <c r="I153" s="108" t="str">
        <f>IF(I$54,I147/SUM(I147:I149),"")</f>
        <v/>
      </c>
      <c r="J153" s="108" t="str">
        <f t="shared" ref="J153:AN153" si="672">IF(J$54,J147/SUM(J147:J149),"")</f>
        <v/>
      </c>
      <c r="K153" s="108">
        <f t="shared" si="672"/>
        <v>0.42460480114638538</v>
      </c>
      <c r="L153" s="108">
        <f t="shared" si="672"/>
        <v>0.42618433986878534</v>
      </c>
      <c r="M153" s="108" t="str">
        <f t="shared" si="672"/>
        <v/>
      </c>
      <c r="N153" s="108">
        <f t="shared" si="672"/>
        <v>0.42842719637790572</v>
      </c>
      <c r="O153" s="108">
        <f t="shared" si="672"/>
        <v>0.42565489370907045</v>
      </c>
      <c r="P153" s="108" t="str">
        <f t="shared" si="672"/>
        <v/>
      </c>
      <c r="Q153" s="108">
        <f t="shared" si="672"/>
        <v>0.42292287057632777</v>
      </c>
      <c r="R153" s="108">
        <f t="shared" si="672"/>
        <v>0.42930283637516126</v>
      </c>
      <c r="S153" s="108">
        <f t="shared" si="672"/>
        <v>0.42326037362435076</v>
      </c>
      <c r="T153" s="108">
        <f t="shared" si="672"/>
        <v>0.43165047078506485</v>
      </c>
      <c r="U153" s="108">
        <f t="shared" si="672"/>
        <v>0.42985010543296298</v>
      </c>
      <c r="V153" s="108">
        <f t="shared" si="672"/>
        <v>0.42744311073765373</v>
      </c>
      <c r="W153" s="108">
        <f t="shared" si="672"/>
        <v>0.42627579628697121</v>
      </c>
      <c r="X153" s="108">
        <f t="shared" si="672"/>
        <v>0.42934596035578237</v>
      </c>
      <c r="Y153" s="108">
        <f t="shared" si="672"/>
        <v>0.43342537432311673</v>
      </c>
      <c r="Z153" s="108">
        <f t="shared" si="672"/>
        <v>0.43577322271918473</v>
      </c>
      <c r="AA153" s="108">
        <f t="shared" si="672"/>
        <v>0.43192195627757585</v>
      </c>
      <c r="AB153" s="108">
        <f t="shared" si="672"/>
        <v>0.42374813516260418</v>
      </c>
      <c r="AC153" s="108">
        <f t="shared" si="672"/>
        <v>0.43329271471182457</v>
      </c>
      <c r="AD153" s="108">
        <f t="shared" si="672"/>
        <v>0.43106499748187865</v>
      </c>
      <c r="AE153" s="108">
        <f t="shared" si="672"/>
        <v>0.42522395869362117</v>
      </c>
      <c r="AF153" s="108">
        <f t="shared" si="672"/>
        <v>0.43496244676133888</v>
      </c>
      <c r="AG153" s="108">
        <f t="shared" si="672"/>
        <v>0.41653598601013941</v>
      </c>
      <c r="AH153" s="108">
        <f t="shared" si="672"/>
        <v>0.41783100878755736</v>
      </c>
      <c r="AI153" s="108" t="str">
        <f t="shared" si="672"/>
        <v/>
      </c>
      <c r="AJ153" s="108">
        <f t="shared" si="672"/>
        <v>0.43316030963208552</v>
      </c>
      <c r="AK153" s="108">
        <f t="shared" si="672"/>
        <v>0.41973778349770702</v>
      </c>
      <c r="AL153" s="108">
        <f t="shared" si="672"/>
        <v>0.4291235367088751</v>
      </c>
      <c r="AM153" s="108">
        <f t="shared" si="672"/>
        <v>0.43361792107979424</v>
      </c>
      <c r="AN153" s="108">
        <f t="shared" si="672"/>
        <v>0.42622627765662408</v>
      </c>
    </row>
    <row r="154" spans="1:40">
      <c r="A154" s="74"/>
      <c r="B154" s="242"/>
      <c r="C154" s="242"/>
      <c r="D154" s="242"/>
      <c r="E154" s="59" t="str">
        <f t="shared" ref="E154:E160" si="673">E132</f>
        <v>y</v>
      </c>
      <c r="F154" s="60">
        <f t="shared" si="670"/>
        <v>0.4112058132348328</v>
      </c>
      <c r="G154" s="60">
        <f t="shared" si="671"/>
        <v>3.25849901151194E-3</v>
      </c>
      <c r="H154" s="242"/>
      <c r="I154" s="108" t="str">
        <f>IF(I$54,I148/SUM(I147:I149),"")</f>
        <v/>
      </c>
      <c r="J154" s="108" t="str">
        <f t="shared" ref="J154:AN154" si="674">IF(J$54,J148/SUM(J147:J149),"")</f>
        <v/>
      </c>
      <c r="K154" s="108">
        <f t="shared" si="674"/>
        <v>0.40909389237074034</v>
      </c>
      <c r="L154" s="108">
        <f t="shared" si="674"/>
        <v>0.41014685785043953</v>
      </c>
      <c r="M154" s="108" t="str">
        <f t="shared" si="674"/>
        <v/>
      </c>
      <c r="N154" s="108">
        <f t="shared" si="674"/>
        <v>0.4115582911136072</v>
      </c>
      <c r="O154" s="108">
        <f t="shared" si="674"/>
        <v>0.40978892139073608</v>
      </c>
      <c r="P154" s="108" t="str">
        <f t="shared" si="674"/>
        <v/>
      </c>
      <c r="Q154" s="108">
        <f t="shared" si="674"/>
        <v>0.40809670092507844</v>
      </c>
      <c r="R154" s="108">
        <f t="shared" si="674"/>
        <v>0.41211064196516212</v>
      </c>
      <c r="S154" s="108">
        <f t="shared" si="674"/>
        <v>0.40836370397239374</v>
      </c>
      <c r="T154" s="108">
        <f t="shared" si="674"/>
        <v>0.4137472115589399</v>
      </c>
      <c r="U154" s="108">
        <f t="shared" si="674"/>
        <v>0.4126025455717347</v>
      </c>
      <c r="V154" s="108">
        <f t="shared" si="674"/>
        <v>0.41095353850509397</v>
      </c>
      <c r="W154" s="108">
        <f t="shared" si="674"/>
        <v>0.41032718901023874</v>
      </c>
      <c r="X154" s="108">
        <f t="shared" si="674"/>
        <v>0.4122017586678135</v>
      </c>
      <c r="Y154" s="108">
        <f t="shared" si="674"/>
        <v>0.41482640946741295</v>
      </c>
      <c r="Z154" s="108">
        <f t="shared" si="674"/>
        <v>0.41631489515708714</v>
      </c>
      <c r="AA154" s="108">
        <f t="shared" si="674"/>
        <v>0.41387243238277382</v>
      </c>
      <c r="AB154" s="108">
        <f t="shared" si="674"/>
        <v>0.40852055993892278</v>
      </c>
      <c r="AC154" s="108">
        <f t="shared" si="674"/>
        <v>0.41472089427182279</v>
      </c>
      <c r="AD154" s="108">
        <f t="shared" si="674"/>
        <v>0.41324189634745651</v>
      </c>
      <c r="AE154" s="108">
        <f t="shared" si="674"/>
        <v>0.40943803000675999</v>
      </c>
      <c r="AF154" s="108">
        <f t="shared" si="674"/>
        <v>0.41573812970092067</v>
      </c>
      <c r="AG154" s="108">
        <f t="shared" si="674"/>
        <v>0.40402043250846498</v>
      </c>
      <c r="AH154" s="108">
        <f t="shared" si="674"/>
        <v>0.40486212385620257</v>
      </c>
      <c r="AI154" s="108" t="str">
        <f t="shared" si="674"/>
        <v/>
      </c>
      <c r="AJ154" s="108">
        <f t="shared" si="674"/>
        <v>0.41464649392516301</v>
      </c>
      <c r="AK154" s="108">
        <f t="shared" si="674"/>
        <v>0.40606597039031811</v>
      </c>
      <c r="AL154" s="108">
        <f t="shared" si="674"/>
        <v>0.41213194498742528</v>
      </c>
      <c r="AM154" s="108">
        <f t="shared" si="674"/>
        <v>0.41493546675644233</v>
      </c>
      <c r="AN154" s="108">
        <f t="shared" si="674"/>
        <v>0.41023002474133285</v>
      </c>
    </row>
    <row r="155" spans="1:40">
      <c r="A155" s="74"/>
      <c r="B155" s="242"/>
      <c r="C155" s="242"/>
      <c r="D155" s="242"/>
      <c r="E155" s="59" t="str">
        <f t="shared" si="673"/>
        <v>CCT</v>
      </c>
      <c r="F155" s="75">
        <f t="shared" si="670"/>
        <v>3229.9259259259261</v>
      </c>
      <c r="G155" s="75">
        <f t="shared" si="671"/>
        <v>68.498133565779781</v>
      </c>
      <c r="H155" s="242"/>
      <c r="I155" s="109" t="str">
        <f>IF(I$54,getCCTfromXY(I153,I154,0),"")</f>
        <v/>
      </c>
      <c r="J155" s="109" t="str">
        <f t="shared" ref="J155" si="675">IF(J$54,getCCTfromXY(J153,J154,0),"")</f>
        <v/>
      </c>
      <c r="K155" s="109">
        <f t="shared" ref="K155" si="676">IF(K$54,getCCTfromXY(K153,K154,0),"")</f>
        <v>3271</v>
      </c>
      <c r="L155" s="109">
        <f t="shared" ref="L155" si="677">IF(L$54,getCCTfromXY(L153,L154,0),"")</f>
        <v>3250</v>
      </c>
      <c r="M155" s="109" t="str">
        <f t="shared" ref="M155" si="678">IF(M$54,getCCTfromXY(M153,M154,0),"")</f>
        <v/>
      </c>
      <c r="N155" s="109">
        <f t="shared" ref="N155" si="679">IF(N$54,getCCTfromXY(N153,N154,0),"")</f>
        <v>3219</v>
      </c>
      <c r="O155" s="109">
        <f t="shared" ref="O155" si="680">IF(O$54,getCCTfromXY(O153,O154,0),"")</f>
        <v>3257</v>
      </c>
      <c r="P155" s="109" t="str">
        <f t="shared" ref="P155" si="681">IF(P$54,getCCTfromXY(P153,P154,0),"")</f>
        <v/>
      </c>
      <c r="Q155" s="109">
        <f t="shared" ref="Q155" si="682">IF(Q$54,getCCTfromXY(Q153,Q154,0),"")</f>
        <v>3295</v>
      </c>
      <c r="R155" s="109">
        <f t="shared" ref="R155" si="683">IF(R$54,getCCTfromXY(R153,R154,0),"")</f>
        <v>3208</v>
      </c>
      <c r="S155" s="109">
        <f t="shared" ref="S155" si="684">IF(S$54,getCCTfromXY(S153,S154,0),"")</f>
        <v>3290</v>
      </c>
      <c r="T155" s="109">
        <f t="shared" ref="T155" si="685">IF(T$54,getCCTfromXY(T153,T154,0),"")</f>
        <v>3179</v>
      </c>
      <c r="U155" s="109">
        <f t="shared" ref="U155" si="686">IF(U$54,getCCTfromXY(U153,U154,0),"")</f>
        <v>3202</v>
      </c>
      <c r="V155" s="109">
        <f t="shared" ref="V155" si="687">IF(V$54,getCCTfromXY(V153,V154,0),"")</f>
        <v>3233</v>
      </c>
      <c r="W155" s="109">
        <f t="shared" ref="W155" si="688">IF(W$54,getCCTfromXY(W153,W154,0),"")</f>
        <v>3249</v>
      </c>
      <c r="X155" s="109">
        <f t="shared" ref="X155" si="689">IF(X$54,getCCTfromXY(X153,X154,0),"")</f>
        <v>3208</v>
      </c>
      <c r="Y155" s="109">
        <f t="shared" ref="Y155" si="690">IF(Y$54,getCCTfromXY(Y153,Y154,0),"")</f>
        <v>3156</v>
      </c>
      <c r="Z155" s="109">
        <f t="shared" ref="Z155" si="691">IF(Z$54,getCCTfromXY(Z153,Z154,0),"")</f>
        <v>3127</v>
      </c>
      <c r="AA155" s="109">
        <f t="shared" ref="AA155" si="692">IF(AA$54,getCCTfromXY(AA153,AA154,0),"")</f>
        <v>3175</v>
      </c>
      <c r="AB155" s="109">
        <f t="shared" ref="AB155" si="693">IF(AB$54,getCCTfromXY(AB153,AB154,0),"")</f>
        <v>3282</v>
      </c>
      <c r="AC155" s="109">
        <f t="shared" ref="AC155" si="694">IF(AC$54,getCCTfromXY(AC153,AC154,0),"")</f>
        <v>3157</v>
      </c>
      <c r="AD155" s="109">
        <f t="shared" ref="AD155" si="695">IF(AD$54,getCCTfromXY(AD153,AD154,0),"")</f>
        <v>3185</v>
      </c>
      <c r="AE155" s="109">
        <f t="shared" ref="AE155" si="696">IF(AE$54,getCCTfromXY(AE153,AE154,0),"")</f>
        <v>3262</v>
      </c>
      <c r="AF155" s="109">
        <f t="shared" ref="AF155" si="697">IF(AF$54,getCCTfromXY(AF153,AF154,0),"")</f>
        <v>3136</v>
      </c>
      <c r="AG155" s="109">
        <f t="shared" ref="AG155" si="698">IF(AG$54,getCCTfromXY(AG153,AG154,0),"")</f>
        <v>3387</v>
      </c>
      <c r="AH155" s="109">
        <f t="shared" ref="AH155" si="699">IF(AH$54,getCCTfromXY(AH153,AH154,0),"")</f>
        <v>3368</v>
      </c>
      <c r="AI155" s="109" t="str">
        <f t="shared" ref="AI155" si="700">IF(AI$54,getCCTfromXY(AI153,AI154,0),"")</f>
        <v/>
      </c>
      <c r="AJ155" s="109">
        <f t="shared" ref="AJ155" si="701">IF(AJ$54,getCCTfromXY(AJ153,AJ154,0),"")</f>
        <v>3159</v>
      </c>
      <c r="AK155" s="109">
        <f t="shared" ref="AK155" si="702">IF(AK$54,getCCTfromXY(AK153,AK154,0),"")</f>
        <v>3340</v>
      </c>
      <c r="AL155" s="109">
        <f t="shared" ref="AL155" si="703">IF(AL$54,getCCTfromXY(AL153,AL154,0),"")</f>
        <v>3211</v>
      </c>
      <c r="AM155" s="109">
        <f t="shared" ref="AM155" si="704">IF(AM$54,getCCTfromXY(AM153,AM154,0),"")</f>
        <v>3153</v>
      </c>
      <c r="AN155" s="109">
        <f t="shared" ref="AN155" si="705">IF(AN$54,getCCTfromXY(AN153,AN154,0),"")</f>
        <v>3249</v>
      </c>
    </row>
    <row r="156" spans="1:40">
      <c r="A156" s="74"/>
      <c r="B156" s="242"/>
      <c r="C156" s="242"/>
      <c r="D156" s="242"/>
      <c r="E156" s="59" t="str">
        <f t="shared" si="673"/>
        <v>MK-1</v>
      </c>
      <c r="F156" s="61">
        <f t="shared" si="670"/>
        <v>309.73727952837703</v>
      </c>
      <c r="G156" s="61">
        <f t="shared" si="671"/>
        <v>6.4976864708161219</v>
      </c>
      <c r="H156" s="242"/>
      <c r="I156" s="130" t="str">
        <f>IF(I$54,10^6/I155,"")</f>
        <v/>
      </c>
      <c r="J156" s="130" t="str">
        <f t="shared" ref="J156" si="706">IF(J$54,10^6/J155,"")</f>
        <v/>
      </c>
      <c r="K156" s="130">
        <f t="shared" ref="K156" si="707">IF(K$54,10^6/K155,"")</f>
        <v>305.71690614490979</v>
      </c>
      <c r="L156" s="130">
        <f t="shared" ref="L156" si="708">IF(L$54,10^6/L155,"")</f>
        <v>307.69230769230768</v>
      </c>
      <c r="M156" s="130" t="str">
        <f t="shared" ref="M156" si="709">IF(M$54,10^6/M155,"")</f>
        <v/>
      </c>
      <c r="N156" s="130">
        <f t="shared" ref="N156" si="710">IF(N$54,10^6/N155,"")</f>
        <v>310.65548306927616</v>
      </c>
      <c r="O156" s="130">
        <f t="shared" ref="O156" si="711">IF(O$54,10^6/O155,"")</f>
        <v>307.03101013202331</v>
      </c>
      <c r="P156" s="130" t="str">
        <f t="shared" ref="P156" si="712">IF(P$54,10^6/P155,"")</f>
        <v/>
      </c>
      <c r="Q156" s="130">
        <f t="shared" ref="Q156" si="713">IF(Q$54,10^6/Q155,"")</f>
        <v>303.49013657056145</v>
      </c>
      <c r="R156" s="130">
        <f t="shared" ref="R156" si="714">IF(R$54,10^6/R155,"")</f>
        <v>311.72069825436409</v>
      </c>
      <c r="S156" s="130">
        <f t="shared" ref="S156" si="715">IF(S$54,10^6/S155,"")</f>
        <v>303.951367781155</v>
      </c>
      <c r="T156" s="130">
        <f t="shared" ref="T156" si="716">IF(T$54,10^6/T155,"")</f>
        <v>314.56432840515885</v>
      </c>
      <c r="U156" s="130">
        <f t="shared" ref="U156" si="717">IF(U$54,10^6/U155,"")</f>
        <v>312.30480949406621</v>
      </c>
      <c r="V156" s="130">
        <f t="shared" ref="V156" si="718">IF(V$54,10^6/V155,"")</f>
        <v>309.31023816888342</v>
      </c>
      <c r="W156" s="130">
        <f t="shared" ref="W156" si="719">IF(W$54,10^6/W155,"")</f>
        <v>307.78701138811942</v>
      </c>
      <c r="X156" s="130">
        <f t="shared" ref="X156" si="720">IF(X$54,10^6/X155,"")</f>
        <v>311.72069825436409</v>
      </c>
      <c r="Y156" s="130">
        <f t="shared" ref="Y156" si="721">IF(Y$54,10^6/Y155,"")</f>
        <v>316.85678073510775</v>
      </c>
      <c r="Z156" s="130">
        <f t="shared" ref="Z156" si="722">IF(Z$54,10^6/Z155,"")</f>
        <v>319.79533098816756</v>
      </c>
      <c r="AA156" s="130">
        <f t="shared" ref="AA156" si="723">IF(AA$54,10^6/AA155,"")</f>
        <v>314.96062992125985</v>
      </c>
      <c r="AB156" s="130">
        <f t="shared" ref="AB156" si="724">IF(AB$54,10^6/AB155,"")</f>
        <v>304.69226081657524</v>
      </c>
      <c r="AC156" s="130">
        <f t="shared" ref="AC156" si="725">IF(AC$54,10^6/AC155,"")</f>
        <v>316.75641431738995</v>
      </c>
      <c r="AD156" s="130">
        <f t="shared" ref="AD156" si="726">IF(AD$54,10^6/AD155,"")</f>
        <v>313.9717425431711</v>
      </c>
      <c r="AE156" s="130">
        <f t="shared" ref="AE156" si="727">IF(AE$54,10^6/AE155,"")</f>
        <v>306.56039239730228</v>
      </c>
      <c r="AF156" s="130">
        <f t="shared" ref="AF156" si="728">IF(AF$54,10^6/AF155,"")</f>
        <v>318.87755102040819</v>
      </c>
      <c r="AG156" s="130">
        <f t="shared" ref="AG156" si="729">IF(AG$54,10^6/AG155,"")</f>
        <v>295.24653085326247</v>
      </c>
      <c r="AH156" s="130">
        <f t="shared" ref="AH156" si="730">IF(AH$54,10^6/AH155,"")</f>
        <v>296.91211401425176</v>
      </c>
      <c r="AI156" s="130" t="str">
        <f t="shared" ref="AI156" si="731">IF(AI$54,10^6/AI155,"")</f>
        <v/>
      </c>
      <c r="AJ156" s="130">
        <f t="shared" ref="AJ156" si="732">IF(AJ$54,10^6/AJ155,"")</f>
        <v>316.55587211142768</v>
      </c>
      <c r="AK156" s="130">
        <f t="shared" ref="AK156" si="733">IF(AK$54,10^6/AK155,"")</f>
        <v>299.40119760479041</v>
      </c>
      <c r="AL156" s="130">
        <f t="shared" ref="AL156" si="734">IF(AL$54,10^6/AL155,"")</f>
        <v>311.42946122703205</v>
      </c>
      <c r="AM156" s="130">
        <f t="shared" ref="AM156" si="735">IF(AM$54,10^6/AM155,"")</f>
        <v>317.1582619727244</v>
      </c>
      <c r="AN156" s="130">
        <f t="shared" ref="AN156" si="736">IF(AN$54,10^6/AN155,"")</f>
        <v>307.78701138811942</v>
      </c>
    </row>
    <row r="157" spans="1:40">
      <c r="A157" s="74"/>
      <c r="B157" s="242"/>
      <c r="C157" s="242" t="str">
        <f>C150</f>
        <v>HI</v>
      </c>
      <c r="D157" s="242"/>
      <c r="E157" s="59" t="str">
        <f t="shared" si="673"/>
        <v>x</v>
      </c>
      <c r="F157" s="60">
        <f t="shared" si="670"/>
        <v>0.42918598831991805</v>
      </c>
      <c r="G157" s="60">
        <f t="shared" si="671"/>
        <v>5.5607164695895984E-3</v>
      </c>
      <c r="H157" s="242"/>
      <c r="I157" s="108" t="str">
        <f>IF(I$54,I150/SUM(I150:I152),"")</f>
        <v/>
      </c>
      <c r="J157" s="108" t="str">
        <f t="shared" ref="J157:AN157" si="737">IF(J$54,J150/SUM(J150:J152),"")</f>
        <v/>
      </c>
      <c r="K157" s="108">
        <f t="shared" si="737"/>
        <v>0.42410984620615799</v>
      </c>
      <c r="L157" s="108">
        <f t="shared" si="737"/>
        <v>0.42820318274173513</v>
      </c>
      <c r="M157" s="108" t="str">
        <f t="shared" si="737"/>
        <v/>
      </c>
      <c r="N157" s="108">
        <f t="shared" si="737"/>
        <v>0.43064763157285779</v>
      </c>
      <c r="O157" s="108">
        <f t="shared" si="737"/>
        <v>0.43350560231340679</v>
      </c>
      <c r="P157" s="108" t="str">
        <f t="shared" si="737"/>
        <v/>
      </c>
      <c r="Q157" s="108">
        <f t="shared" si="737"/>
        <v>0.42410984620615799</v>
      </c>
      <c r="R157" s="108">
        <f t="shared" si="737"/>
        <v>0.42696954587736963</v>
      </c>
      <c r="S157" s="108">
        <f t="shared" si="737"/>
        <v>0.42966555327837813</v>
      </c>
      <c r="T157" s="108">
        <f t="shared" si="737"/>
        <v>0.43377790415802381</v>
      </c>
      <c r="U157" s="108">
        <f t="shared" si="737"/>
        <v>0.42971445125008872</v>
      </c>
      <c r="V157" s="108">
        <f t="shared" si="737"/>
        <v>0.43317834860032045</v>
      </c>
      <c r="W157" s="108">
        <f t="shared" si="737"/>
        <v>0.43359970394927999</v>
      </c>
      <c r="X157" s="108">
        <f t="shared" si="737"/>
        <v>0.43252468869538629</v>
      </c>
      <c r="Y157" s="108">
        <f t="shared" si="737"/>
        <v>0.43363249972472789</v>
      </c>
      <c r="Z157" s="108">
        <f t="shared" si="737"/>
        <v>0.43682668202222547</v>
      </c>
      <c r="AA157" s="108">
        <f t="shared" si="737"/>
        <v>0.43064763157285779</v>
      </c>
      <c r="AB157" s="108">
        <f t="shared" si="737"/>
        <v>0.42149271236597485</v>
      </c>
      <c r="AC157" s="108">
        <f t="shared" si="737"/>
        <v>0.43388460273682744</v>
      </c>
      <c r="AD157" s="108">
        <f t="shared" si="737"/>
        <v>0.43299843468556926</v>
      </c>
      <c r="AE157" s="108">
        <f t="shared" si="737"/>
        <v>0.42727144899643577</v>
      </c>
      <c r="AF157" s="108">
        <f t="shared" si="737"/>
        <v>0.4307091621930848</v>
      </c>
      <c r="AG157" s="108">
        <f t="shared" si="737"/>
        <v>0.41881876556099618</v>
      </c>
      <c r="AH157" s="108">
        <f t="shared" si="737"/>
        <v>0.41655135523156156</v>
      </c>
      <c r="AI157" s="108" t="str">
        <f t="shared" si="737"/>
        <v/>
      </c>
      <c r="AJ157" s="108">
        <f t="shared" si="737"/>
        <v>0.42902355704757789</v>
      </c>
      <c r="AK157" s="108">
        <f t="shared" si="737"/>
        <v>0.41655135523156156</v>
      </c>
      <c r="AL157" s="108">
        <f t="shared" si="737"/>
        <v>0.43284026513278567</v>
      </c>
      <c r="AM157" s="108">
        <f t="shared" si="737"/>
        <v>0.43366100262581664</v>
      </c>
      <c r="AN157" s="108">
        <f t="shared" si="737"/>
        <v>0.43310590466062543</v>
      </c>
    </row>
    <row r="158" spans="1:40">
      <c r="A158" s="74"/>
      <c r="B158" s="242"/>
      <c r="C158" s="242"/>
      <c r="D158" s="242"/>
      <c r="E158" s="59" t="str">
        <f t="shared" si="673"/>
        <v>y</v>
      </c>
      <c r="F158" s="60">
        <f t="shared" si="670"/>
        <v>0.41204783781064014</v>
      </c>
      <c r="G158" s="60">
        <f t="shared" si="671"/>
        <v>3.5649652734230132E-3</v>
      </c>
      <c r="H158" s="242"/>
      <c r="I158" s="108" t="str">
        <f>IF(I$54,I151/SUM(I150:I152),"")</f>
        <v/>
      </c>
      <c r="J158" s="108" t="str">
        <f t="shared" ref="J158:AN158" si="738">IF(J$54,J151/SUM(J150:J152),"")</f>
        <v/>
      </c>
      <c r="K158" s="108">
        <f t="shared" si="738"/>
        <v>0.40878606349968249</v>
      </c>
      <c r="L158" s="108">
        <f t="shared" si="738"/>
        <v>0.41138404195791134</v>
      </c>
      <c r="M158" s="108" t="str">
        <f t="shared" si="738"/>
        <v/>
      </c>
      <c r="N158" s="108">
        <f t="shared" si="738"/>
        <v>0.41300181092244759</v>
      </c>
      <c r="O158" s="108">
        <f t="shared" si="738"/>
        <v>0.41475580678065238</v>
      </c>
      <c r="P158" s="108" t="str">
        <f t="shared" si="738"/>
        <v/>
      </c>
      <c r="Q158" s="108">
        <f t="shared" si="738"/>
        <v>0.40878606349968249</v>
      </c>
      <c r="R158" s="108">
        <f t="shared" si="738"/>
        <v>0.41060607687103134</v>
      </c>
      <c r="S158" s="108">
        <f t="shared" si="738"/>
        <v>0.412394520899522</v>
      </c>
      <c r="T158" s="108">
        <f t="shared" si="738"/>
        <v>0.41507153479897668</v>
      </c>
      <c r="U158" s="108">
        <f t="shared" si="738"/>
        <v>0.41251644917343255</v>
      </c>
      <c r="V158" s="108">
        <f t="shared" si="738"/>
        <v>0.41455757712457014</v>
      </c>
      <c r="W158" s="108">
        <f t="shared" si="738"/>
        <v>0.41495553194570506</v>
      </c>
      <c r="X158" s="108">
        <f t="shared" si="738"/>
        <v>0.41415174938487409</v>
      </c>
      <c r="Y158" s="108">
        <f t="shared" si="738"/>
        <v>0.41490294154671759</v>
      </c>
      <c r="Z158" s="108">
        <f t="shared" si="738"/>
        <v>0.41696578584808353</v>
      </c>
      <c r="AA158" s="108">
        <f t="shared" si="738"/>
        <v>0.41300181092244759</v>
      </c>
      <c r="AB158" s="108">
        <f t="shared" si="738"/>
        <v>0.40706132163219638</v>
      </c>
      <c r="AC158" s="108">
        <f t="shared" si="738"/>
        <v>0.41504713395417392</v>
      </c>
      <c r="AD158" s="108">
        <f t="shared" si="738"/>
        <v>0.41444018325344095</v>
      </c>
      <c r="AE158" s="108">
        <f t="shared" si="738"/>
        <v>0.41073442218882739</v>
      </c>
      <c r="AF158" s="108">
        <f t="shared" si="738"/>
        <v>0.41297629750748549</v>
      </c>
      <c r="AG158" s="108">
        <f t="shared" si="738"/>
        <v>0.40541863382865018</v>
      </c>
      <c r="AH158" s="108">
        <f t="shared" si="738"/>
        <v>0.40397803203022464</v>
      </c>
      <c r="AI158" s="108" t="str">
        <f t="shared" si="738"/>
        <v/>
      </c>
      <c r="AJ158" s="108">
        <f t="shared" si="738"/>
        <v>0.41192642666704748</v>
      </c>
      <c r="AK158" s="108">
        <f t="shared" si="738"/>
        <v>0.40397803203022464</v>
      </c>
      <c r="AL158" s="108">
        <f t="shared" si="738"/>
        <v>0.41444981640501122</v>
      </c>
      <c r="AM158" s="108">
        <f t="shared" si="738"/>
        <v>0.4148572350823917</v>
      </c>
      <c r="AN158" s="108">
        <f t="shared" si="738"/>
        <v>0.4145863211318736</v>
      </c>
    </row>
    <row r="159" spans="1:40">
      <c r="A159" s="74"/>
      <c r="B159" s="242"/>
      <c r="C159" s="242"/>
      <c r="D159" s="242"/>
      <c r="E159" s="59" t="str">
        <f t="shared" si="673"/>
        <v>CCT</v>
      </c>
      <c r="F159" s="75">
        <f t="shared" si="670"/>
        <v>3211.8148148148148</v>
      </c>
      <c r="G159" s="75">
        <f t="shared" si="671"/>
        <v>75.139888534675407</v>
      </c>
      <c r="H159" s="242"/>
      <c r="I159" s="109" t="str">
        <f>IF(I$54,getCCTfromXY(I157,I158,0),"")</f>
        <v/>
      </c>
      <c r="J159" s="109" t="str">
        <f t="shared" ref="J159" si="739">IF(J$54,getCCTfromXY(J157,J158,0),"")</f>
        <v/>
      </c>
      <c r="K159" s="109">
        <f t="shared" ref="K159" si="740">IF(K$54,getCCTfromXY(K157,K158,0),"")</f>
        <v>3278</v>
      </c>
      <c r="L159" s="109">
        <f t="shared" ref="L159" si="741">IF(L$54,getCCTfromXY(L157,L158,0),"")</f>
        <v>3222</v>
      </c>
      <c r="M159" s="109" t="str">
        <f t="shared" ref="M159" si="742">IF(M$54,getCCTfromXY(M157,M158,0),"")</f>
        <v/>
      </c>
      <c r="N159" s="109">
        <f t="shared" ref="N159" si="743">IF(N$54,getCCTfromXY(N157,N158,0),"")</f>
        <v>3191</v>
      </c>
      <c r="O159" s="109">
        <f t="shared" ref="O159" si="744">IF(O$54,getCCTfromXY(O157,O158,0),"")</f>
        <v>3154</v>
      </c>
      <c r="P159" s="109" t="str">
        <f t="shared" ref="P159" si="745">IF(P$54,getCCTfromXY(P157,P158,0),"")</f>
        <v/>
      </c>
      <c r="Q159" s="109">
        <f t="shared" ref="Q159" si="746">IF(Q$54,getCCTfromXY(Q157,Q158,0),"")</f>
        <v>3278</v>
      </c>
      <c r="R159" s="109">
        <f t="shared" ref="R159" si="747">IF(R$54,getCCTfromXY(R157,R158,0),"")</f>
        <v>3239</v>
      </c>
      <c r="S159" s="109">
        <f t="shared" ref="S159" si="748">IF(S$54,getCCTfromXY(S157,S158,0),"")</f>
        <v>3204</v>
      </c>
      <c r="T159" s="109">
        <f t="shared" ref="T159" si="749">IF(T$54,getCCTfromXY(T157,T158,0),"")</f>
        <v>3152</v>
      </c>
      <c r="U159" s="109">
        <f t="shared" ref="U159" si="750">IF(U$54,getCCTfromXY(U157,U158,0),"")</f>
        <v>3204</v>
      </c>
      <c r="V159" s="109">
        <f t="shared" ref="V159" si="751">IF(V$54,getCCTfromXY(V157,V158,0),"")</f>
        <v>3158</v>
      </c>
      <c r="W159" s="109">
        <f t="shared" ref="W159" si="752">IF(W$54,getCCTfromXY(W157,W158,0),"")</f>
        <v>3154</v>
      </c>
      <c r="X159" s="109">
        <f t="shared" ref="X159" si="753">IF(X$54,getCCTfromXY(X157,X158,0),"")</f>
        <v>3166</v>
      </c>
      <c r="Y159" s="109">
        <f t="shared" ref="Y159" si="754">IF(Y$54,getCCTfromXY(Y157,Y158,0),"")</f>
        <v>3153</v>
      </c>
      <c r="Z159" s="109">
        <f t="shared" ref="Z159" si="755">IF(Z$54,getCCTfromXY(Z157,Z158,0),"")</f>
        <v>3114</v>
      </c>
      <c r="AA159" s="109">
        <f t="shared" ref="AA159" si="756">IF(AA$54,getCCTfromXY(AA157,AA158,0),"")</f>
        <v>3191</v>
      </c>
      <c r="AB159" s="109">
        <f t="shared" ref="AB159" si="757">IF(AB$54,getCCTfromXY(AB157,AB158,0),"")</f>
        <v>3314</v>
      </c>
      <c r="AC159" s="109">
        <f t="shared" ref="AC159" si="758">IF(AC$54,getCCTfromXY(AC157,AC158,0),"")</f>
        <v>3150</v>
      </c>
      <c r="AD159" s="109">
        <f t="shared" ref="AD159" si="759">IF(AD$54,getCCTfromXY(AD157,AD158,0),"")</f>
        <v>3160</v>
      </c>
      <c r="AE159" s="109">
        <f t="shared" ref="AE159" si="760">IF(AE$54,getCCTfromXY(AE157,AE158,0),"")</f>
        <v>3234</v>
      </c>
      <c r="AF159" s="109">
        <f t="shared" ref="AF159" si="761">IF(AF$54,getCCTfromXY(AF157,AF158,0),"")</f>
        <v>3189</v>
      </c>
      <c r="AG159" s="109">
        <f t="shared" ref="AG159" si="762">IF(AG$54,getCCTfromXY(AG157,AG158,0),"")</f>
        <v>3353</v>
      </c>
      <c r="AH159" s="109">
        <f t="shared" ref="AH159" si="763">IF(AH$54,getCCTfromXY(AH157,AH158,0),"")</f>
        <v>3387</v>
      </c>
      <c r="AI159" s="109" t="str">
        <f t="shared" ref="AI159" si="764">IF(AI$54,getCCTfromXY(AI157,AI158,0),"")</f>
        <v/>
      </c>
      <c r="AJ159" s="109">
        <f t="shared" ref="AJ159" si="765">IF(AJ$54,getCCTfromXY(AJ157,AJ158,0),"")</f>
        <v>3212</v>
      </c>
      <c r="AK159" s="109">
        <f t="shared" ref="AK159" si="766">IF(AK$54,getCCTfromXY(AK157,AK158,0),"")</f>
        <v>3387</v>
      </c>
      <c r="AL159" s="109">
        <f t="shared" ref="AL159" si="767">IF(AL$54,getCCTfromXY(AL157,AL158,0),"")</f>
        <v>3163</v>
      </c>
      <c r="AM159" s="109">
        <f t="shared" ref="AM159" si="768">IF(AM$54,getCCTfromXY(AM157,AM158,0),"")</f>
        <v>3152</v>
      </c>
      <c r="AN159" s="109">
        <f t="shared" ref="AN159" si="769">IF(AN$54,getCCTfromXY(AN157,AN158,0),"")</f>
        <v>3160</v>
      </c>
    </row>
    <row r="160" spans="1:40">
      <c r="A160" s="74"/>
      <c r="B160" s="242"/>
      <c r="C160" s="242"/>
      <c r="D160" s="242"/>
      <c r="E160" s="59" t="str">
        <f t="shared" si="673"/>
        <v>MK-1</v>
      </c>
      <c r="F160" s="61">
        <f t="shared" si="670"/>
        <v>311.51051450790146</v>
      </c>
      <c r="G160" s="61">
        <f t="shared" si="671"/>
        <v>7.1066608232271538</v>
      </c>
      <c r="H160" s="242"/>
      <c r="I160" s="130" t="str">
        <f>IF(I$54,10^6/I159,"")</f>
        <v/>
      </c>
      <c r="J160" s="130" t="str">
        <f t="shared" ref="J160" si="770">IF(J$54,10^6/J159,"")</f>
        <v/>
      </c>
      <c r="K160" s="130">
        <f t="shared" ref="K160" si="771">IF(K$54,10^6/K159,"")</f>
        <v>305.06406345332522</v>
      </c>
      <c r="L160" s="130">
        <f t="shared" ref="L160" si="772">IF(L$54,10^6/L159,"")</f>
        <v>310.36623215394167</v>
      </c>
      <c r="M160" s="130" t="str">
        <f t="shared" ref="M160" si="773">IF(M$54,10^6/M159,"")</f>
        <v/>
      </c>
      <c r="N160" s="130">
        <f t="shared" ref="N160" si="774">IF(N$54,10^6/N159,"")</f>
        <v>313.38138514572233</v>
      </c>
      <c r="O160" s="130">
        <f t="shared" ref="O160" si="775">IF(O$54,10^6/O159,"")</f>
        <v>317.05770450221939</v>
      </c>
      <c r="P160" s="130" t="str">
        <f t="shared" ref="P160" si="776">IF(P$54,10^6/P159,"")</f>
        <v/>
      </c>
      <c r="Q160" s="130">
        <f t="shared" ref="Q160" si="777">IF(Q$54,10^6/Q159,"")</f>
        <v>305.06406345332522</v>
      </c>
      <c r="R160" s="130">
        <f t="shared" ref="R160" si="778">IF(R$54,10^6/R159,"")</f>
        <v>308.73726458783574</v>
      </c>
      <c r="S160" s="130">
        <f t="shared" ref="S160" si="779">IF(S$54,10^6/S159,"")</f>
        <v>312.10986267166044</v>
      </c>
      <c r="T160" s="130">
        <f t="shared" ref="T160" si="780">IF(T$54,10^6/T159,"")</f>
        <v>317.25888324873097</v>
      </c>
      <c r="U160" s="130">
        <f t="shared" ref="U160" si="781">IF(U$54,10^6/U159,"")</f>
        <v>312.10986267166044</v>
      </c>
      <c r="V160" s="130">
        <f t="shared" ref="V160" si="782">IF(V$54,10^6/V159,"")</f>
        <v>316.65611146295123</v>
      </c>
      <c r="W160" s="130">
        <f t="shared" ref="W160" si="783">IF(W$54,10^6/W159,"")</f>
        <v>317.05770450221939</v>
      </c>
      <c r="X160" s="130">
        <f t="shared" ref="X160" si="784">IF(X$54,10^6/X159,"")</f>
        <v>315.85596967782692</v>
      </c>
      <c r="Y160" s="130">
        <f t="shared" ref="Y160" si="785">IF(Y$54,10^6/Y159,"")</f>
        <v>317.1582619727244</v>
      </c>
      <c r="Z160" s="130">
        <f t="shared" ref="Z160" si="786">IF(Z$54,10^6/Z159,"")</f>
        <v>321.13037893384717</v>
      </c>
      <c r="AA160" s="130">
        <f t="shared" ref="AA160" si="787">IF(AA$54,10^6/AA159,"")</f>
        <v>313.38138514572233</v>
      </c>
      <c r="AB160" s="130">
        <f t="shared" ref="AB160" si="788">IF(AB$54,10^6/AB159,"")</f>
        <v>301.75015087507546</v>
      </c>
      <c r="AC160" s="130">
        <f t="shared" ref="AC160" si="789">IF(AC$54,10^6/AC159,"")</f>
        <v>317.46031746031747</v>
      </c>
      <c r="AD160" s="130">
        <f t="shared" ref="AD160" si="790">IF(AD$54,10^6/AD159,"")</f>
        <v>316.45569620253167</v>
      </c>
      <c r="AE160" s="130">
        <f t="shared" ref="AE160" si="791">IF(AE$54,10^6/AE159,"")</f>
        <v>309.21459492888062</v>
      </c>
      <c r="AF160" s="130">
        <f t="shared" ref="AF160" si="792">IF(AF$54,10^6/AF159,"")</f>
        <v>313.57792411414238</v>
      </c>
      <c r="AG160" s="130">
        <f t="shared" ref="AG160" si="793">IF(AG$54,10^6/AG159,"")</f>
        <v>298.24038174768862</v>
      </c>
      <c r="AH160" s="130">
        <f t="shared" ref="AH160" si="794">IF(AH$54,10^6/AH159,"")</f>
        <v>295.24653085326247</v>
      </c>
      <c r="AI160" s="130" t="str">
        <f t="shared" ref="AI160" si="795">IF(AI$54,10^6/AI159,"")</f>
        <v/>
      </c>
      <c r="AJ160" s="130">
        <f t="shared" ref="AJ160" si="796">IF(AJ$54,10^6/AJ159,"")</f>
        <v>311.332503113325</v>
      </c>
      <c r="AK160" s="130">
        <f t="shared" ref="AK160" si="797">IF(AK$54,10^6/AK159,"")</f>
        <v>295.24653085326247</v>
      </c>
      <c r="AL160" s="130">
        <f t="shared" ref="AL160" si="798">IF(AL$54,10^6/AL159,"")</f>
        <v>316.15554852987668</v>
      </c>
      <c r="AM160" s="130">
        <f t="shared" ref="AM160" si="799">IF(AM$54,10^6/AM159,"")</f>
        <v>317.25888324873097</v>
      </c>
      <c r="AN160" s="130">
        <f t="shared" ref="AN160" si="800">IF(AN$54,10^6/AN159,"")</f>
        <v>316.45569620253167</v>
      </c>
    </row>
    <row r="161" spans="1:40">
      <c r="A161" s="74"/>
      <c r="B161" s="242"/>
      <c r="C161" s="242" t="str">
        <f>C139</f>
        <v>Error</v>
      </c>
      <c r="D161" s="59" t="str">
        <f>C153</f>
        <v>LO</v>
      </c>
      <c r="E161" s="242" t="str">
        <f>E139</f>
        <v>Δxy</v>
      </c>
      <c r="F161" s="60">
        <f t="shared" si="670"/>
        <v>5.5021363134853821E-3</v>
      </c>
      <c r="G161" s="60">
        <f t="shared" si="671"/>
        <v>3.0975061115367975E-3</v>
      </c>
      <c r="H161" s="60">
        <f>H147/SUM(H147:H149)</f>
        <v>0.42817474091337332</v>
      </c>
      <c r="I161" s="108" t="str">
        <f>IF(I$54,((I153-$H161)^2+(I154-$H162)^2)^0.5,"")</f>
        <v/>
      </c>
      <c r="J161" s="108" t="str">
        <f t="shared" ref="J161" si="801">IF(J$54,((J153-$H161)^2+(J154-$H162)^2)^0.5,"")</f>
        <v/>
      </c>
      <c r="K161" s="108">
        <f t="shared" ref="K161" si="802">IF(K$54,((K153-$H161)^2+(K154-$H162)^2)^0.5,"")</f>
        <v>3.570524819326295E-3</v>
      </c>
      <c r="L161" s="108">
        <f t="shared" ref="L161" si="803">IF(L$54,((L153-$H161)^2+(L154-$H162)^2)^0.5,"")</f>
        <v>2.2222726118357569E-3</v>
      </c>
      <c r="M161" s="108" t="str">
        <f t="shared" ref="M161" si="804">IF(M$54,((M153-$H161)^2+(M154-$H162)^2)^0.5,"")</f>
        <v/>
      </c>
      <c r="N161" s="108">
        <f t="shared" ref="N161" si="805">IF(N$54,((N153-$H161)^2+(N154-$H162)^2)^0.5,"")</f>
        <v>2.413007438140304E-3</v>
      </c>
      <c r="O161" s="108">
        <f t="shared" ref="O161" si="806">IF(O$54,((O153-$H161)^2+(O154-$H162)^2)^0.5,"")</f>
        <v>2.5975041668323687E-3</v>
      </c>
      <c r="P161" s="108" t="str">
        <f t="shared" ref="P161" si="807">IF(P$54,((P153-$H161)^2+(P154-$H162)^2)^0.5,"")</f>
        <v/>
      </c>
      <c r="Q161" s="108">
        <f t="shared" ref="Q161" si="808">IF(Q$54,((Q153-$H161)^2+(Q154-$H162)^2)^0.5,"")</f>
        <v>5.3581354196519217E-3</v>
      </c>
      <c r="R161" s="108">
        <f t="shared" ref="R161" si="809">IF(R$54,((R153-$H161)^2+(R154-$H162)^2)^0.5,"")</f>
        <v>3.1603142628245946E-3</v>
      </c>
      <c r="S161" s="108">
        <f t="shared" ref="S161" si="810">IF(S$54,((S153-$H161)^2+(S154-$H162)^2)^0.5,"")</f>
        <v>4.9782274347785153E-3</v>
      </c>
      <c r="T161" s="108">
        <f t="shared" ref="T161" si="811">IF(T$54,((T153-$H161)^2+(T154-$H162)^2)^0.5,"")</f>
        <v>5.7564512069051086E-3</v>
      </c>
      <c r="U161" s="108">
        <f t="shared" ref="U161" si="812">IF(U$54,((U153-$H161)^2+(U154-$H162)^2)^0.5,"")</f>
        <v>3.829897515694995E-3</v>
      </c>
      <c r="V161" s="108">
        <f t="shared" ref="V161" si="813">IF(V$54,((V153-$H161)^2+(V154-$H162)^2)^0.5,"")</f>
        <v>1.9383888957719543E-3</v>
      </c>
      <c r="W161" s="108">
        <f t="shared" ref="W161" si="814">IF(W$54,((W153-$H161)^2+(W154-$H162)^2)^0.5,"")</f>
        <v>2.2297451002162893E-3</v>
      </c>
      <c r="X161" s="108">
        <f t="shared" ref="X161" si="815">IF(X$54,((X153-$H161)^2+(X154-$H162)^2)^0.5,"")</f>
        <v>3.2608309054932899E-3</v>
      </c>
      <c r="Y161" s="108">
        <f t="shared" ref="Y161" si="816">IF(Y$54,((Y153-$H161)^2+(Y154-$H162)^2)^0.5,"")</f>
        <v>7.7261925126356212E-3</v>
      </c>
      <c r="Z161" s="108">
        <f t="shared" ref="Z161" si="817">IF(Z$54,((Z153-$H161)^2+(Z154-$H162)^2)^0.5,"")</f>
        <v>1.0437937578629023E-2</v>
      </c>
      <c r="AA161" s="108">
        <f t="shared" ref="AA161" si="818">IF(AA$54,((AA153-$H161)^2+(AA154-$H162)^2)^0.5,"")</f>
        <v>6.0218380493405593E-3</v>
      </c>
      <c r="AB161" s="108">
        <f t="shared" ref="AB161" si="819">IF(AB$54,((AB153-$H161)^2+(AB154-$H162)^2)^0.5,"")</f>
        <v>4.4723416190442337E-3</v>
      </c>
      <c r="AC161" s="108">
        <f t="shared" ref="AC161" si="820">IF(AC$54,((AC153-$H161)^2+(AC154-$H162)^2)^0.5,"")</f>
        <v>7.5586766828640434E-3</v>
      </c>
      <c r="AD161" s="108">
        <f t="shared" ref="AD161" si="821">IF(AD$54,((AD153-$H161)^2+(AD154-$H162)^2)^0.5,"")</f>
        <v>5.0027486377548962E-3</v>
      </c>
      <c r="AE161" s="108">
        <f t="shared" ref="AE161" si="822">IF(AE$54,((AE153-$H161)^2+(AE154-$H162)^2)^0.5,"")</f>
        <v>2.9639902205484932E-3</v>
      </c>
      <c r="AF161" s="108">
        <f t="shared" ref="AF161" si="823">IF(AF$54,((AF153-$H161)^2+(AF154-$H162)^2)^0.5,"")</f>
        <v>9.453260364631174E-3</v>
      </c>
      <c r="AG161" s="108">
        <f t="shared" ref="AG161" si="824">IF(AG$54,((AG153-$H161)^2+(AG154-$H162)^2)^0.5,"")</f>
        <v>1.2722445659665555E-2</v>
      </c>
      <c r="AH161" s="108">
        <f t="shared" ref="AH161" si="825">IF(AH$54,((AH153-$H161)^2+(AH154-$H162)^2)^0.5,"")</f>
        <v>1.1200529822096811E-2</v>
      </c>
      <c r="AI161" s="108" t="str">
        <f t="shared" ref="AI161" si="826">IF(AI$54,((AI153-$H161)^2+(AI154-$H162)^2)^0.5,"")</f>
        <v/>
      </c>
      <c r="AJ161" s="108">
        <f t="shared" ref="AJ161" si="827">IF(AJ$54,((AJ153-$H161)^2+(AJ154-$H162)^2)^0.5,"")</f>
        <v>7.4144240534996424E-3</v>
      </c>
      <c r="AK161" s="108">
        <f t="shared" ref="AK161" si="828">IF(AK$54,((AK153-$H161)^2+(AK154-$H162)^2)^0.5,"")</f>
        <v>8.985886295817867E-3</v>
      </c>
      <c r="AL161" s="108">
        <f t="shared" ref="AL161" si="829">IF(AL$54,((AL153-$H161)^2+(AL154-$H162)^2)^0.5,"")</f>
        <v>3.1211267389316681E-3</v>
      </c>
      <c r="AM161" s="108">
        <f t="shared" ref="AM161" si="830">IF(AM$54,((AM153-$H161)^2+(AM154-$H162)^2)^0.5,"")</f>
        <v>7.9373327572668396E-3</v>
      </c>
      <c r="AN161" s="108">
        <f t="shared" ref="AN161" si="831">IF(AN$54,((AN153-$H161)^2+(AN154-$H162)^2)^0.5,"")</f>
        <v>2.2236496939074921E-3</v>
      </c>
    </row>
    <row r="162" spans="1:40">
      <c r="A162" s="74"/>
      <c r="B162" s="242"/>
      <c r="C162" s="242"/>
      <c r="D162" s="59" t="str">
        <f>C157</f>
        <v>HI</v>
      </c>
      <c r="E162" s="242"/>
      <c r="F162" s="60">
        <f t="shared" si="670"/>
        <v>6.5008933380292441E-3</v>
      </c>
      <c r="G162" s="60">
        <f t="shared" si="671"/>
        <v>3.0780902554424796E-3</v>
      </c>
      <c r="H162" s="60">
        <f>H148/SUM(H147:H149)</f>
        <v>0.40915852630535032</v>
      </c>
      <c r="I162" s="108" t="str">
        <f>IF(I$54,((I157-$H161)^2+(I158-$H162)^2)^0.5,"")</f>
        <v/>
      </c>
      <c r="J162" s="108" t="str">
        <f t="shared" ref="J162" si="832">IF(J$54,((J157-$H161)^2+(J158-$H162)^2)^0.5,"")</f>
        <v/>
      </c>
      <c r="K162" s="108">
        <f t="shared" ref="K162" si="833">IF(K$54,((K157-$H161)^2+(K158-$H162)^2)^0.5,"")</f>
        <v>4.0819232626732628E-3</v>
      </c>
      <c r="L162" s="108">
        <f t="shared" ref="L162" si="834">IF(L$54,((L157-$H161)^2+(L158-$H162)^2)^0.5,"")</f>
        <v>2.2256973867519928E-3</v>
      </c>
      <c r="M162" s="108" t="str">
        <f t="shared" ref="M162" si="835">IF(M$54,((M157-$H161)^2+(M158-$H162)^2)^0.5,"")</f>
        <v/>
      </c>
      <c r="N162" s="108">
        <f t="shared" ref="N162" si="836">IF(N$54,((N157-$H161)^2+(N158-$H162)^2)^0.5,"")</f>
        <v>4.5701230685597531E-3</v>
      </c>
      <c r="O162" s="108">
        <f t="shared" ref="O162" si="837">IF(O$54,((O157-$H161)^2+(O158-$H162)^2)^0.5,"")</f>
        <v>7.7296592412320767E-3</v>
      </c>
      <c r="P162" s="108" t="str">
        <f t="shared" ref="P162" si="838">IF(P$54,((P157-$H161)^2+(P158-$H162)^2)^0.5,"")</f>
        <v/>
      </c>
      <c r="Q162" s="108">
        <f t="shared" ref="Q162" si="839">IF(Q$54,((Q157-$H161)^2+(Q158-$H162)^2)^0.5,"")</f>
        <v>4.0819232626732628E-3</v>
      </c>
      <c r="R162" s="108">
        <f t="shared" ref="R162" si="840">IF(R$54,((R157-$H161)^2+(R158-$H162)^2)^0.5,"")</f>
        <v>1.8835863970127272E-3</v>
      </c>
      <c r="S162" s="108">
        <f t="shared" ref="S162" si="841">IF(S$54,((S157-$H161)^2+(S158-$H162)^2)^0.5,"")</f>
        <v>3.5628896307856005E-3</v>
      </c>
      <c r="T162" s="108">
        <f t="shared" ref="T162" si="842">IF(T$54,((T157-$H161)^2+(T158-$H162)^2)^0.5,"")</f>
        <v>8.1461099791188471E-3</v>
      </c>
      <c r="U162" s="108">
        <f t="shared" ref="U162" si="843">IF(U$54,((U157-$H161)^2+(U158-$H162)^2)^0.5,"")</f>
        <v>3.6940971710253991E-3</v>
      </c>
      <c r="V162" s="108">
        <f t="shared" ref="V162" si="844">IF(V$54,((V157-$H161)^2+(V158-$H162)^2)^0.5,"")</f>
        <v>7.3611031532912667E-3</v>
      </c>
      <c r="W162" s="108">
        <f t="shared" ref="W162" si="845">IF(W$54,((W157-$H161)^2+(W158-$H162)^2)^0.5,"")</f>
        <v>7.9394898032089153E-3</v>
      </c>
      <c r="X162" s="108">
        <f t="shared" ref="X162" si="846">IF(X$54,((X157-$H161)^2+(X158-$H162)^2)^0.5,"")</f>
        <v>6.6222596164850272E-3</v>
      </c>
      <c r="Y162" s="108">
        <f t="shared" ref="Y162" si="847">IF(Y$54,((Y157-$H161)^2+(Y158-$H162)^2)^0.5,"")</f>
        <v>7.923726251465972E-3</v>
      </c>
      <c r="Z162" s="108">
        <f t="shared" ref="Z162" si="848">IF(Z$54,((Z157-$H161)^2+(Z158-$H162)^2)^0.5,"")</f>
        <v>1.1653728438514617E-2</v>
      </c>
      <c r="AA162" s="108">
        <f t="shared" ref="AA162" si="849">IF(AA$54,((AA157-$H161)^2+(AA158-$H162)^2)^0.5,"")</f>
        <v>4.5701230685597531E-3</v>
      </c>
      <c r="AB162" s="108">
        <f t="shared" ref="AB162" si="850">IF(AB$54,((AB157-$H161)^2+(AB158-$H162)^2)^0.5,"")</f>
        <v>7.0034115222045029E-3</v>
      </c>
      <c r="AC162" s="108">
        <f t="shared" ref="AC162" si="851">IF(AC$54,((AC157-$H161)^2+(AC158-$H162)^2)^0.5,"")</f>
        <v>8.202330283810972E-3</v>
      </c>
      <c r="AD162" s="108">
        <f t="shared" ref="AD162" si="852">IF(AD$54,((AD157-$H161)^2+(AD158-$H162)^2)^0.5,"")</f>
        <v>7.1528960376364961E-3</v>
      </c>
      <c r="AE162" s="108">
        <f t="shared" ref="AE162" si="853">IF(AE$54,((AE157-$H161)^2+(AE158-$H162)^2)^0.5,"")</f>
        <v>1.8164206899186858E-3</v>
      </c>
      <c r="AF162" s="108">
        <f t="shared" ref="AF162" si="854">IF(AF$54,((AF157-$H161)^2+(AF158-$H162)^2)^0.5,"")</f>
        <v>4.5824303786208258E-3</v>
      </c>
      <c r="AG162" s="108">
        <f t="shared" ref="AG162" si="855">IF(AG$54,((AG157-$H161)^2+(AG158-$H162)^2)^0.5,"")</f>
        <v>1.0075766498463874E-2</v>
      </c>
      <c r="AH162" s="108">
        <f t="shared" ref="AH162" si="856">IF(AH$54,((AH157-$H161)^2+(AH158-$H162)^2)^0.5,"")</f>
        <v>1.2725589009659104E-2</v>
      </c>
      <c r="AI162" s="108" t="str">
        <f t="shared" ref="AI162" si="857">IF(AI$54,((AI157-$H161)^2+(AI158-$H162)^2)^0.5,"")</f>
        <v/>
      </c>
      <c r="AJ162" s="108">
        <f t="shared" ref="AJ162" si="858">IF(AJ$54,((AJ157-$H161)^2+(AJ158-$H162)^2)^0.5,"")</f>
        <v>2.895127154715189E-3</v>
      </c>
      <c r="AK162" s="108">
        <f t="shared" ref="AK162" si="859">IF(AK$54,((AK157-$H161)^2+(AK158-$H162)^2)^0.5,"")</f>
        <v>1.2725589009659104E-2</v>
      </c>
      <c r="AL162" s="108">
        <f t="shared" ref="AL162" si="860">IF(AL$54,((AL157-$H161)^2+(AL158-$H162)^2)^0.5,"")</f>
        <v>7.0544218161868273E-3</v>
      </c>
      <c r="AM162" s="108">
        <f t="shared" ref="AM162" si="861">IF(AM$54,((AM157-$H161)^2+(AM158-$H162)^2)^0.5,"")</f>
        <v>7.91039501560762E-3</v>
      </c>
      <c r="AN162" s="108">
        <f t="shared" ref="AN162" si="862">IF(AN$54,((AN157-$H161)^2+(AN158-$H162)^2)^0.5,"")</f>
        <v>7.3333029789479139E-3</v>
      </c>
    </row>
    <row r="163" spans="1:40">
      <c r="A163" s="74"/>
      <c r="B163" s="242"/>
      <c r="C163" s="242"/>
      <c r="D163" s="59" t="str">
        <f>D161</f>
        <v>LO</v>
      </c>
      <c r="E163" s="242" t="str">
        <f t="shared" ref="E163" si="863">E141</f>
        <v>MK-1</v>
      </c>
      <c r="F163" s="61">
        <f t="shared" si="670"/>
        <v>-2.2752009708429539</v>
      </c>
      <c r="G163" s="61">
        <f t="shared" si="671"/>
        <v>6.4976864708167819</v>
      </c>
      <c r="H163" s="243">
        <f>10^6/H165</f>
        <v>312.01248049921998</v>
      </c>
      <c r="I163" s="130" t="str">
        <f>IF(I$54,I156-$H163,"")</f>
        <v/>
      </c>
      <c r="J163" s="130" t="str">
        <f t="shared" ref="J163:AN163" si="864">IF(J$54,J156-$H163,"")</f>
        <v/>
      </c>
      <c r="K163" s="130">
        <f t="shared" si="864"/>
        <v>-6.2955743543101903</v>
      </c>
      <c r="L163" s="130">
        <f t="shared" si="864"/>
        <v>-4.3201728069122964</v>
      </c>
      <c r="M163" s="130" t="str">
        <f t="shared" si="864"/>
        <v/>
      </c>
      <c r="N163" s="130">
        <f t="shared" si="864"/>
        <v>-1.3569974299438172</v>
      </c>
      <c r="O163" s="130">
        <f t="shared" si="864"/>
        <v>-4.981470367196664</v>
      </c>
      <c r="P163" s="130" t="str">
        <f t="shared" si="864"/>
        <v/>
      </c>
      <c r="Q163" s="130">
        <f t="shared" si="864"/>
        <v>-8.522343928658529</v>
      </c>
      <c r="R163" s="130">
        <f t="shared" si="864"/>
        <v>-0.29178224485588089</v>
      </c>
      <c r="S163" s="130">
        <f t="shared" si="864"/>
        <v>-8.061112718064976</v>
      </c>
      <c r="T163" s="130">
        <f t="shared" si="864"/>
        <v>2.551847905938871</v>
      </c>
      <c r="U163" s="130">
        <f t="shared" si="864"/>
        <v>0.29232899484622976</v>
      </c>
      <c r="V163" s="130">
        <f t="shared" si="864"/>
        <v>-2.7022423303365599</v>
      </c>
      <c r="W163" s="130">
        <f t="shared" si="864"/>
        <v>-4.2254691111005513</v>
      </c>
      <c r="X163" s="130">
        <f t="shared" si="864"/>
        <v>-0.29178224485588089</v>
      </c>
      <c r="Y163" s="130">
        <f t="shared" si="864"/>
        <v>4.844300235887772</v>
      </c>
      <c r="Z163" s="130">
        <f t="shared" si="864"/>
        <v>7.782850488947588</v>
      </c>
      <c r="AA163" s="130">
        <f t="shared" si="864"/>
        <v>2.9481494220398758</v>
      </c>
      <c r="AB163" s="130">
        <f t="shared" si="864"/>
        <v>-7.3202196826447334</v>
      </c>
      <c r="AC163" s="130">
        <f t="shared" si="864"/>
        <v>4.7439338181699782</v>
      </c>
      <c r="AD163" s="130">
        <f t="shared" si="864"/>
        <v>1.9592620439511279</v>
      </c>
      <c r="AE163" s="130">
        <f t="shared" si="864"/>
        <v>-5.4520881019176954</v>
      </c>
      <c r="AF163" s="130">
        <f t="shared" si="864"/>
        <v>6.8650705211882155</v>
      </c>
      <c r="AG163" s="130">
        <f t="shared" si="864"/>
        <v>-16.765949645957505</v>
      </c>
      <c r="AH163" s="130">
        <f t="shared" si="864"/>
        <v>-15.10036648496822</v>
      </c>
      <c r="AI163" s="130" t="str">
        <f t="shared" si="864"/>
        <v/>
      </c>
      <c r="AJ163" s="130">
        <f t="shared" si="864"/>
        <v>4.5433916122076994</v>
      </c>
      <c r="AK163" s="130">
        <f t="shared" si="864"/>
        <v>-12.611282894429564</v>
      </c>
      <c r="AL163" s="130">
        <f t="shared" si="864"/>
        <v>-0.58301927218792571</v>
      </c>
      <c r="AM163" s="130">
        <f t="shared" si="864"/>
        <v>5.145781473504428</v>
      </c>
      <c r="AN163" s="130">
        <f t="shared" si="864"/>
        <v>-4.2254691111005513</v>
      </c>
    </row>
    <row r="164" spans="1:40">
      <c r="A164" s="74"/>
      <c r="B164" s="242"/>
      <c r="C164" s="242"/>
      <c r="D164" s="59" t="str">
        <f t="shared" ref="D164:D168" si="865">D162</f>
        <v>HI</v>
      </c>
      <c r="E164" s="242"/>
      <c r="F164" s="61">
        <f t="shared" si="670"/>
        <v>-0.50196599131855579</v>
      </c>
      <c r="G164" s="61">
        <f t="shared" si="671"/>
        <v>7.1066608232277355</v>
      </c>
      <c r="H164" s="243"/>
      <c r="I164" s="130" t="str">
        <f>IF(I$54,I160-$H163,"")</f>
        <v/>
      </c>
      <c r="J164" s="130" t="str">
        <f t="shared" ref="J164" si="866">IF(J$54,J160-$H163,"")</f>
        <v/>
      </c>
      <c r="K164" s="130">
        <f t="shared" ref="K164" si="867">IF(K$54,K160-$H163,"")</f>
        <v>-6.9484170458947574</v>
      </c>
      <c r="L164" s="130">
        <f t="shared" ref="L164" si="868">IF(L$54,L160-$H163,"")</f>
        <v>-1.646248345278309</v>
      </c>
      <c r="M164" s="130" t="str">
        <f t="shared" ref="M164" si="869">IF(M$54,M160-$H163,"")</f>
        <v/>
      </c>
      <c r="N164" s="130">
        <f t="shared" ref="N164" si="870">IF(N$54,N160-$H163,"")</f>
        <v>1.368904646502358</v>
      </c>
      <c r="O164" s="130">
        <f t="shared" ref="O164" si="871">IF(O$54,O160-$H163,"")</f>
        <v>5.0452240029994186</v>
      </c>
      <c r="P164" s="130" t="str">
        <f t="shared" ref="P164" si="872">IF(P$54,P160-$H163,"")</f>
        <v/>
      </c>
      <c r="Q164" s="130">
        <f t="shared" ref="Q164" si="873">IF(Q$54,Q160-$H163,"")</f>
        <v>-6.9484170458947574</v>
      </c>
      <c r="R164" s="130">
        <f t="shared" ref="R164" si="874">IF(R$54,R160-$H163,"")</f>
        <v>-3.2752159113842367</v>
      </c>
      <c r="S164" s="130">
        <f t="shared" ref="S164" si="875">IF(S$54,S160-$H163,"")</f>
        <v>9.7382172440461545E-2</v>
      </c>
      <c r="T164" s="130">
        <f t="shared" ref="T164" si="876">IF(T$54,T160-$H163,"")</f>
        <v>5.2464027495109917</v>
      </c>
      <c r="U164" s="130">
        <f t="shared" ref="U164" si="877">IF(U$54,U160-$H163,"")</f>
        <v>9.7382172440461545E-2</v>
      </c>
      <c r="V164" s="130">
        <f t="shared" ref="V164" si="878">IF(V$54,V160-$H163,"")</f>
        <v>4.6436309637312547</v>
      </c>
      <c r="W164" s="130">
        <f t="shared" ref="W164" si="879">IF(W$54,W160-$H163,"")</f>
        <v>5.0452240029994186</v>
      </c>
      <c r="X164" s="130">
        <f t="shared" ref="X164" si="880">IF(X$54,X160-$H163,"")</f>
        <v>3.8434891786069443</v>
      </c>
      <c r="Y164" s="130">
        <f t="shared" ref="Y164" si="881">IF(Y$54,Y160-$H163,"")</f>
        <v>5.145781473504428</v>
      </c>
      <c r="Z164" s="130">
        <f t="shared" ref="Z164" si="882">IF(Z$54,Z160-$H163,"")</f>
        <v>9.1178984346271932</v>
      </c>
      <c r="AA164" s="130">
        <f t="shared" ref="AA164" si="883">IF(AA$54,AA160-$H163,"")</f>
        <v>1.368904646502358</v>
      </c>
      <c r="AB164" s="130">
        <f t="shared" ref="AB164" si="884">IF(AB$54,AB160-$H163,"")</f>
        <v>-10.262329624144513</v>
      </c>
      <c r="AC164" s="130">
        <f t="shared" ref="AC164" si="885">IF(AC$54,AC160-$H163,"")</f>
        <v>5.4478369610974937</v>
      </c>
      <c r="AD164" s="130">
        <f t="shared" ref="AD164" si="886">IF(AD$54,AD160-$H163,"")</f>
        <v>4.4432157033116937</v>
      </c>
      <c r="AE164" s="130">
        <f t="shared" ref="AE164" si="887">IF(AE$54,AE160-$H163,"")</f>
        <v>-2.7978855703393606</v>
      </c>
      <c r="AF164" s="130">
        <f t="shared" ref="AF164" si="888">IF(AF$54,AF160-$H163,"")</f>
        <v>1.5654436149224011</v>
      </c>
      <c r="AG164" s="130">
        <f t="shared" ref="AG164" si="889">IF(AG$54,AG160-$H163,"")</f>
        <v>-13.77209875153136</v>
      </c>
      <c r="AH164" s="130">
        <f t="shared" ref="AH164" si="890">IF(AH$54,AH160-$H163,"")</f>
        <v>-16.765949645957505</v>
      </c>
      <c r="AI164" s="130" t="str">
        <f t="shared" ref="AI164" si="891">IF(AI$54,AI160-$H163,"")</f>
        <v/>
      </c>
      <c r="AJ164" s="130">
        <f t="shared" ref="AJ164" si="892">IF(AJ$54,AJ160-$H163,"")</f>
        <v>-0.67997738589497203</v>
      </c>
      <c r="AK164" s="130">
        <f t="shared" ref="AK164" si="893">IF(AK$54,AK160-$H163,"")</f>
        <v>-16.765949645957505</v>
      </c>
      <c r="AL164" s="130">
        <f t="shared" ref="AL164" si="894">IF(AL$54,AL160-$H163,"")</f>
        <v>4.1430680306567069</v>
      </c>
      <c r="AM164" s="130">
        <f t="shared" ref="AM164" si="895">IF(AM$54,AM160-$H163,"")</f>
        <v>5.2464027495109917</v>
      </c>
      <c r="AN164" s="130">
        <f t="shared" ref="AN164" si="896">IF(AN$54,AN160-$H163,"")</f>
        <v>4.4432157033116937</v>
      </c>
    </row>
    <row r="165" spans="1:40">
      <c r="A165" s="74"/>
      <c r="B165" s="242"/>
      <c r="C165" s="242"/>
      <c r="D165" s="59" t="str">
        <f t="shared" si="865"/>
        <v>LO</v>
      </c>
      <c r="E165" s="242" t="str">
        <f t="shared" ref="E165" si="897">E143</f>
        <v>%/CCT</v>
      </c>
      <c r="F165" s="63">
        <f t="shared" si="670"/>
        <v>7.2920191115516233E-3</v>
      </c>
      <c r="G165" s="63">
        <f t="shared" si="671"/>
        <v>2.0825085138967778E-2</v>
      </c>
      <c r="H165" s="242">
        <f>getCCTfromXY(H161,H162,0)</f>
        <v>3205</v>
      </c>
      <c r="I165" s="91" t="str">
        <f>IF(I$54,1-$H165/I155,"")</f>
        <v/>
      </c>
      <c r="J165" s="91" t="str">
        <f t="shared" ref="J165:AN165" si="898">IF(J$54,1-$H165/J155,"")</f>
        <v/>
      </c>
      <c r="K165" s="91">
        <f t="shared" si="898"/>
        <v>2.0177315805564033E-2</v>
      </c>
      <c r="L165" s="91">
        <f t="shared" si="898"/>
        <v>1.3846153846153841E-2</v>
      </c>
      <c r="M165" s="91" t="str">
        <f t="shared" si="898"/>
        <v/>
      </c>
      <c r="N165" s="91">
        <f t="shared" si="898"/>
        <v>4.3491767629698641E-3</v>
      </c>
      <c r="O165" s="91">
        <f t="shared" si="898"/>
        <v>1.5965612526865236E-2</v>
      </c>
      <c r="P165" s="91" t="str">
        <f t="shared" si="898"/>
        <v/>
      </c>
      <c r="Q165" s="91">
        <f t="shared" si="898"/>
        <v>2.7314112291350501E-2</v>
      </c>
      <c r="R165" s="91">
        <f t="shared" si="898"/>
        <v>9.3516209476307566E-4</v>
      </c>
      <c r="S165" s="91">
        <f t="shared" si="898"/>
        <v>2.5835866261398222E-2</v>
      </c>
      <c r="T165" s="91">
        <f t="shared" si="898"/>
        <v>-8.1786725385342152E-3</v>
      </c>
      <c r="U165" s="91">
        <f t="shared" si="898"/>
        <v>-9.3691442848209405E-4</v>
      </c>
      <c r="V165" s="91">
        <f t="shared" si="898"/>
        <v>8.6606866687287676E-3</v>
      </c>
      <c r="W165" s="91">
        <f t="shared" si="898"/>
        <v>1.3542628501077236E-2</v>
      </c>
      <c r="X165" s="91">
        <f t="shared" si="898"/>
        <v>9.3516209476307566E-4</v>
      </c>
      <c r="Y165" s="91">
        <f t="shared" si="898"/>
        <v>-1.552598225602031E-2</v>
      </c>
      <c r="Z165" s="91">
        <f t="shared" si="898"/>
        <v>-2.4944035817077159E-2</v>
      </c>
      <c r="AA165" s="91">
        <f t="shared" si="898"/>
        <v>-9.4488188976378229E-3</v>
      </c>
      <c r="AB165" s="91">
        <f t="shared" si="898"/>
        <v>2.3461304082876278E-2</v>
      </c>
      <c r="AC165" s="91">
        <f t="shared" si="898"/>
        <v>-1.5204307887234814E-2</v>
      </c>
      <c r="AD165" s="91">
        <f t="shared" si="898"/>
        <v>-6.2794348508634634E-3</v>
      </c>
      <c r="AE165" s="91">
        <f t="shared" si="898"/>
        <v>1.7473942366646233E-2</v>
      </c>
      <c r="AF165" s="91">
        <f t="shared" si="898"/>
        <v>-2.2002551020408267E-2</v>
      </c>
      <c r="AG165" s="91">
        <f t="shared" si="898"/>
        <v>5.3734868615293752E-2</v>
      </c>
      <c r="AH165" s="91">
        <f t="shared" si="898"/>
        <v>4.8396674584323063E-2</v>
      </c>
      <c r="AI165" s="91" t="str">
        <f t="shared" si="898"/>
        <v/>
      </c>
      <c r="AJ165" s="91">
        <f t="shared" si="898"/>
        <v>-1.4561570117125777E-2</v>
      </c>
      <c r="AK165" s="91">
        <f t="shared" si="898"/>
        <v>4.041916167664672E-2</v>
      </c>
      <c r="AL165" s="91">
        <f t="shared" si="898"/>
        <v>1.8685767673621845E-3</v>
      </c>
      <c r="AM165" s="91">
        <f t="shared" si="898"/>
        <v>-1.6492229622581567E-2</v>
      </c>
      <c r="AN165" s="91">
        <f t="shared" si="898"/>
        <v>1.3542628501077236E-2</v>
      </c>
    </row>
    <row r="166" spans="1:40">
      <c r="A166" s="74"/>
      <c r="B166" s="242"/>
      <c r="C166" s="242"/>
      <c r="D166" s="59" t="str">
        <f t="shared" si="865"/>
        <v>HI</v>
      </c>
      <c r="E166" s="242"/>
      <c r="F166" s="63">
        <f t="shared" si="670"/>
        <v>1.6088010021759582E-3</v>
      </c>
      <c r="G166" s="63">
        <f t="shared" si="671"/>
        <v>2.2776847938444891E-2</v>
      </c>
      <c r="H166" s="242"/>
      <c r="I166" s="91" t="str">
        <f>IF(I$54,1-$H165/I159,"")</f>
        <v/>
      </c>
      <c r="J166" s="91" t="str">
        <f t="shared" ref="J166" si="899">IF(J$54,1-$H165/J159,"")</f>
        <v/>
      </c>
      <c r="K166" s="91">
        <f t="shared" ref="K166" si="900">IF(K$54,1-$H165/K159,"")</f>
        <v>2.2269676632092783E-2</v>
      </c>
      <c r="L166" s="91">
        <f t="shared" ref="L166" si="901">IF(L$54,1-$H165/L159,"")</f>
        <v>5.2762259466170303E-3</v>
      </c>
      <c r="M166" s="91" t="str">
        <f t="shared" ref="M166" si="902">IF(M$54,1-$H165/M159,"")</f>
        <v/>
      </c>
      <c r="N166" s="91">
        <f t="shared" ref="N166" si="903">IF(N$54,1-$H165/N159,"")</f>
        <v>-4.3873393920401682E-3</v>
      </c>
      <c r="O166" s="91">
        <f t="shared" ref="O166" si="904">IF(O$54,1-$H165/O159,"")</f>
        <v>-1.6169942929613157E-2</v>
      </c>
      <c r="P166" s="91" t="str">
        <f t="shared" ref="P166" si="905">IF(P$54,1-$H165/P159,"")</f>
        <v/>
      </c>
      <c r="Q166" s="91">
        <f t="shared" ref="Q166" si="906">IF(Q$54,1-$H165/Q159,"")</f>
        <v>2.2269676632092783E-2</v>
      </c>
      <c r="R166" s="91">
        <f t="shared" ref="R166" si="907">IF(R$54,1-$H165/R159,"")</f>
        <v>1.0497066995986404E-2</v>
      </c>
      <c r="S166" s="91">
        <f t="shared" ref="S166" si="908">IF(S$54,1-$H165/S159,"")</f>
        <v>-3.121098626717167E-4</v>
      </c>
      <c r="T166" s="91">
        <f t="shared" ref="T166" si="909">IF(T$54,1-$H165/T159,"")</f>
        <v>-1.6814720812182715E-2</v>
      </c>
      <c r="U166" s="91">
        <f t="shared" ref="U166" si="910">IF(U$54,1-$H165/U159,"")</f>
        <v>-3.121098626717167E-4</v>
      </c>
      <c r="V166" s="91">
        <f t="shared" ref="V166" si="911">IF(V$54,1-$H165/V159,"")</f>
        <v>-1.4882837238758606E-2</v>
      </c>
      <c r="W166" s="91">
        <f t="shared" ref="W166" si="912">IF(W$54,1-$H165/W159,"")</f>
        <v>-1.6169942929613157E-2</v>
      </c>
      <c r="X166" s="91">
        <f t="shared" ref="X166" si="913">IF(X$54,1-$H165/X159,"")</f>
        <v>-1.2318382817435358E-2</v>
      </c>
      <c r="Y166" s="91">
        <f t="shared" ref="Y166" si="914">IF(Y$54,1-$H165/Y159,"")</f>
        <v>-1.6492229622581567E-2</v>
      </c>
      <c r="Z166" s="91">
        <f t="shared" ref="Z166" si="915">IF(Z$54,1-$H165/Z159,"")</f>
        <v>-2.9222864482980171E-2</v>
      </c>
      <c r="AA166" s="91">
        <f t="shared" ref="AA166" si="916">IF(AA$54,1-$H165/AA159,"")</f>
        <v>-4.3873393920401682E-3</v>
      </c>
      <c r="AB166" s="91">
        <f t="shared" ref="AB166" si="917">IF(AB$54,1-$H165/AB159,"")</f>
        <v>3.2890766445383246E-2</v>
      </c>
      <c r="AC166" s="91">
        <f t="shared" ref="AC166" si="918">IF(AC$54,1-$H165/AC159,"")</f>
        <v>-1.7460317460317398E-2</v>
      </c>
      <c r="AD166" s="91">
        <f t="shared" ref="AD166" si="919">IF(AD$54,1-$H165/AD159,"")</f>
        <v>-1.4240506329114E-2</v>
      </c>
      <c r="AE166" s="91">
        <f t="shared" ref="AE166" si="920">IF(AE$54,1-$H165/AE159,"")</f>
        <v>8.9672232529375284E-3</v>
      </c>
      <c r="AF166" s="91">
        <f t="shared" ref="AF166" si="921">IF(AF$54,1-$H165/AF159,"")</f>
        <v>-5.0172467858262682E-3</v>
      </c>
      <c r="AG166" s="91">
        <f t="shared" ref="AG166" si="922">IF(AG$54,1-$H165/AG159,"")</f>
        <v>4.4139576498657962E-2</v>
      </c>
      <c r="AH166" s="91">
        <f t="shared" ref="AH166" si="923">IF(AH$54,1-$H165/AH159,"")</f>
        <v>5.3734868615293752E-2</v>
      </c>
      <c r="AI166" s="91" t="str">
        <f t="shared" ref="AI166" si="924">IF(AI$54,1-$H165/AI159,"")</f>
        <v/>
      </c>
      <c r="AJ166" s="91">
        <f t="shared" ref="AJ166" si="925">IF(AJ$54,1-$H165/AJ159,"")</f>
        <v>2.1793275217932839E-3</v>
      </c>
      <c r="AK166" s="91">
        <f t="shared" ref="AK166" si="926">IF(AK$54,1-$H165/AK159,"")</f>
        <v>5.3734868615293752E-2</v>
      </c>
      <c r="AL166" s="91">
        <f t="shared" ref="AL166" si="927">IF(AL$54,1-$H165/AL159,"")</f>
        <v>-1.3278533038254769E-2</v>
      </c>
      <c r="AM166" s="91">
        <f t="shared" ref="AM166" si="928">IF(AM$54,1-$H165/AM159,"")</f>
        <v>-1.6814720812182715E-2</v>
      </c>
      <c r="AN166" s="91">
        <f t="shared" ref="AN166" si="929">IF(AN$54,1-$H165/AN159,"")</f>
        <v>-1.4240506329114E-2</v>
      </c>
    </row>
    <row r="167" spans="1:40" s="64" customFormat="1">
      <c r="A167" s="74"/>
      <c r="B167" s="242"/>
      <c r="C167" s="242"/>
      <c r="D167" s="64" t="str">
        <f t="shared" si="865"/>
        <v>LO</v>
      </c>
      <c r="E167" s="242" t="s">
        <v>85</v>
      </c>
      <c r="F167" s="63">
        <f t="shared" si="670"/>
        <v>4.3387859537588849E-2</v>
      </c>
      <c r="G167" s="63">
        <f t="shared" si="671"/>
        <v>0.12691005350076826</v>
      </c>
      <c r="H167" s="64">
        <f>H148</f>
        <v>825.15</v>
      </c>
      <c r="I167" s="91" t="str">
        <f>IF(I$54,1-$H167/I148,"")</f>
        <v/>
      </c>
      <c r="J167" s="91" t="str">
        <f t="shared" ref="J167:AN167" si="930">IF(J$54,1-$H167/J148,"")</f>
        <v/>
      </c>
      <c r="K167" s="91">
        <f t="shared" si="930"/>
        <v>4.9420431200034809E-2</v>
      </c>
      <c r="L167" s="91">
        <f t="shared" si="930"/>
        <v>0.17762579573851311</v>
      </c>
      <c r="M167" s="91" t="str">
        <f t="shared" si="930"/>
        <v/>
      </c>
      <c r="N167" s="91">
        <f t="shared" si="930"/>
        <v>8.7713521412748574E-2</v>
      </c>
      <c r="O167" s="91">
        <f t="shared" si="930"/>
        <v>0.11259555218725092</v>
      </c>
      <c r="P167" s="91" t="str">
        <f t="shared" si="930"/>
        <v/>
      </c>
      <c r="Q167" s="91">
        <f t="shared" si="930"/>
        <v>8.9773757313817981E-3</v>
      </c>
      <c r="R167" s="91">
        <f t="shared" si="930"/>
        <v>-2.5308151490106567E-3</v>
      </c>
      <c r="S167" s="91">
        <f t="shared" si="930"/>
        <v>-0.14399148699592579</v>
      </c>
      <c r="T167" s="91">
        <f t="shared" si="930"/>
        <v>6.7244803068538528E-2</v>
      </c>
      <c r="U167" s="91">
        <f t="shared" si="930"/>
        <v>-9.7537335909161582E-2</v>
      </c>
      <c r="V167" s="91">
        <f t="shared" si="930"/>
        <v>-3.8046422100802113E-2</v>
      </c>
      <c r="W167" s="91">
        <f t="shared" si="930"/>
        <v>-3.9563850145995172E-2</v>
      </c>
      <c r="X167" s="91">
        <f t="shared" si="930"/>
        <v>-0.15629629451800398</v>
      </c>
      <c r="Y167" s="91">
        <f t="shared" si="930"/>
        <v>0.10641681216741605</v>
      </c>
      <c r="Z167" s="91">
        <f t="shared" si="930"/>
        <v>0.20163728857371699</v>
      </c>
      <c r="AA167" s="91">
        <f t="shared" si="930"/>
        <v>0.18906046094172757</v>
      </c>
      <c r="AB167" s="91">
        <f t="shared" si="930"/>
        <v>0.18535669956002099</v>
      </c>
      <c r="AC167" s="91">
        <f t="shared" si="930"/>
        <v>0.22315868627163593</v>
      </c>
      <c r="AD167" s="91">
        <f t="shared" si="930"/>
        <v>-2.4689560831525625E-3</v>
      </c>
      <c r="AE167" s="91">
        <f t="shared" si="930"/>
        <v>9.7740156956739432E-2</v>
      </c>
      <c r="AF167" s="91">
        <f t="shared" si="930"/>
        <v>0.18827315916444554</v>
      </c>
      <c r="AG167" s="91">
        <f t="shared" si="930"/>
        <v>0.10418291906841193</v>
      </c>
      <c r="AH167" s="91">
        <f t="shared" si="930"/>
        <v>7.8735403513233271E-2</v>
      </c>
      <c r="AI167" s="91" t="str">
        <f t="shared" si="930"/>
        <v/>
      </c>
      <c r="AJ167" s="91">
        <f t="shared" si="930"/>
        <v>-9.588243728593504E-2</v>
      </c>
      <c r="AK167" s="91">
        <f t="shared" si="930"/>
        <v>0.10835021551547119</v>
      </c>
      <c r="AL167" s="91">
        <f t="shared" si="930"/>
        <v>-0.24781808469522804</v>
      </c>
      <c r="AM167" s="91">
        <f t="shared" si="930"/>
        <v>0.13982756358277837</v>
      </c>
      <c r="AN167" s="91">
        <f t="shared" si="930"/>
        <v>-0.13070895425595119</v>
      </c>
    </row>
    <row r="168" spans="1:40" s="64" customFormat="1">
      <c r="A168" s="74"/>
      <c r="B168" s="242"/>
      <c r="C168" s="242"/>
      <c r="D168" s="64" t="str">
        <f t="shared" si="865"/>
        <v>HI</v>
      </c>
      <c r="E168" s="242"/>
      <c r="F168" s="63">
        <f t="shared" si="670"/>
        <v>5.0323123203811278E-2</v>
      </c>
      <c r="G168" s="63">
        <f t="shared" si="671"/>
        <v>0.1265125618390596</v>
      </c>
      <c r="H168" s="75">
        <f>H167/O$20</f>
        <v>882.31556304904041</v>
      </c>
      <c r="I168" s="91" t="str">
        <f>IF(I$54,1-$H168/I151,"")</f>
        <v/>
      </c>
      <c r="J168" s="91" t="str">
        <f t="shared" ref="J168:AN168" si="931">IF(J$54,1-$H168/J151,"")</f>
        <v/>
      </c>
      <c r="K168" s="91">
        <f t="shared" si="931"/>
        <v>7.0100472595859498E-2</v>
      </c>
      <c r="L168" s="91">
        <f t="shared" si="931"/>
        <v>0.1693054061891397</v>
      </c>
      <c r="M168" s="91" t="str">
        <f t="shared" si="931"/>
        <v/>
      </c>
      <c r="N168" s="91">
        <f t="shared" si="931"/>
        <v>9.4726145525059646E-2</v>
      </c>
      <c r="O168" s="91">
        <f t="shared" si="931"/>
        <v>0.13353045406573949</v>
      </c>
      <c r="P168" s="91" t="str">
        <f t="shared" si="931"/>
        <v/>
      </c>
      <c r="Q168" s="91">
        <f t="shared" si="931"/>
        <v>7.0100472595859498E-2</v>
      </c>
      <c r="R168" s="91">
        <f t="shared" si="931"/>
        <v>4.9241353640597119E-2</v>
      </c>
      <c r="S168" s="91">
        <f t="shared" si="931"/>
        <v>-4.9738830659299182E-2</v>
      </c>
      <c r="T168" s="91">
        <f t="shared" si="931"/>
        <v>7.9176741959683383E-3</v>
      </c>
      <c r="U168" s="91">
        <f t="shared" si="931"/>
        <v>-0.13369622456829156</v>
      </c>
      <c r="V168" s="91">
        <f t="shared" si="931"/>
        <v>4.5838317208061197E-3</v>
      </c>
      <c r="W168" s="91">
        <f t="shared" si="931"/>
        <v>5.4346686755131213E-3</v>
      </c>
      <c r="X168" s="91">
        <f t="shared" si="931"/>
        <v>-0.17290395400004832</v>
      </c>
      <c r="Y168" s="91">
        <f t="shared" si="931"/>
        <v>7.4968920221917257E-2</v>
      </c>
      <c r="Z168" s="91">
        <f t="shared" si="931"/>
        <v>0.22081662364088583</v>
      </c>
      <c r="AA168" s="91">
        <f t="shared" si="931"/>
        <v>9.4726145525059646E-2</v>
      </c>
      <c r="AB168" s="91">
        <f t="shared" si="931"/>
        <v>0.25797076988399614</v>
      </c>
      <c r="AC168" s="91">
        <f t="shared" si="931"/>
        <v>0.18735423767677761</v>
      </c>
      <c r="AD168" s="91">
        <f t="shared" si="931"/>
        <v>2.0840891074437318E-3</v>
      </c>
      <c r="AE168" s="91">
        <f t="shared" si="931"/>
        <v>0.11099695401101017</v>
      </c>
      <c r="AF168" s="91">
        <f t="shared" si="931"/>
        <v>0.15088876801559414</v>
      </c>
      <c r="AG168" s="91">
        <f t="shared" si="931"/>
        <v>0.10918830459676987</v>
      </c>
      <c r="AH168" s="91">
        <f t="shared" si="931"/>
        <v>0.12943670173070065</v>
      </c>
      <c r="AI168" s="91" t="str">
        <f t="shared" si="931"/>
        <v/>
      </c>
      <c r="AJ168" s="91">
        <f t="shared" si="931"/>
        <v>-0.1380518590285067</v>
      </c>
      <c r="AK168" s="91">
        <f t="shared" si="931"/>
        <v>0.12943670173070065</v>
      </c>
      <c r="AL168" s="91">
        <f t="shared" si="931"/>
        <v>-0.27871133161614914</v>
      </c>
      <c r="AM168" s="91">
        <f t="shared" si="931"/>
        <v>0.1354156536150416</v>
      </c>
      <c r="AN168" s="91">
        <f t="shared" si="931"/>
        <v>-7.6397822585240638E-2</v>
      </c>
    </row>
    <row r="169" spans="1:40">
      <c r="A169" s="74"/>
      <c r="B169" s="242" t="str">
        <f>data0!A51</f>
        <v>CWF</v>
      </c>
      <c r="C169" s="242" t="str">
        <f>data0!B51</f>
        <v>LO</v>
      </c>
      <c r="D169" s="242"/>
      <c r="E169" s="59" t="str">
        <f t="shared" ref="E169:E175" si="932">E147</f>
        <v>X</v>
      </c>
      <c r="F169" s="61">
        <f t="shared" si="670"/>
        <v>682.13869354545739</v>
      </c>
      <c r="G169" s="61">
        <f t="shared" si="671"/>
        <v>80.931736699525075</v>
      </c>
      <c r="H169" s="59">
        <f>E15</f>
        <v>755</v>
      </c>
      <c r="I169" s="168" t="str">
        <f>IF(I$54,$V$32*($Q$32*data0!F394+$R$32*data0!F395+$S$32*data0!F396+$T$32*data0!F397),"")</f>
        <v/>
      </c>
      <c r="J169" s="168" t="str">
        <f>IF(J$54,$V$32*($Q$32*data0!G394+$R$32*data0!G395+$S$32*data0!G396+$T$32*data0!G397),"")</f>
        <v/>
      </c>
      <c r="K169" s="168">
        <f>IF(K$54,$V$32*($Q$32*data0!H394+$R$32*data0!H395+$S$32*data0!H396+$T$32*data0!H397),"")</f>
        <v>647.52665705859113</v>
      </c>
      <c r="L169" s="168">
        <f>IF(L$54,$V$32*($Q$32*data0!I394+$R$32*data0!I395+$S$32*data0!I396+$T$32*data0!I397),"")</f>
        <v>767.54940895272705</v>
      </c>
      <c r="M169" s="168" t="str">
        <f>IF(M$54,$V$32*($Q$32*data0!J394+$R$32*data0!J395+$S$32*data0!J396+$T$32*data0!J397),"")</f>
        <v/>
      </c>
      <c r="N169" s="168">
        <f>IF(N$54,$V$32*($Q$32*data0!K394+$R$32*data0!K395+$S$32*data0!K396+$T$32*data0!K397),"")</f>
        <v>698.94717071713853</v>
      </c>
      <c r="O169" s="168">
        <f>IF(O$54,$V$32*($Q$32*data0!L394+$R$32*data0!L395+$S$32*data0!L396+$T$32*data0!L397),"")</f>
        <v>712.06734840376077</v>
      </c>
      <c r="P169" s="168" t="str">
        <f>IF(P$54,$V$32*($Q$32*data0!M394+$R$32*data0!M395+$S$32*data0!M396+$T$32*data0!M397),"")</f>
        <v/>
      </c>
      <c r="Q169" s="168">
        <f>IF(Q$54,$V$32*($Q$32*data0!N394+$R$32*data0!N395+$S$32*data0!N396+$T$32*data0!N397),"")</f>
        <v>649.2406651853837</v>
      </c>
      <c r="R169" s="168">
        <f>IF(R$54,$V$32*($Q$32*data0!O394+$R$32*data0!O395+$S$32*data0!O396+$T$32*data0!O397),"")</f>
        <v>640.39264191684322</v>
      </c>
      <c r="S169" s="168">
        <f>IF(S$54,$V$32*($Q$32*data0!P394+$R$32*data0!P395+$S$32*data0!P396+$T$32*data0!P397),"")</f>
        <v>573.71096247184153</v>
      </c>
      <c r="T169" s="168">
        <f>IF(T$54,$V$32*($Q$32*data0!Q394+$R$32*data0!Q395+$S$32*data0!Q396+$T$32*data0!Q397),"")</f>
        <v>694.75275098231555</v>
      </c>
      <c r="U169" s="168">
        <f>IF(U$54,$V$32*($Q$32*data0!R394+$R$32*data0!R395+$S$32*data0!R396+$T$32*data0!R397),"")</f>
        <v>598.14572667162111</v>
      </c>
      <c r="V169" s="168">
        <f>IF(V$54,$V$32*($Q$32*data0!S394+$R$32*data0!S395+$S$32*data0!S396+$T$32*data0!S397),"")</f>
        <v>628.69041598882256</v>
      </c>
      <c r="W169" s="168">
        <f>IF(W$54,$V$32*($Q$32*data0!T394+$R$32*data0!T395+$S$32*data0!T396+$T$32*data0!T397),"")</f>
        <v>637.78121615021143</v>
      </c>
      <c r="X169" s="168">
        <f>IF(X$54,$V$32*($Q$32*data0!U394+$R$32*data0!U395+$S$32*data0!U396+$T$32*data0!U397),"")</f>
        <v>570.6890429330814</v>
      </c>
      <c r="Y169" s="168">
        <f>IF(Y$54,$V$32*($Q$32*data0!V394+$R$32*data0!V395+$S$32*data0!V396+$T$32*data0!V397),"")</f>
        <v>720.96829197586385</v>
      </c>
      <c r="Z169" s="168">
        <f>IF(Z$54,$V$32*($Q$32*data0!W394+$R$32*data0!W395+$S$32*data0!W396+$T$32*data0!W397),"")</f>
        <v>805.76651332344716</v>
      </c>
      <c r="AA169" s="168">
        <f>IF(AA$54,$V$32*($Q$32*data0!X394+$R$32*data0!X395+$S$32*data0!X396+$T$32*data0!X397),"")</f>
        <v>797.60489321114255</v>
      </c>
      <c r="AB169" s="168">
        <f>IF(AB$54,$V$32*($Q$32*data0!Y394+$R$32*data0!Y395+$S$32*data0!Y396+$T$32*data0!Y397),"")</f>
        <v>759.12140446154262</v>
      </c>
      <c r="AC169" s="168">
        <f>IF(AC$54,$V$32*($Q$32*data0!Z394+$R$32*data0!Z395+$S$32*data0!Z396+$T$32*data0!Z397),"")</f>
        <v>837.45884838591599</v>
      </c>
      <c r="AD169" s="168">
        <f>IF(AD$54,$V$32*($Q$32*data0!AA394+$R$32*data0!AA395+$S$32*data0!AA396+$T$32*data0!AA397),"")</f>
        <v>641.39852287685437</v>
      </c>
      <c r="AE169" s="168">
        <f>IF(AE$54,$V$32*($Q$32*data0!AB394+$R$32*data0!AB395+$S$32*data0!AB396+$T$32*data0!AB397),"")</f>
        <v>697.59680972992328</v>
      </c>
      <c r="AF169" s="168">
        <f>IF(AF$54,$V$32*($Q$32*data0!AC394+$R$32*data0!AC395+$S$32*data0!AC396+$T$32*data0!AC397),"")</f>
        <v>790.57870842036607</v>
      </c>
      <c r="AG169" s="168">
        <f>IF(AG$54,$V$32*($Q$32*data0!AD394+$R$32*data0!AD395+$S$32*data0!AD396+$T$32*data0!AD397),"")</f>
        <v>692.7769453803777</v>
      </c>
      <c r="AH169" s="168">
        <f>IF(AH$54,$V$32*($Q$32*data0!AE394+$R$32*data0!AE395+$S$32*data0!AE396+$T$32*data0!AE397),"")</f>
        <v>676.05988200729576</v>
      </c>
      <c r="AI169" s="168" t="str">
        <f>IF(AI$54,$V$32*($Q$32*data0!AF394+$R$32*data0!AF395+$S$32*data0!AF396+$T$32*data0!AF397),"")</f>
        <v/>
      </c>
      <c r="AJ169" s="168">
        <f>IF(AJ$54,$V$32*($Q$32*data0!AG394+$R$32*data0!AG395+$S$32*data0!AG396+$T$32*data0!AG397),"")</f>
        <v>593.92953678196295</v>
      </c>
      <c r="AK169" s="168">
        <f>IF(AK$54,$V$32*($Q$32*data0!AH394+$R$32*data0!AH395+$S$32*data0!AH396+$T$32*data0!AH397),"")</f>
        <v>717.45203174407777</v>
      </c>
      <c r="AL169" s="168">
        <f>IF(AL$54,$V$32*($Q$32*data0!AI394+$R$32*data0!AI395+$S$32*data0!AI396+$T$32*data0!AI397),"")</f>
        <v>534.02487831612268</v>
      </c>
      <c r="AM169" s="168">
        <f>IF(AM$54,$V$32*($Q$32*data0!AJ394+$R$32*data0!AJ395+$S$32*data0!AJ396+$T$32*data0!AJ397),"")</f>
        <v>756.65926570441468</v>
      </c>
      <c r="AN169" s="168">
        <f>IF(AN$54,$V$32*($Q$32*data0!AK394+$R$32*data0!AK395+$S$32*data0!AK396+$T$32*data0!AK397),"")</f>
        <v>576.85418597570708</v>
      </c>
    </row>
    <row r="170" spans="1:40">
      <c r="A170" s="74"/>
      <c r="B170" s="242"/>
      <c r="C170" s="242"/>
      <c r="D170" s="242"/>
      <c r="E170" s="59" t="str">
        <f t="shared" si="932"/>
        <v>Y</v>
      </c>
      <c r="F170" s="61">
        <f t="shared" si="670"/>
        <v>671.67282349496236</v>
      </c>
      <c r="G170" s="61">
        <f t="shared" si="671"/>
        <v>79.341170876954067</v>
      </c>
      <c r="H170" s="59">
        <f>F15</f>
        <v>790</v>
      </c>
      <c r="I170" s="168" t="str">
        <f>IF(I$54,$V$32*($Q$33*data0!F394+$R$33*data0!F395+$S$33*data0!F396+$T$33*data0!F397),"")</f>
        <v/>
      </c>
      <c r="J170" s="168" t="str">
        <f>IF(J$54,$V$32*($Q$33*data0!G394+$R$33*data0!G395+$S$33*data0!G396+$T$33*data0!G397),"")</f>
        <v/>
      </c>
      <c r="K170" s="168">
        <f>IF(K$54,$V$32*($Q$33*data0!H394+$R$33*data0!H395+$S$33*data0!H396+$T$33*data0!H397),"")</f>
        <v>642.11434791195791</v>
      </c>
      <c r="L170" s="168">
        <f>IF(L$54,$V$32*($Q$33*data0!I394+$R$33*data0!I395+$S$33*data0!I396+$T$33*data0!I397),"")</f>
        <v>758.83850703699488</v>
      </c>
      <c r="M170" s="168" t="str">
        <f>IF(M$54,$V$32*($Q$33*data0!J394+$R$33*data0!J395+$S$33*data0!J396+$T$33*data0!J397),"")</f>
        <v/>
      </c>
      <c r="N170" s="168">
        <f>IF(N$54,$V$32*($Q$33*data0!K394+$R$33*data0!K395+$S$33*data0!K396+$T$33*data0!K397),"")</f>
        <v>688.6262734166944</v>
      </c>
      <c r="O170" s="168">
        <f>IF(O$54,$V$32*($Q$33*data0!L394+$R$33*data0!L395+$S$33*data0!L396+$T$33*data0!L397),"")</f>
        <v>703.9499429044738</v>
      </c>
      <c r="P170" s="168" t="str">
        <f>IF(P$54,$V$32*($Q$33*data0!M394+$R$33*data0!M395+$S$33*data0!M396+$T$33*data0!M397),"")</f>
        <v/>
      </c>
      <c r="Q170" s="168">
        <f>IF(Q$54,$V$32*($Q$33*data0!N394+$R$33*data0!N395+$S$33*data0!N396+$T$33*data0!N397),"")</f>
        <v>642.05155990516937</v>
      </c>
      <c r="R170" s="168">
        <f>IF(R$54,$V$32*($Q$33*data0!O394+$R$33*data0!O395+$S$33*data0!O396+$T$33*data0!O397),"")</f>
        <v>629.7768515262735</v>
      </c>
      <c r="S170" s="168">
        <f>IF(S$54,$V$32*($Q$33*data0!P394+$R$33*data0!P395+$S$33*data0!P396+$T$33*data0!P397),"")</f>
        <v>566.0228193550264</v>
      </c>
      <c r="T170" s="168">
        <f>IF(T$54,$V$32*($Q$33*data0!Q394+$R$33*data0!Q395+$S$33*data0!Q396+$T$33*data0!Q397),"")</f>
        <v>680.96993711221273</v>
      </c>
      <c r="U170" s="168">
        <f>IF(U$54,$V$32*($Q$33*data0!R394+$R$33*data0!R395+$S$33*data0!R396+$T$33*data0!R397),"")</f>
        <v>586.71384590721834</v>
      </c>
      <c r="V170" s="168">
        <f>IF(V$54,$V$32*($Q$33*data0!S394+$R$33*data0!S395+$S$33*data0!S396+$T$33*data0!S397),"")</f>
        <v>618.32566800651705</v>
      </c>
      <c r="W170" s="168">
        <f>IF(W$54,$V$32*($Q$33*data0!T394+$R$33*data0!T395+$S$33*data0!T396+$T$33*data0!T397),"")</f>
        <v>626.49450441295551</v>
      </c>
      <c r="X170" s="168">
        <f>IF(X$54,$V$32*($Q$33*data0!U394+$R$33*data0!U395+$S$33*data0!U396+$T$33*data0!U397),"")</f>
        <v>559.6337049073619</v>
      </c>
      <c r="Y170" s="168">
        <f>IF(Y$54,$V$32*($Q$33*data0!V394+$R$33*data0!V395+$S$33*data0!V396+$T$33*data0!V397),"")</f>
        <v>705.95942182240117</v>
      </c>
      <c r="Z170" s="168">
        <f>IF(Z$54,$V$32*($Q$33*data0!W394+$R$33*data0!W395+$S$33*data0!W396+$T$33*data0!W397),"")</f>
        <v>787.0182924682158</v>
      </c>
      <c r="AA170" s="168">
        <f>IF(AA$54,$V$32*($Q$33*data0!X394+$R$33*data0!X395+$S$33*data0!X396+$T$33*data0!X397),"")</f>
        <v>780.89579947632842</v>
      </c>
      <c r="AB170" s="168">
        <f>IF(AB$54,$V$32*($Q$33*data0!Y394+$R$33*data0!Y395+$S$33*data0!Y396+$T$33*data0!Y397),"")</f>
        <v>752.56693043357097</v>
      </c>
      <c r="AC170" s="168">
        <f>IF(AC$54,$V$32*($Q$33*data0!Z394+$R$33*data0!Z395+$S$33*data0!Z396+$T$33*data0!Z397),"")</f>
        <v>820.04600325082572</v>
      </c>
      <c r="AD170" s="168">
        <f>IF(AD$54,$V$32*($Q$33*data0!AA394+$R$33*data0!AA395+$S$33*data0!AA396+$T$33*data0!AA397),"")</f>
        <v>629.63598772324769</v>
      </c>
      <c r="AE170" s="168">
        <f>IF(AE$54,$V$32*($Q$33*data0!AB394+$R$33*data0!AB395+$S$33*data0!AB396+$T$33*data0!AB397),"")</f>
        <v>689.60943259837097</v>
      </c>
      <c r="AF170" s="168">
        <f>IF(AF$54,$V$32*($Q$33*data0!AC394+$R$33*data0!AC395+$S$33*data0!AC396+$T$33*data0!AC397),"")</f>
        <v>773.31935780365279</v>
      </c>
      <c r="AG170" s="168">
        <f>IF(AG$54,$V$32*($Q$33*data0!AD394+$R$33*data0!AD395+$S$33*data0!AD396+$T$33*data0!AD397),"")</f>
        <v>692.40674253108568</v>
      </c>
      <c r="AH170" s="168">
        <f>IF(AH$54,$V$32*($Q$33*data0!AE394+$R$33*data0!AE395+$S$33*data0!AE396+$T$33*data0!AE397),"")</f>
        <v>674.39970335126634</v>
      </c>
      <c r="AI170" s="168" t="str">
        <f>IF(AI$54,$V$32*($Q$33*data0!AF394+$R$33*data0!AF395+$S$33*data0!AF396+$T$33*data0!AF397),"")</f>
        <v/>
      </c>
      <c r="AJ170" s="168">
        <f>IF(AJ$54,$V$32*($Q$33*data0!AG394+$R$33*data0!AG395+$S$33*data0!AG396+$T$33*data0!AG397),"")</f>
        <v>581.22652461245627</v>
      </c>
      <c r="AK170" s="168">
        <f>IF(AK$54,$V$32*($Q$33*data0!AH394+$R$33*data0!AH395+$S$33*data0!AH396+$T$33*data0!AH397),"")</f>
        <v>713.31525541312692</v>
      </c>
      <c r="AL170" s="168">
        <f>IF(AL$54,$V$32*($Q$33*data0!AI394+$R$33*data0!AI395+$S$33*data0!AI396+$T$33*data0!AI397),"")</f>
        <v>523.15322671205843</v>
      </c>
      <c r="AM170" s="168">
        <f>IF(AM$54,$V$32*($Q$33*data0!AJ394+$R$33*data0!AJ395+$S$33*data0!AJ396+$T$33*data0!AJ397),"")</f>
        <v>740.39162269899259</v>
      </c>
      <c r="AN170" s="168">
        <f>IF(AN$54,$V$32*($Q$33*data0!AK394+$R$33*data0!AK395+$S$33*data0!AK396+$T$33*data0!AK397),"")</f>
        <v>567.70397106552559</v>
      </c>
    </row>
    <row r="171" spans="1:40">
      <c r="A171" s="74"/>
      <c r="B171" s="242"/>
      <c r="C171" s="242"/>
      <c r="D171" s="242"/>
      <c r="E171" s="59" t="str">
        <f t="shared" si="932"/>
        <v>Z</v>
      </c>
      <c r="F171" s="61">
        <f t="shared" si="670"/>
        <v>358.62347294055718</v>
      </c>
      <c r="G171" s="61">
        <f t="shared" si="671"/>
        <v>48.498387713499653</v>
      </c>
      <c r="H171" s="59">
        <f>G15</f>
        <v>390.25</v>
      </c>
      <c r="I171" s="168" t="str">
        <f>IF(I$54,$V$32*($Q$34*data0!F394+$R$34*data0!F395+$S$34*data0!F396+$T$34*data0!F397),"")</f>
        <v/>
      </c>
      <c r="J171" s="168" t="str">
        <f>IF(J$54,$V$32*($Q$34*data0!G394+$R$34*data0!G395+$S$34*data0!G396+$T$34*data0!G397),"")</f>
        <v/>
      </c>
      <c r="K171" s="168">
        <f>IF(K$54,$V$32*($Q$34*data0!H394+$R$34*data0!H395+$S$34*data0!H396+$T$34*data0!H397),"")</f>
        <v>370.03635672589149</v>
      </c>
      <c r="L171" s="168">
        <f>IF(L$54,$V$32*($Q$34*data0!I394+$R$34*data0!I395+$S$34*data0!I396+$T$34*data0!I397),"")</f>
        <v>423.1579068010804</v>
      </c>
      <c r="M171" s="168" t="str">
        <f>IF(M$54,$V$32*($Q$34*data0!J394+$R$34*data0!J395+$S$34*data0!J396+$T$34*data0!J397),"")</f>
        <v/>
      </c>
      <c r="N171" s="168">
        <f>IF(N$54,$V$32*($Q$34*data0!K394+$R$34*data0!K395+$S$34*data0!K396+$T$34*data0!K397),"")</f>
        <v>370.63749752391277</v>
      </c>
      <c r="O171" s="168">
        <f>IF(O$54,$V$32*($Q$34*data0!L394+$R$34*data0!L395+$S$34*data0!L396+$T$34*data0!L397),"")</f>
        <v>392.69555615993119</v>
      </c>
      <c r="P171" s="168" t="str">
        <f>IF(P$54,$V$32*($Q$34*data0!M394+$R$34*data0!M395+$S$34*data0!M396+$T$34*data0!M397),"")</f>
        <v/>
      </c>
      <c r="Q171" s="168">
        <f>IF(Q$54,$V$32*($Q$34*data0!N394+$R$34*data0!N395+$S$34*data0!N396+$T$34*data0!N397),"")</f>
        <v>358.47505046168072</v>
      </c>
      <c r="R171" s="168">
        <f>IF(R$54,$V$32*($Q$34*data0!O394+$R$34*data0!O395+$S$34*data0!O396+$T$34*data0!O397),"")</f>
        <v>332.40048291290657</v>
      </c>
      <c r="S171" s="168">
        <f>IF(S$54,$V$32*($Q$34*data0!P394+$R$34*data0!P395+$S$34*data0!P396+$T$34*data0!P397),"")</f>
        <v>307.78951743631148</v>
      </c>
      <c r="T171" s="168">
        <f>IF(T$54,$V$32*($Q$34*data0!Q394+$R$34*data0!Q395+$S$34*data0!Q396+$T$34*data0!Q397),"")</f>
        <v>344.54262703648936</v>
      </c>
      <c r="U171" s="168">
        <f>IF(U$54,$V$32*($Q$34*data0!R394+$R$34*data0!R395+$S$34*data0!R396+$T$34*data0!R397),"")</f>
        <v>299.13635335066721</v>
      </c>
      <c r="V171" s="168">
        <f>IF(V$54,$V$32*($Q$34*data0!S394+$R$34*data0!S395+$S$34*data0!S396+$T$34*data0!S397),"")</f>
        <v>326.26120008636155</v>
      </c>
      <c r="W171" s="168">
        <f>IF(W$54,$V$32*($Q$34*data0!T394+$R$34*data0!T395+$S$34*data0!T396+$T$34*data0!T397),"")</f>
        <v>324.44883668559123</v>
      </c>
      <c r="X171" s="168">
        <f>IF(X$54,$V$32*($Q$34*data0!U394+$R$34*data0!U395+$S$34*data0!U396+$T$34*data0!U397),"")</f>
        <v>285.4244997685073</v>
      </c>
      <c r="Y171" s="168">
        <f>IF(Y$54,$V$32*($Q$34*data0!V394+$R$34*data0!V395+$S$34*data0!V396+$T$34*data0!V397),"")</f>
        <v>353.96608757401384</v>
      </c>
      <c r="Z171" s="168">
        <f>IF(Z$54,$V$32*($Q$34*data0!W394+$R$34*data0!W395+$S$34*data0!W396+$T$34*data0!W397),"")</f>
        <v>383.47874351149062</v>
      </c>
      <c r="AA171" s="168">
        <f>IF(AA$54,$V$32*($Q$34*data0!X394+$R$34*data0!X395+$S$34*data0!X396+$T$34*data0!X397),"")</f>
        <v>390.71246847620779</v>
      </c>
      <c r="AB171" s="168">
        <f>IF(AB$54,$V$32*($Q$34*data0!Y394+$R$34*data0!Y395+$S$34*data0!Y396+$T$34*data0!Y397),"")</f>
        <v>432.72721155922954</v>
      </c>
      <c r="AC171" s="168">
        <f>IF(AC$54,$V$32*($Q$34*data0!Z394+$R$34*data0!Z395+$S$34*data0!Z396+$T$34*data0!Z397),"")</f>
        <v>411.45885298631816</v>
      </c>
      <c r="AD171" s="168">
        <f>IF(AD$54,$V$32*($Q$34*data0!AA394+$R$34*data0!AA395+$S$34*data0!AA396+$T$34*data0!AA397),"")</f>
        <v>325.84890028964503</v>
      </c>
      <c r="AE171" s="168">
        <f>IF(AE$54,$V$32*($Q$34*data0!AB394+$R$34*data0!AB395+$S$34*data0!AB396+$T$34*data0!AB397),"")</f>
        <v>385.64177697672784</v>
      </c>
      <c r="AF171" s="168">
        <f>IF(AF$54,$V$32*($Q$34*data0!AC394+$R$34*data0!AC395+$S$34*data0!AC396+$T$34*data0!AC397),"")</f>
        <v>384.19843007748727</v>
      </c>
      <c r="AG171" s="168">
        <f>IF(AG$54,$V$32*($Q$34*data0!AD394+$R$34*data0!AD395+$S$34*data0!AD396+$T$34*data0!AD397),"")</f>
        <v>428.36544897320766</v>
      </c>
      <c r="AH171" s="168">
        <f>IF(AH$54,$V$32*($Q$34*data0!AE394+$R$34*data0!AE395+$S$34*data0!AE396+$T$34*data0!AE397),"")</f>
        <v>409.80637256909915</v>
      </c>
      <c r="AI171" s="168" t="str">
        <f>IF(AI$54,$V$32*($Q$34*data0!AF394+$R$34*data0!AF395+$S$34*data0!AF396+$T$34*data0!AF397),"")</f>
        <v/>
      </c>
      <c r="AJ171" s="168">
        <f>IF(AJ$54,$V$32*($Q$34*data0!AG394+$R$34*data0!AG395+$S$34*data0!AG396+$T$34*data0!AG397),"")</f>
        <v>289.5663838242927</v>
      </c>
      <c r="AK171" s="168">
        <f>IF(AK$54,$V$32*($Q$34*data0!AH394+$R$34*data0!AH395+$S$34*data0!AH396+$T$34*data0!AH397),"")</f>
        <v>419.78796743116663</v>
      </c>
      <c r="AL171" s="168">
        <f>IF(AL$54,$V$32*($Q$34*data0!AI394+$R$34*data0!AI395+$S$34*data0!AI396+$T$34*data0!AI397),"")</f>
        <v>263.04814451982617</v>
      </c>
      <c r="AM171" s="168">
        <f>IF(AM$54,$V$32*($Q$34*data0!AJ394+$R$34*data0!AJ395+$S$34*data0!AJ396+$T$34*data0!AJ397),"")</f>
        <v>368.37688173214082</v>
      </c>
      <c r="AN171" s="168">
        <f>IF(AN$54,$V$32*($Q$34*data0!AK394+$R$34*data0!AK395+$S$34*data0!AK396+$T$34*data0!AK397),"")</f>
        <v>300.84421394486009</v>
      </c>
    </row>
    <row r="172" spans="1:40">
      <c r="A172" s="74"/>
      <c r="B172" s="242"/>
      <c r="C172" s="242" t="str">
        <f>data0!B57</f>
        <v>HI</v>
      </c>
      <c r="D172" s="242"/>
      <c r="E172" s="59" t="str">
        <f t="shared" si="932"/>
        <v>X</v>
      </c>
      <c r="F172" s="61">
        <f t="shared" si="670"/>
        <v>743.28203627666653</v>
      </c>
      <c r="G172" s="61">
        <f t="shared" si="671"/>
        <v>92.558163273706342</v>
      </c>
      <c r="H172" s="242"/>
      <c r="I172" s="168" t="str">
        <f>IF(I$54,$V$33*($Q$32*data0!F398+$R$32*data0!F399+$S$32*data0!F400+$T$32*data0!F401),"")</f>
        <v/>
      </c>
      <c r="J172" s="168" t="str">
        <f>IF(J$54,$V$33*($Q$32*data0!G398+$R$32*data0!G399+$S$32*data0!G400+$T$32*data0!G401),"")</f>
        <v/>
      </c>
      <c r="K172" s="168">
        <f>IF(K$54,$V$33*($Q$32*data0!H398+$R$32*data0!H399+$S$32*data0!H400+$T$32*data0!H401),"")</f>
        <v>699.32657476264762</v>
      </c>
      <c r="L172" s="168">
        <f>IF(L$54,$V$33*($Q$32*data0!I398+$R$32*data0!I399+$S$32*data0!I400+$T$32*data0!I401),"")</f>
        <v>837.45594509892146</v>
      </c>
      <c r="M172" s="168" t="str">
        <f>IF(M$54,$V$33*($Q$32*data0!J398+$R$32*data0!J399+$S$32*data0!J400+$T$32*data0!J401),"")</f>
        <v/>
      </c>
      <c r="N172" s="168">
        <f>IF(N$54,$V$33*($Q$32*data0!K398+$R$32*data0!K399+$S$32*data0!K400+$T$32*data0!K401),"")</f>
        <v>750.61292374924415</v>
      </c>
      <c r="O172" s="168">
        <f>IF(O$54,$V$33*($Q$32*data0!L398+$R$32*data0!L399+$S$32*data0!L400+$T$32*data0!L401),"")</f>
        <v>747.36655892300689</v>
      </c>
      <c r="P172" s="168" t="str">
        <f>IF(P$54,$V$33*($Q$32*data0!M398+$R$32*data0!M399+$S$32*data0!M400+$T$32*data0!M401),"")</f>
        <v/>
      </c>
      <c r="Q172" s="168">
        <f>IF(Q$54,$V$33*($Q$32*data0!N398+$R$32*data0!N399+$S$32*data0!N400+$T$32*data0!N401),"")</f>
        <v>750.61292374924415</v>
      </c>
      <c r="R172" s="168">
        <f>IF(R$54,$V$33*($Q$32*data0!O398+$R$32*data0!O399+$S$32*data0!O400+$T$32*data0!O401),"")</f>
        <v>731.21140515458558</v>
      </c>
      <c r="S172" s="168">
        <f>IF(S$54,$V$33*($Q$32*data0!P398+$R$32*data0!P399+$S$32*data0!P400+$T$32*data0!P401),"")</f>
        <v>689.96616087066809</v>
      </c>
      <c r="T172" s="168">
        <f>IF(T$54,$V$33*($Q$32*data0!Q398+$R$32*data0!Q399+$S$32*data0!Q400+$T$32*data0!Q401),"")</f>
        <v>663.76990239956751</v>
      </c>
      <c r="U172" s="168">
        <f>IF(U$54,$V$33*($Q$32*data0!R398+$R$32*data0!R399+$S$32*data0!R400+$T$32*data0!R401),"")</f>
        <v>622.52465811565025</v>
      </c>
      <c r="V172" s="168">
        <f>IF(V$54,$V$33*($Q$32*data0!S398+$R$32*data0!S399+$S$32*data0!S400+$T$32*data0!S401),"")</f>
        <v>709.367679465327</v>
      </c>
      <c r="W172" s="168">
        <f>IF(W$54,$V$33*($Q$32*data0!T398+$R$32*data0!T399+$S$32*data0!T400+$T$32*data0!T401),"")</f>
        <v>695.65473279150558</v>
      </c>
      <c r="X172" s="168">
        <f>IF(X$54,$V$33*($Q$32*data0!U398+$R$32*data0!U399+$S$32*data0!U400+$T$32*data0!U401),"")</f>
        <v>605.56534661559112</v>
      </c>
      <c r="Y172" s="168">
        <f>IF(Y$54,$V$33*($Q$32*data0!V398+$R$32*data0!V399+$S$32*data0!V400+$T$32*data0!V401),"")</f>
        <v>763.09623554652364</v>
      </c>
      <c r="Z172" s="168">
        <f>IF(Z$54,$V$33*($Q$32*data0!W398+$R$32*data0!W399+$S$32*data0!W400+$T$32*data0!W401),"")</f>
        <v>901.22560588279725</v>
      </c>
      <c r="AA172" s="168">
        <f>IF(AA$54,$V$33*($Q$32*data0!X398+$R$32*data0!X399+$S$32*data0!X400+$T$32*data0!X401),"")</f>
        <v>782.4977541411821</v>
      </c>
      <c r="AB172" s="168">
        <f>IF(AB$54,$V$33*($Q$32*data0!Y398+$R$32*data0!Y399+$S$32*data0!Y400+$T$32*data0!Y401),"")</f>
        <v>894.85634315126003</v>
      </c>
      <c r="AC172" s="168">
        <f>IF(AC$54,$V$33*($Q$32*data0!Z398+$R$32*data0!Z399+$S$32*data0!Z400+$T$32*data0!Z401),"")</f>
        <v>901.22560588279725</v>
      </c>
      <c r="AD172" s="168">
        <f>IF(AD$54,$V$33*($Q$32*data0!AA398+$R$32*data0!AA399+$S$32*data0!AA400+$T$32*data0!AA401),"")</f>
        <v>692.40836796526787</v>
      </c>
      <c r="AE172" s="168">
        <f>IF(AE$54,$V$33*($Q$32*data0!AB398+$R$32*data0!AB399+$S$32*data0!AB400+$T$32*data0!AB401),"")</f>
        <v>766.76807751766569</v>
      </c>
      <c r="AF172" s="168">
        <f>IF(AF$54,$V$33*($Q$32*data0!AC398+$R$32*data0!AC399+$S$32*data0!AC400+$T$32*data0!AC401),"")</f>
        <v>849.9392568962005</v>
      </c>
      <c r="AG172" s="168">
        <f>IF(AG$54,$V$33*($Q$32*data0!AD398+$R$32*data0!AD399+$S$32*data0!AD400+$T$32*data0!AD401),"")</f>
        <v>740.57181904656511</v>
      </c>
      <c r="AH172" s="168">
        <f>IF(AH$54,$V$33*($Q$32*data0!AE398+$R$32*data0!AE399+$S$32*data0!AE400+$T$32*data0!AE401),"")</f>
        <v>808.81747953322088</v>
      </c>
      <c r="AI172" s="168" t="str">
        <f>IF(AI$54,$V$33*($Q$32*data0!AF398+$R$32*data0!AF399+$S$32*data0!AF400+$T$32*data0!AF401),"")</f>
        <v/>
      </c>
      <c r="AJ172" s="168">
        <f>IF(AJ$54,$V$33*($Q$32*data0!AG398+$R$32*data0!AG399+$S$32*data0!AG400+$T$32*data0!AG401),"")</f>
        <v>624.96686521025003</v>
      </c>
      <c r="AK172" s="168">
        <f>IF(AK$54,$V$33*($Q$32*data0!AH398+$R$32*data0!AH399+$S$32*data0!AH400+$T$32*data0!AH401),"")</f>
        <v>811.25968662782066</v>
      </c>
      <c r="AL172" s="168">
        <f>IF(AL$54,$V$33*($Q$32*data0!AI398+$R$32*data0!AI399+$S$32*data0!AI400+$T$32*data0!AI401),"")</f>
        <v>555.08315536063208</v>
      </c>
      <c r="AM172" s="168">
        <f>IF(AM$54,$V$33*($Q$32*data0!AJ398+$R$32*data0!AJ399+$S$32*data0!AJ400+$T$32*data0!AJ401),"")</f>
        <v>830.53773830154148</v>
      </c>
      <c r="AN172" s="168">
        <f>IF(AN$54,$V$33*($Q$32*data0!AK398+$R$32*data0!AK399+$S$32*data0!AK400+$T$32*data0!AK401),"")</f>
        <v>641.92617671030894</v>
      </c>
    </row>
    <row r="173" spans="1:40">
      <c r="A173" s="74"/>
      <c r="B173" s="242"/>
      <c r="C173" s="242"/>
      <c r="D173" s="242"/>
      <c r="E173" s="59" t="str">
        <f t="shared" si="932"/>
        <v>Y</v>
      </c>
      <c r="F173" s="61">
        <f t="shared" si="670"/>
        <v>730.11510729052543</v>
      </c>
      <c r="G173" s="61">
        <f t="shared" si="671"/>
        <v>90.578506335802643</v>
      </c>
      <c r="H173" s="242"/>
      <c r="I173" s="168" t="str">
        <f>IF(I$54,$V$33*($Q$33*data0!F398+$R$33*data0!F399+$S$33*data0!F400+$T$33*data0!F401),"")</f>
        <v/>
      </c>
      <c r="J173" s="168" t="str">
        <f>IF(J$54,$V$33*($Q$33*data0!G398+$R$33*data0!G399+$S$33*data0!G400+$T$33*data0!G401),"")</f>
        <v/>
      </c>
      <c r="K173" s="168">
        <f>IF(K$54,$V$33*($Q$33*data0!H398+$R$33*data0!H399+$S$33*data0!H400+$T$33*data0!H401),"")</f>
        <v>692.86077394825884</v>
      </c>
      <c r="L173" s="168">
        <f>IF(L$54,$V$33*($Q$33*data0!I398+$R$33*data0!I399+$S$33*data0!I400+$T$33*data0!I401),"")</f>
        <v>824.77022613659699</v>
      </c>
      <c r="M173" s="168" t="str">
        <f>IF(M$54,$V$33*($Q$33*data0!J398+$R$33*data0!J399+$S$33*data0!J400+$T$33*data0!J401),"")</f>
        <v/>
      </c>
      <c r="N173" s="168">
        <f>IF(N$54,$V$33*($Q$33*data0!K398+$R$33*data0!K399+$S$33*data0!K400+$T$33*data0!K401),"")</f>
        <v>739.48803342650206</v>
      </c>
      <c r="O173" s="168">
        <f>IF(O$54,$V$33*($Q$33*data0!L398+$R$33*data0!L399+$S$33*data0!L400+$T$33*data0!L401),"")</f>
        <v>736.50940306510972</v>
      </c>
      <c r="P173" s="168" t="str">
        <f>IF(P$54,$V$33*($Q$33*data0!M398+$R$33*data0!M399+$S$33*data0!M400+$T$33*data0!M401),"")</f>
        <v/>
      </c>
      <c r="Q173" s="168">
        <f>IF(Q$54,$V$33*($Q$33*data0!N398+$R$33*data0!N399+$S$33*data0!N400+$T$33*data0!N401),"")</f>
        <v>739.48803342650206</v>
      </c>
      <c r="R173" s="168">
        <f>IF(R$54,$V$33*($Q$33*data0!O398+$R$33*data0!O399+$S$33*data0!O400+$T$33*data0!O401),"")</f>
        <v>718.67125162987998</v>
      </c>
      <c r="S173" s="168">
        <f>IF(S$54,$V$33*($Q$33*data0!P398+$R$33*data0!P399+$S$33*data0!P400+$T$33*data0!P401),"")</f>
        <v>674.81734234719579</v>
      </c>
      <c r="T173" s="168">
        <f>IF(T$54,$V$33*($Q$33*data0!Q398+$R$33*data0!Q399+$S$33*data0!Q400+$T$33*data0!Q401),"")</f>
        <v>654.20584071640678</v>
      </c>
      <c r="U173" s="168">
        <f>IF(U$54,$V$33*($Q$33*data0!R398+$R$33*data0!R399+$S$33*data0!R400+$T$33*data0!R401),"")</f>
        <v>610.35193143372271</v>
      </c>
      <c r="V173" s="168">
        <f>IF(V$54,$V$33*($Q$33*data0!S398+$R$33*data0!S399+$S$33*data0!S400+$T$33*data0!S401),"")</f>
        <v>695.63412414381787</v>
      </c>
      <c r="W173" s="168">
        <f>IF(W$54,$V$33*($Q$33*data0!T398+$R$33*data0!T399+$S$33*data0!T400+$T$33*data0!T401),"")</f>
        <v>680.01631839802803</v>
      </c>
      <c r="X173" s="168">
        <f>IF(X$54,$V$33*($Q$33*data0!U398+$R$33*data0!U399+$S$33*data0!U400+$T$33*data0!U401),"")</f>
        <v>591.75549532654077</v>
      </c>
      <c r="Y173" s="168">
        <f>IF(Y$54,$V$33*($Q$33*data0!V398+$R$33*data0!V399+$S$33*data0!V400+$T$33*data0!V401),"")</f>
        <v>744.48172931150111</v>
      </c>
      <c r="Z173" s="168">
        <f>IF(Z$54,$V$33*($Q$33*data0!W398+$R$33*data0!W399+$S$33*data0!W400+$T$33*data0!W401),"")</f>
        <v>876.39118149983938</v>
      </c>
      <c r="AA173" s="168">
        <f>IF(AA$54,$V$33*($Q$33*data0!X398+$R$33*data0!X399+$S$33*data0!X400+$T$33*data0!X401),"")</f>
        <v>765.29851110812319</v>
      </c>
      <c r="AB173" s="168">
        <f>IF(AB$54,$V$33*($Q$33*data0!Y398+$R$33*data0!Y399+$S$33*data0!Y400+$T$33*data0!Y401),"")</f>
        <v>886.46228685451149</v>
      </c>
      <c r="AC173" s="168">
        <f>IF(AC$54,$V$33*($Q$33*data0!Z398+$R$33*data0!Z399+$S$33*data0!Z400+$T$33*data0!Z401),"")</f>
        <v>876.39118149983938</v>
      </c>
      <c r="AD173" s="168">
        <f>IF(AD$54,$V$33*($Q$33*data0!AA398+$R$33*data0!AA399+$S$33*data0!AA400+$T$33*data0!AA401),"")</f>
        <v>677.03768803663593</v>
      </c>
      <c r="AE173" s="168">
        <f>IF(AE$54,$V$33*($Q$33*data0!AB398+$R$33*data0!AB399+$S$33*data0!AB400+$T$33*data0!AB401),"")</f>
        <v>757.3261848617318</v>
      </c>
      <c r="AF173" s="168">
        <f>IF(AF$54,$V$33*($Q$33*data0!AC398+$R$33*data0!AC399+$S$33*data0!AC400+$T$33*data0!AC401),"")</f>
        <v>829.76392202159616</v>
      </c>
      <c r="AG173" s="168">
        <f>IF(AG$54,$V$33*($Q$33*data0!AD398+$R$33*data0!AD399+$S$33*data0!AD400+$T$33*data0!AD401),"")</f>
        <v>736.71468323094336</v>
      </c>
      <c r="AH173" s="168">
        <f>IF(AH$54,$V$33*($Q$33*data0!AE398+$R$33*data0!AE399+$S$33*data0!AE400+$T$33*data0!AE401),"")</f>
        <v>801.93837881636819</v>
      </c>
      <c r="AI173" s="168" t="str">
        <f>IF(AI$54,$V$33*($Q$33*data0!AF398+$R$33*data0!AF399+$S$33*data0!AF400+$T$33*data0!AF401),"")</f>
        <v/>
      </c>
      <c r="AJ173" s="168">
        <f>IF(AJ$54,$V$33*($Q$33*data0!AG398+$R$33*data0!AG399+$S$33*data0!AG400+$T$33*data0!AG401),"")</f>
        <v>612.57227712316285</v>
      </c>
      <c r="AK173" s="168">
        <f>IF(AK$54,$V$33*($Q$33*data0!AH398+$R$33*data0!AH399+$S$33*data0!AH400+$T$33*data0!AH401),"")</f>
        <v>804.15872450580832</v>
      </c>
      <c r="AL173" s="168">
        <f>IF(AL$54,$V$33*($Q$33*data0!AI398+$R$33*data0!AI399+$S$33*data0!AI400+$T$33*data0!AI401),"")</f>
        <v>545.88652052024952</v>
      </c>
      <c r="AM173" s="168">
        <f>IF(AM$54,$V$33*($Q$33*data0!AJ398+$R$33*data0!AJ399+$S$33*data0!AJ400+$T$33*data0!AJ401),"")</f>
        <v>808.94714022497408</v>
      </c>
      <c r="AN173" s="168">
        <f>IF(AN$54,$V$33*($Q$33*data0!AK398+$R$33*data0!AK399+$S$33*data0!AK400+$T$33*data0!AK401),"")</f>
        <v>631.16871323034479</v>
      </c>
    </row>
    <row r="174" spans="1:40">
      <c r="A174" s="74"/>
      <c r="B174" s="242"/>
      <c r="C174" s="242"/>
      <c r="D174" s="242"/>
      <c r="E174" s="59" t="str">
        <f t="shared" si="932"/>
        <v>Z</v>
      </c>
      <c r="F174" s="61">
        <f t="shared" si="670"/>
        <v>380.27489529943813</v>
      </c>
      <c r="G174" s="61">
        <f t="shared" si="671"/>
        <v>54.553290197869309</v>
      </c>
      <c r="H174" s="242"/>
      <c r="I174" s="168" t="str">
        <f>IF(I$54,$V$33*($Q$34*data0!F398+$R$34*data0!F399+$S$34*data0!F400+$T$34*data0!F401),"")</f>
        <v/>
      </c>
      <c r="J174" s="168" t="str">
        <f>IF(J$54,$V$33*($Q$34*data0!G398+$R$34*data0!G399+$S$34*data0!G400+$T$34*data0!G401),"")</f>
        <v/>
      </c>
      <c r="K174" s="168">
        <f>IF(K$54,$V$33*($Q$34*data0!H398+$R$34*data0!H399+$S$34*data0!H400+$T$34*data0!H401),"")</f>
        <v>395.68804494715766</v>
      </c>
      <c r="L174" s="168">
        <f>IF(L$54,$V$33*($Q$34*data0!I398+$R$34*data0!I399+$S$34*data0!I400+$T$34*data0!I401),"")</f>
        <v>442.66856003377416</v>
      </c>
      <c r="M174" s="168" t="str">
        <f>IF(M$54,$V$33*($Q$34*data0!J398+$R$34*data0!J399+$S$34*data0!J400+$T$34*data0!J401),"")</f>
        <v/>
      </c>
      <c r="N174" s="168">
        <f>IF(N$54,$V$33*($Q$34*data0!K398+$R$34*data0!K399+$S$34*data0!K400+$T$34*data0!K401),"")</f>
        <v>397.56250526449065</v>
      </c>
      <c r="O174" s="168">
        <f>IF(O$54,$V$33*($Q$34*data0!L398+$R$34*data0!L399+$S$34*data0!L400+$T$34*data0!L401),"")</f>
        <v>399.25883211125597</v>
      </c>
      <c r="P174" s="168" t="str">
        <f>IF(P$54,$V$33*($Q$34*data0!M398+$R$34*data0!M399+$S$34*data0!M400+$T$34*data0!M401),"")</f>
        <v/>
      </c>
      <c r="Q174" s="168">
        <f>IF(Q$54,$V$33*($Q$34*data0!N398+$R$34*data0!N399+$S$34*data0!N400+$T$34*data0!N401),"")</f>
        <v>397.56250526449065</v>
      </c>
      <c r="R174" s="168">
        <f>IF(R$54,$V$33*($Q$34*data0!O398+$R$34*data0!O399+$S$34*data0!O400+$T$34*data0!O401),"")</f>
        <v>376.79487146189808</v>
      </c>
      <c r="S174" s="168">
        <f>IF(S$54,$V$33*($Q$34*data0!P398+$R$34*data0!P399+$S$34*data0!P400+$T$34*data0!P401),"")</f>
        <v>335.17034384160189</v>
      </c>
      <c r="T174" s="168">
        <f>IF(T$54,$V$33*($Q$34*data0!Q398+$R$34*data0!Q399+$S$34*data0!Q400+$T$34*data0!Q401),"")</f>
        <v>352.45645049520715</v>
      </c>
      <c r="U174" s="168">
        <f>IF(U$54,$V$33*($Q$34*data0!R398+$R$34*data0!R399+$S$34*data0!R400+$T$34*data0!R401),"")</f>
        <v>310.8319228749109</v>
      </c>
      <c r="V174" s="168">
        <f>IF(V$54,$V$33*($Q$34*data0!S398+$R$34*data0!S399+$S$34*data0!S400+$T$34*data0!S401),"")</f>
        <v>355.93797764419446</v>
      </c>
      <c r="W174" s="168">
        <f>IF(W$54,$V$33*($Q$34*data0!T398+$R$34*data0!T399+$S$34*data0!T400+$T$34*data0!T401),"")</f>
        <v>333.56327700994757</v>
      </c>
      <c r="X174" s="168">
        <f>IF(X$54,$V$33*($Q$34*data0!U398+$R$34*data0!U399+$S$34*data0!U400+$T$34*data0!U401),"")</f>
        <v>290.15354908742938</v>
      </c>
      <c r="Y174" s="168">
        <f>IF(Y$54,$V$33*($Q$34*data0!V398+$R$34*data0!V399+$S$34*data0!V400+$T$34*data0!V401),"")</f>
        <v>357.90169797663862</v>
      </c>
      <c r="Z174" s="168">
        <f>IF(Z$54,$V$33*($Q$34*data0!W398+$R$34*data0!W399+$S$34*data0!W400+$T$34*data0!W401),"")</f>
        <v>404.88221306325505</v>
      </c>
      <c r="AA174" s="168">
        <f>IF(AA$54,$V$33*($Q$34*data0!X398+$R$34*data0!X399+$S$34*data0!X400+$T$34*data0!X401),"")</f>
        <v>378.66933177923107</v>
      </c>
      <c r="AB174" s="168">
        <f>IF(AB$54,$V$33*($Q$34*data0!Y398+$R$34*data0!Y399+$S$34*data0!Y400+$T$34*data0!Y401),"")</f>
        <v>506.75704830342835</v>
      </c>
      <c r="AC174" s="168">
        <f>IF(AC$54,$V$33*($Q$34*data0!Z398+$R$34*data0!Z399+$S$34*data0!Z400+$T$34*data0!Z401),"")</f>
        <v>404.88221306325505</v>
      </c>
      <c r="AD174" s="168">
        <f>IF(AD$54,$V$33*($Q$34*data0!AA398+$R$34*data0!AA399+$S$34*data0!AA400+$T$34*data0!AA401),"")</f>
        <v>335.25960385671289</v>
      </c>
      <c r="AE174" s="168">
        <f>IF(AE$54,$V$33*($Q$34*data0!AB398+$R$34*data0!AB399+$S$34*data0!AB400+$T$34*data0!AB401),"")</f>
        <v>420.0264659138486</v>
      </c>
      <c r="AF174" s="168">
        <f>IF(AF$54,$V$33*($Q$34*data0!AC398+$R$34*data0!AC399+$S$34*data0!AC400+$T$34*data0!AC401),"")</f>
        <v>403.00775274592206</v>
      </c>
      <c r="AG174" s="168">
        <f>IF(AG$54,$V$33*($Q$34*data0!AD398+$R$34*data0!AD399+$S$34*data0!AD400+$T$34*data0!AD401),"")</f>
        <v>437.31257256745391</v>
      </c>
      <c r="AH174" s="168">
        <f>IF(AH$54,$V$33*($Q$34*data0!AE398+$R$34*data0!AE399+$S$34*data0!AE400+$T$34*data0!AE401),"")</f>
        <v>459.86540667226836</v>
      </c>
      <c r="AI174" s="168" t="str">
        <f>IF(AI$54,$V$33*($Q$34*data0!AF398+$R$34*data0!AF399+$S$34*data0!AF400+$T$34*data0!AF401),"")</f>
        <v/>
      </c>
      <c r="AJ174" s="168">
        <f>IF(AJ$54,$V$33*($Q$34*data0!AG398+$R$34*data0!AG399+$S$34*data0!AG400+$T$34*data0!AG401),"")</f>
        <v>310.92118289002201</v>
      </c>
      <c r="AK174" s="168">
        <f>IF(AK$54,$V$33*($Q$34*data0!AH398+$R$34*data0!AH399+$S$34*data0!AH400+$T$34*data0!AH401),"")</f>
        <v>459.95466668737947</v>
      </c>
      <c r="AL174" s="168">
        <f>IF(AL$54,$V$33*($Q$34*data0!AI398+$R$34*data0!AI399+$S$34*data0!AI400+$T$34*data0!AI401),"")</f>
        <v>286.49350190821997</v>
      </c>
      <c r="AM174" s="168">
        <f>IF(AM$54,$V$33*($Q$34*data0!AJ398+$R$34*data0!AJ399+$S$34*data0!AJ400+$T$34*data0!AJ401),"")</f>
        <v>382.24011894332949</v>
      </c>
      <c r="AN174" s="168">
        <f>IF(AN$54,$V$33*($Q$34*data0!AK398+$R$34*data0!AK399+$S$34*data0!AK400+$T$34*data0!AK401),"")</f>
        <v>331.59955667750341</v>
      </c>
    </row>
    <row r="175" spans="1:40">
      <c r="A175" s="74"/>
      <c r="B175" s="242"/>
      <c r="C175" s="242" t="str">
        <f>C169</f>
        <v>LO</v>
      </c>
      <c r="D175" s="242"/>
      <c r="E175" s="59" t="str">
        <f t="shared" si="932"/>
        <v>x</v>
      </c>
      <c r="F175" s="60">
        <f t="shared" si="670"/>
        <v>0.39843869654680342</v>
      </c>
      <c r="G175" s="60">
        <f t="shared" si="671"/>
        <v>7.1316170351924061E-3</v>
      </c>
      <c r="H175" s="242"/>
      <c r="I175" s="108" t="str">
        <f>IF(I$54,I169/SUM(I169:I171),"")</f>
        <v/>
      </c>
      <c r="J175" s="108" t="str">
        <f t="shared" ref="J175:AN175" si="933">IF(J$54,J169/SUM(J169:J171),"")</f>
        <v/>
      </c>
      <c r="K175" s="108">
        <f t="shared" si="933"/>
        <v>0.39015212956614725</v>
      </c>
      <c r="L175" s="108">
        <f t="shared" si="933"/>
        <v>0.39370678030740991</v>
      </c>
      <c r="M175" s="108" t="str">
        <f t="shared" si="933"/>
        <v/>
      </c>
      <c r="N175" s="108">
        <f t="shared" si="933"/>
        <v>0.39753317088228879</v>
      </c>
      <c r="O175" s="108">
        <f t="shared" si="933"/>
        <v>0.39368733925924826</v>
      </c>
      <c r="P175" s="108" t="str">
        <f t="shared" si="933"/>
        <v/>
      </c>
      <c r="Q175" s="108">
        <f t="shared" si="933"/>
        <v>0.39353469716997541</v>
      </c>
      <c r="R175" s="108">
        <f t="shared" si="933"/>
        <v>0.39960354391075592</v>
      </c>
      <c r="S175" s="108">
        <f t="shared" si="933"/>
        <v>0.39633970849648686</v>
      </c>
      <c r="T175" s="108">
        <f t="shared" si="933"/>
        <v>0.40386372082925026</v>
      </c>
      <c r="U175" s="108">
        <f t="shared" si="933"/>
        <v>0.40306426467914336</v>
      </c>
      <c r="V175" s="108">
        <f t="shared" si="933"/>
        <v>0.39960560185408128</v>
      </c>
      <c r="W175" s="108">
        <f t="shared" si="933"/>
        <v>0.40144228478136967</v>
      </c>
      <c r="X175" s="108">
        <f t="shared" si="933"/>
        <v>0.40310093761221549</v>
      </c>
      <c r="Y175" s="108">
        <f t="shared" si="933"/>
        <v>0.40483508416971148</v>
      </c>
      <c r="Z175" s="108">
        <f t="shared" si="933"/>
        <v>0.40772219555816169</v>
      </c>
      <c r="AA175" s="108">
        <f t="shared" si="933"/>
        <v>0.4050373565144208</v>
      </c>
      <c r="AB175" s="108">
        <f t="shared" si="933"/>
        <v>0.39041109594387186</v>
      </c>
      <c r="AC175" s="108">
        <f t="shared" si="933"/>
        <v>0.40477213134025991</v>
      </c>
      <c r="AD175" s="108">
        <f t="shared" si="933"/>
        <v>0.40165645062308064</v>
      </c>
      <c r="AE175" s="108">
        <f t="shared" si="933"/>
        <v>0.39348934715982575</v>
      </c>
      <c r="AF175" s="108">
        <f t="shared" si="933"/>
        <v>0.40582112329717396</v>
      </c>
      <c r="AG175" s="108">
        <f t="shared" si="933"/>
        <v>0.38200064795070032</v>
      </c>
      <c r="AH175" s="108">
        <f t="shared" si="933"/>
        <v>0.38406689566570529</v>
      </c>
      <c r="AI175" s="108" t="str">
        <f t="shared" si="933"/>
        <v/>
      </c>
      <c r="AJ175" s="108">
        <f t="shared" si="933"/>
        <v>0.40548947598961493</v>
      </c>
      <c r="AK175" s="108">
        <f t="shared" si="933"/>
        <v>0.38769554703388975</v>
      </c>
      <c r="AL175" s="108">
        <f t="shared" si="933"/>
        <v>0.40449497084227154</v>
      </c>
      <c r="AM175" s="108">
        <f t="shared" si="933"/>
        <v>0.40562238743204371</v>
      </c>
      <c r="AN175" s="108">
        <f t="shared" si="933"/>
        <v>0.39909591789458698</v>
      </c>
    </row>
    <row r="176" spans="1:40">
      <c r="A176" s="74"/>
      <c r="B176" s="242"/>
      <c r="C176" s="242"/>
      <c r="D176" s="242"/>
      <c r="E176" s="59" t="str">
        <f t="shared" ref="E176:E182" si="934">E154</f>
        <v>y</v>
      </c>
      <c r="F176" s="60">
        <f t="shared" si="670"/>
        <v>0.39229588898497264</v>
      </c>
      <c r="G176" s="60">
        <f t="shared" si="671"/>
        <v>4.5819812740211996E-3</v>
      </c>
      <c r="H176" s="242"/>
      <c r="I176" s="108" t="str">
        <f>IF(I$54,I170/SUM(I169:I171),"")</f>
        <v/>
      </c>
      <c r="J176" s="108" t="str">
        <f t="shared" ref="J176:AN176" si="935">IF(J$54,J170/SUM(J169:J171),"")</f>
        <v/>
      </c>
      <c r="K176" s="108">
        <f t="shared" si="935"/>
        <v>0.38689106854817867</v>
      </c>
      <c r="L176" s="108">
        <f t="shared" si="935"/>
        <v>0.38923861043220154</v>
      </c>
      <c r="M176" s="108" t="str">
        <f t="shared" si="935"/>
        <v/>
      </c>
      <c r="N176" s="108">
        <f t="shared" si="935"/>
        <v>0.39166305765758497</v>
      </c>
      <c r="O176" s="108">
        <f t="shared" si="935"/>
        <v>0.38919939330881742</v>
      </c>
      <c r="P176" s="108" t="str">
        <f t="shared" si="935"/>
        <v/>
      </c>
      <c r="Q176" s="108">
        <f t="shared" si="935"/>
        <v>0.38917704904181266</v>
      </c>
      <c r="R176" s="108">
        <f t="shared" si="935"/>
        <v>0.39297931498647004</v>
      </c>
      <c r="S176" s="108">
        <f t="shared" si="935"/>
        <v>0.39102846886343329</v>
      </c>
      <c r="T176" s="108">
        <f t="shared" si="935"/>
        <v>0.39585169283050342</v>
      </c>
      <c r="U176" s="108">
        <f t="shared" si="935"/>
        <v>0.39536081983495192</v>
      </c>
      <c r="V176" s="108">
        <f t="shared" si="935"/>
        <v>0.39301760361170202</v>
      </c>
      <c r="W176" s="108">
        <f t="shared" si="935"/>
        <v>0.3943380251501083</v>
      </c>
      <c r="X176" s="108">
        <f t="shared" si="935"/>
        <v>0.39529210164633893</v>
      </c>
      <c r="Y176" s="108">
        <f t="shared" si="935"/>
        <v>0.39640736650238201</v>
      </c>
      <c r="Z176" s="108">
        <f t="shared" si="935"/>
        <v>0.39823549482847304</v>
      </c>
      <c r="AA176" s="108">
        <f t="shared" si="935"/>
        <v>0.39655219398131031</v>
      </c>
      <c r="AB176" s="108">
        <f t="shared" si="935"/>
        <v>0.38704017348857478</v>
      </c>
      <c r="AC176" s="108">
        <f t="shared" si="935"/>
        <v>0.39635591548486254</v>
      </c>
      <c r="AD176" s="108">
        <f t="shared" si="935"/>
        <v>0.39429051828676009</v>
      </c>
      <c r="AE176" s="108">
        <f t="shared" si="935"/>
        <v>0.38898395411734515</v>
      </c>
      <c r="AF176" s="108">
        <f t="shared" si="935"/>
        <v>0.39696152591609946</v>
      </c>
      <c r="AG176" s="108">
        <f t="shared" si="935"/>
        <v>0.3817965162612067</v>
      </c>
      <c r="AH176" s="108">
        <f t="shared" si="935"/>
        <v>0.38312375485874228</v>
      </c>
      <c r="AI176" s="108" t="str">
        <f t="shared" si="935"/>
        <v/>
      </c>
      <c r="AJ176" s="108">
        <f t="shared" si="935"/>
        <v>0.39681683482748004</v>
      </c>
      <c r="AK176" s="108">
        <f t="shared" si="935"/>
        <v>0.38546012265480467</v>
      </c>
      <c r="AL176" s="108">
        <f t="shared" si="935"/>
        <v>0.39626028257744855</v>
      </c>
      <c r="AM176" s="108">
        <f t="shared" si="935"/>
        <v>0.39690179086654925</v>
      </c>
      <c r="AN176" s="108">
        <f t="shared" si="935"/>
        <v>0.39276535203012192</v>
      </c>
    </row>
    <row r="177" spans="1:40">
      <c r="A177" s="74"/>
      <c r="B177" s="242"/>
      <c r="C177" s="242"/>
      <c r="D177" s="242"/>
      <c r="E177" s="59" t="str">
        <f t="shared" si="934"/>
        <v>CCT</v>
      </c>
      <c r="F177" s="75">
        <f t="shared" si="670"/>
        <v>3692.9259259259261</v>
      </c>
      <c r="G177" s="75">
        <f t="shared" si="671"/>
        <v>136.0604859628869</v>
      </c>
      <c r="H177" s="242"/>
      <c r="I177" s="109" t="str">
        <f>IF(I$54,getCCTfromXY(I175,I176,0),"")</f>
        <v/>
      </c>
      <c r="J177" s="109" t="str">
        <f t="shared" ref="J177" si="936">IF(J$54,getCCTfromXY(J175,J176,0),"")</f>
        <v/>
      </c>
      <c r="K177" s="109">
        <f t="shared" ref="K177" si="937">IF(K$54,getCCTfromXY(K175,K176,0),"")</f>
        <v>3847</v>
      </c>
      <c r="L177" s="109">
        <f t="shared" ref="L177" si="938">IF(L$54,getCCTfromXY(L175,L176,0),"")</f>
        <v>3777</v>
      </c>
      <c r="M177" s="109" t="str">
        <f t="shared" ref="M177" si="939">IF(M$54,getCCTfromXY(M175,M176,0),"")</f>
        <v/>
      </c>
      <c r="N177" s="109">
        <f t="shared" ref="N177" si="940">IF(N$54,getCCTfromXY(N175,N176,0),"")</f>
        <v>3704</v>
      </c>
      <c r="O177" s="109">
        <f t="shared" ref="O177" si="941">IF(O$54,getCCTfromXY(O175,O176,0),"")</f>
        <v>3777</v>
      </c>
      <c r="P177" s="109" t="str">
        <f t="shared" ref="P177" si="942">IF(P$54,getCCTfromXY(P175,P176,0),"")</f>
        <v/>
      </c>
      <c r="Q177" s="109">
        <f t="shared" ref="Q177" si="943">IF(Q$54,getCCTfromXY(Q175,Q176,0),"")</f>
        <v>3781</v>
      </c>
      <c r="R177" s="109">
        <f t="shared" ref="R177" si="944">IF(R$54,getCCTfromXY(R175,R176,0),"")</f>
        <v>3666</v>
      </c>
      <c r="S177" s="109">
        <f t="shared" ref="S177" si="945">IF(S$54,getCCTfromXY(S175,S176,0),"")</f>
        <v>3727</v>
      </c>
      <c r="T177" s="109">
        <f t="shared" ref="T177" si="946">IF(T$54,getCCTfromXY(T175,T176,0),"")</f>
        <v>3591</v>
      </c>
      <c r="U177" s="109">
        <f t="shared" ref="U177" si="947">IF(U$54,getCCTfromXY(U175,U176,0),"")</f>
        <v>3605</v>
      </c>
      <c r="V177" s="109">
        <f t="shared" ref="V177" si="948">IF(V$54,getCCTfromXY(V175,V176,0),"")</f>
        <v>3666</v>
      </c>
      <c r="W177" s="109">
        <f t="shared" ref="W177" si="949">IF(W$54,getCCTfromXY(W175,W176,0),"")</f>
        <v>3634</v>
      </c>
      <c r="X177" s="109">
        <f t="shared" ref="X177" si="950">IF(X$54,getCCTfromXY(X175,X176,0),"")</f>
        <v>3604</v>
      </c>
      <c r="Y177" s="109">
        <f t="shared" ref="Y177" si="951">IF(Y$54,getCCTfromXY(Y175,Y176,0),"")</f>
        <v>3574</v>
      </c>
      <c r="Z177" s="109">
        <f t="shared" ref="Z177" si="952">IF(Z$54,getCCTfromXY(Z175,Z176,0),"")</f>
        <v>3525</v>
      </c>
      <c r="AA177" s="109">
        <f t="shared" ref="AA177" si="953">IF(AA$54,getCCTfromXY(AA175,AA176,0),"")</f>
        <v>3571</v>
      </c>
      <c r="AB177" s="109">
        <f t="shared" ref="AB177" si="954">IF(AB$54,getCCTfromXY(AB175,AB176,0),"")</f>
        <v>3842</v>
      </c>
      <c r="AC177" s="109">
        <f t="shared" ref="AC177" si="955">IF(AC$54,getCCTfromXY(AC175,AC176,0),"")</f>
        <v>3575</v>
      </c>
      <c r="AD177" s="109">
        <f t="shared" ref="AD177" si="956">IF(AD$54,getCCTfromXY(AD175,AD176,0),"")</f>
        <v>3629</v>
      </c>
      <c r="AE177" s="109">
        <f t="shared" ref="AE177" si="957">IF(AE$54,getCCTfromXY(AE175,AE176,0),"")</f>
        <v>3780</v>
      </c>
      <c r="AF177" s="109">
        <f t="shared" ref="AF177" si="958">IF(AF$54,getCCTfromXY(AF175,AF176,0),"")</f>
        <v>3556</v>
      </c>
      <c r="AG177" s="109">
        <f t="shared" ref="AG177" si="959">IF(AG$54,getCCTfromXY(AG175,AG176,0),"")</f>
        <v>4023</v>
      </c>
      <c r="AH177" s="109">
        <f t="shared" ref="AH177" si="960">IF(AH$54,getCCTfromXY(AH175,AH176,0),"")</f>
        <v>3977</v>
      </c>
      <c r="AI177" s="109" t="str">
        <f t="shared" ref="AI177" si="961">IF(AI$54,getCCTfromXY(AI175,AI176,0),"")</f>
        <v/>
      </c>
      <c r="AJ177" s="109">
        <f t="shared" ref="AJ177" si="962">IF(AJ$54,getCCTfromXY(AJ175,AJ176,0),"")</f>
        <v>3563</v>
      </c>
      <c r="AK177" s="109">
        <f t="shared" ref="AK177" si="963">IF(AK$54,getCCTfromXY(AK175,AK176,0),"")</f>
        <v>3899</v>
      </c>
      <c r="AL177" s="109">
        <f t="shared" ref="AL177" si="964">IF(AL$54,getCCTfromXY(AL175,AL176,0),"")</f>
        <v>3580</v>
      </c>
      <c r="AM177" s="109">
        <f t="shared" ref="AM177" si="965">IF(AM$54,getCCTfromXY(AM175,AM176,0),"")</f>
        <v>3560</v>
      </c>
      <c r="AN177" s="109">
        <f t="shared" ref="AN177" si="966">IF(AN$54,getCCTfromXY(AN175,AN176,0),"")</f>
        <v>3676</v>
      </c>
    </row>
    <row r="178" spans="1:40">
      <c r="A178" s="74"/>
      <c r="B178" s="242"/>
      <c r="C178" s="242"/>
      <c r="D178" s="242"/>
      <c r="E178" s="59" t="str">
        <f t="shared" si="934"/>
        <v>MK-1</v>
      </c>
      <c r="F178" s="61">
        <f t="shared" si="670"/>
        <v>271.13207326215388</v>
      </c>
      <c r="G178" s="61">
        <f t="shared" si="671"/>
        <v>9.7045443082196989</v>
      </c>
      <c r="H178" s="242"/>
      <c r="I178" s="130" t="str">
        <f>IF(I$54,10^6/I177,"")</f>
        <v/>
      </c>
      <c r="J178" s="130" t="str">
        <f t="shared" ref="J178" si="967">IF(J$54,10^6/J177,"")</f>
        <v/>
      </c>
      <c r="K178" s="130">
        <f t="shared" ref="K178" si="968">IF(K$54,10^6/K177,"")</f>
        <v>259.94281258123215</v>
      </c>
      <c r="L178" s="130">
        <f t="shared" ref="L178" si="969">IF(L$54,10^6/L177,"")</f>
        <v>264.76039184537996</v>
      </c>
      <c r="M178" s="130" t="str">
        <f t="shared" ref="M178" si="970">IF(M$54,10^6/M177,"")</f>
        <v/>
      </c>
      <c r="N178" s="130">
        <f t="shared" ref="N178" si="971">IF(N$54,10^6/N177,"")</f>
        <v>269.97840172786175</v>
      </c>
      <c r="O178" s="130">
        <f t="shared" ref="O178" si="972">IF(O$54,10^6/O177,"")</f>
        <v>264.76039184537996</v>
      </c>
      <c r="P178" s="130" t="str">
        <f t="shared" ref="P178" si="973">IF(P$54,10^6/P177,"")</f>
        <v/>
      </c>
      <c r="Q178" s="130">
        <f t="shared" ref="Q178" si="974">IF(Q$54,10^6/Q177,"")</f>
        <v>264.48029621793177</v>
      </c>
      <c r="R178" s="130">
        <f t="shared" ref="R178" si="975">IF(R$54,10^6/R177,"")</f>
        <v>272.77686852154937</v>
      </c>
      <c r="S178" s="130">
        <f t="shared" ref="S178" si="976">IF(S$54,10^6/S177,"")</f>
        <v>268.31231553528306</v>
      </c>
      <c r="T178" s="130">
        <f t="shared" ref="T178" si="977">IF(T$54,10^6/T177,"")</f>
        <v>278.47396268448898</v>
      </c>
      <c r="U178" s="130">
        <f t="shared" ref="U178" si="978">IF(U$54,10^6/U177,"")</f>
        <v>277.39251040221916</v>
      </c>
      <c r="V178" s="130">
        <f t="shared" ref="V178" si="979">IF(V$54,10^6/V177,"")</f>
        <v>272.77686852154937</v>
      </c>
      <c r="W178" s="130">
        <f t="shared" ref="W178" si="980">IF(W$54,10^6/W177,"")</f>
        <v>275.17886626307097</v>
      </c>
      <c r="X178" s="130">
        <f t="shared" ref="X178" si="981">IF(X$54,10^6/X177,"")</f>
        <v>277.46947835738069</v>
      </c>
      <c r="Y178" s="130">
        <f t="shared" ref="Y178" si="982">IF(Y$54,10^6/Y177,"")</f>
        <v>279.79854504756577</v>
      </c>
      <c r="Z178" s="130">
        <f t="shared" ref="Z178" si="983">IF(Z$54,10^6/Z177,"")</f>
        <v>283.68794326241135</v>
      </c>
      <c r="AA178" s="130">
        <f t="shared" ref="AA178" si="984">IF(AA$54,10^6/AA177,"")</f>
        <v>280.03360403248388</v>
      </c>
      <c r="AB178" s="130">
        <f t="shared" ref="AB178" si="985">IF(AB$54,10^6/AB177,"")</f>
        <v>260.28110359187923</v>
      </c>
      <c r="AC178" s="130">
        <f t="shared" ref="AC178" si="986">IF(AC$54,10^6/AC177,"")</f>
        <v>279.72027972027973</v>
      </c>
      <c r="AD178" s="130">
        <f t="shared" ref="AD178" si="987">IF(AD$54,10^6/AD177,"")</f>
        <v>275.55800496004412</v>
      </c>
      <c r="AE178" s="130">
        <f t="shared" ref="AE178" si="988">IF(AE$54,10^6/AE177,"")</f>
        <v>264.55026455026456</v>
      </c>
      <c r="AF178" s="130">
        <f t="shared" ref="AF178" si="989">IF(AF$54,10^6/AF177,"")</f>
        <v>281.21484814398201</v>
      </c>
      <c r="AG178" s="130">
        <f t="shared" ref="AG178" si="990">IF(AG$54,10^6/AG177,"")</f>
        <v>248.5707183693761</v>
      </c>
      <c r="AH178" s="130">
        <f t="shared" ref="AH178" si="991">IF(AH$54,10^6/AH177,"")</f>
        <v>251.44581342720645</v>
      </c>
      <c r="AI178" s="130" t="str">
        <f t="shared" ref="AI178" si="992">IF(AI$54,10^6/AI177,"")</f>
        <v/>
      </c>
      <c r="AJ178" s="130">
        <f t="shared" ref="AJ178" si="993">IF(AJ$54,10^6/AJ177,"")</f>
        <v>280.66236317709797</v>
      </c>
      <c r="AK178" s="130">
        <f t="shared" ref="AK178" si="994">IF(AK$54,10^6/AK177,"")</f>
        <v>256.4760194921775</v>
      </c>
      <c r="AL178" s="130">
        <f t="shared" ref="AL178" si="995">IF(AL$54,10^6/AL177,"")</f>
        <v>279.32960893854749</v>
      </c>
      <c r="AM178" s="130">
        <f t="shared" ref="AM178" si="996">IF(AM$54,10^6/AM177,"")</f>
        <v>280.89887640449439</v>
      </c>
      <c r="AN178" s="130">
        <f t="shared" ref="AN178" si="997">IF(AN$54,10^6/AN177,"")</f>
        <v>272.0348204570185</v>
      </c>
    </row>
    <row r="179" spans="1:40">
      <c r="A179" s="74"/>
      <c r="B179" s="242"/>
      <c r="C179" s="242" t="str">
        <f>C172</f>
        <v>HI</v>
      </c>
      <c r="D179" s="242"/>
      <c r="E179" s="59" t="str">
        <f t="shared" si="934"/>
        <v>x</v>
      </c>
      <c r="F179" s="60">
        <f t="shared" si="670"/>
        <v>0.40105980612429049</v>
      </c>
      <c r="G179" s="60">
        <f t="shared" si="671"/>
        <v>7.2779606450323608E-3</v>
      </c>
      <c r="H179" s="242"/>
      <c r="I179" s="108" t="str">
        <f>IF(I$54,I172/SUM(I172:I174),"")</f>
        <v/>
      </c>
      <c r="J179" s="108" t="str">
        <f t="shared" ref="J179:AN179" si="998">IF(J$54,J172/SUM(J172:J174),"")</f>
        <v/>
      </c>
      <c r="K179" s="108">
        <f t="shared" si="998"/>
        <v>0.39114950473802185</v>
      </c>
      <c r="L179" s="108">
        <f t="shared" si="998"/>
        <v>0.39786120068528041</v>
      </c>
      <c r="M179" s="108" t="str">
        <f t="shared" si="998"/>
        <v/>
      </c>
      <c r="N179" s="108">
        <f t="shared" si="998"/>
        <v>0.39764128441565805</v>
      </c>
      <c r="O179" s="108">
        <f t="shared" si="998"/>
        <v>0.39687363924494962</v>
      </c>
      <c r="P179" s="108" t="str">
        <f t="shared" si="998"/>
        <v/>
      </c>
      <c r="Q179" s="108">
        <f t="shared" si="998"/>
        <v>0.39764128441565805</v>
      </c>
      <c r="R179" s="108">
        <f t="shared" si="998"/>
        <v>0.4002958342935104</v>
      </c>
      <c r="S179" s="108">
        <f t="shared" si="998"/>
        <v>0.40587346654390233</v>
      </c>
      <c r="T179" s="108">
        <f t="shared" si="998"/>
        <v>0.39736417014605868</v>
      </c>
      <c r="U179" s="108">
        <f t="shared" si="998"/>
        <v>0.40326567684596087</v>
      </c>
      <c r="V179" s="108">
        <f t="shared" si="998"/>
        <v>0.40283471758496953</v>
      </c>
      <c r="W179" s="108">
        <f t="shared" si="998"/>
        <v>0.40699787110191787</v>
      </c>
      <c r="X179" s="108">
        <f t="shared" si="998"/>
        <v>0.40710976287561274</v>
      </c>
      <c r="Y179" s="108">
        <f t="shared" si="998"/>
        <v>0.40906167499407181</v>
      </c>
      <c r="Z179" s="108">
        <f t="shared" si="998"/>
        <v>0.41293288367998054</v>
      </c>
      <c r="AA179" s="108">
        <f t="shared" si="998"/>
        <v>0.40618309267922587</v>
      </c>
      <c r="AB179" s="108">
        <f t="shared" si="998"/>
        <v>0.39109560563684004</v>
      </c>
      <c r="AC179" s="108">
        <f t="shared" si="998"/>
        <v>0.41293288367998054</v>
      </c>
      <c r="AD179" s="108">
        <f t="shared" si="998"/>
        <v>0.40617473401401988</v>
      </c>
      <c r="AE179" s="108">
        <f t="shared" si="998"/>
        <v>0.39440352975960263</v>
      </c>
      <c r="AF179" s="108">
        <f t="shared" si="998"/>
        <v>0.40809276216611051</v>
      </c>
      <c r="AG179" s="108">
        <f t="shared" si="998"/>
        <v>0.38680255766160021</v>
      </c>
      <c r="AH179" s="108">
        <f t="shared" si="998"/>
        <v>0.39061584713546488</v>
      </c>
      <c r="AI179" s="108" t="str">
        <f t="shared" si="998"/>
        <v/>
      </c>
      <c r="AJ179" s="108">
        <f t="shared" si="998"/>
        <v>0.40360534592326125</v>
      </c>
      <c r="AK179" s="108">
        <f t="shared" si="998"/>
        <v>0.3908982415246442</v>
      </c>
      <c r="AL179" s="108">
        <f t="shared" si="998"/>
        <v>0.40007054907586626</v>
      </c>
      <c r="AM179" s="108">
        <f t="shared" si="998"/>
        <v>0.41080648423546506</v>
      </c>
      <c r="AN179" s="108">
        <f t="shared" si="998"/>
        <v>0.40003016029821009</v>
      </c>
    </row>
    <row r="180" spans="1:40">
      <c r="A180" s="74"/>
      <c r="B180" s="242"/>
      <c r="C180" s="242"/>
      <c r="D180" s="242"/>
      <c r="E180" s="59" t="str">
        <f t="shared" si="934"/>
        <v>y</v>
      </c>
      <c r="F180" s="60">
        <f t="shared" si="670"/>
        <v>0.39393082309705435</v>
      </c>
      <c r="G180" s="60">
        <f t="shared" si="671"/>
        <v>4.6749305391074981E-3</v>
      </c>
      <c r="H180" s="242"/>
      <c r="I180" s="108" t="str">
        <f>IF(I$54,I173/SUM(I172:I174),"")</f>
        <v/>
      </c>
      <c r="J180" s="108" t="str">
        <f t="shared" ref="J180:AN180" si="999">IF(J$54,J173/SUM(J172:J174),"")</f>
        <v/>
      </c>
      <c r="K180" s="108">
        <f t="shared" si="999"/>
        <v>0.3875330330100008</v>
      </c>
      <c r="L180" s="108">
        <f t="shared" si="999"/>
        <v>0.39183442947726155</v>
      </c>
      <c r="M180" s="108" t="str">
        <f t="shared" si="999"/>
        <v/>
      </c>
      <c r="N180" s="108">
        <f t="shared" si="999"/>
        <v>0.39174781317774965</v>
      </c>
      <c r="O180" s="108">
        <f t="shared" si="999"/>
        <v>0.39110816993711406</v>
      </c>
      <c r="P180" s="108" t="str">
        <f t="shared" si="999"/>
        <v/>
      </c>
      <c r="Q180" s="108">
        <f t="shared" si="999"/>
        <v>0.39174781317774965</v>
      </c>
      <c r="R180" s="108">
        <f t="shared" si="999"/>
        <v>0.39343082756364478</v>
      </c>
      <c r="S180" s="108">
        <f t="shared" si="999"/>
        <v>0.39696215489289699</v>
      </c>
      <c r="T180" s="108">
        <f t="shared" si="999"/>
        <v>0.39163866885379434</v>
      </c>
      <c r="U180" s="108">
        <f t="shared" si="999"/>
        <v>0.39538029784859358</v>
      </c>
      <c r="V180" s="108">
        <f t="shared" si="999"/>
        <v>0.39503572555371774</v>
      </c>
      <c r="W180" s="108">
        <f t="shared" si="999"/>
        <v>0.39784850279385731</v>
      </c>
      <c r="X180" s="108">
        <f t="shared" si="999"/>
        <v>0.39782566939989794</v>
      </c>
      <c r="Y180" s="108">
        <f t="shared" si="999"/>
        <v>0.39908327286733025</v>
      </c>
      <c r="Z180" s="108">
        <f t="shared" si="999"/>
        <v>0.40155398986244195</v>
      </c>
      <c r="AA180" s="108">
        <f t="shared" si="999"/>
        <v>0.39725521820298931</v>
      </c>
      <c r="AB180" s="108">
        <f t="shared" si="999"/>
        <v>0.38742699608151648</v>
      </c>
      <c r="AC180" s="108">
        <f t="shared" si="999"/>
        <v>0.40155398986244195</v>
      </c>
      <c r="AD180" s="108">
        <f t="shared" si="999"/>
        <v>0.39715811590183109</v>
      </c>
      <c r="AE180" s="108">
        <f t="shared" si="999"/>
        <v>0.38954689070497822</v>
      </c>
      <c r="AF180" s="108">
        <f t="shared" si="999"/>
        <v>0.39840570739154907</v>
      </c>
      <c r="AG180" s="108">
        <f t="shared" si="999"/>
        <v>0.38478796574713686</v>
      </c>
      <c r="AH180" s="108">
        <f t="shared" si="999"/>
        <v>0.38729360717151856</v>
      </c>
      <c r="AI180" s="108" t="str">
        <f t="shared" si="999"/>
        <v/>
      </c>
      <c r="AJ180" s="108">
        <f t="shared" si="999"/>
        <v>0.39560088634158053</v>
      </c>
      <c r="AK180" s="108">
        <f t="shared" si="999"/>
        <v>0.38747670628459574</v>
      </c>
      <c r="AL180" s="108">
        <f t="shared" si="999"/>
        <v>0.39344216787800468</v>
      </c>
      <c r="AM180" s="108">
        <f t="shared" si="999"/>
        <v>0.40012718902786376</v>
      </c>
      <c r="AN180" s="108">
        <f t="shared" si="999"/>
        <v>0.39332641460840906</v>
      </c>
    </row>
    <row r="181" spans="1:40">
      <c r="A181" s="74"/>
      <c r="B181" s="242"/>
      <c r="C181" s="242"/>
      <c r="D181" s="242"/>
      <c r="E181" s="59" t="str">
        <f t="shared" si="934"/>
        <v>CCT</v>
      </c>
      <c r="F181" s="75">
        <f t="shared" si="670"/>
        <v>3644.9259259259261</v>
      </c>
      <c r="G181" s="75">
        <f t="shared" si="671"/>
        <v>131.58995926330581</v>
      </c>
      <c r="H181" s="242"/>
      <c r="I181" s="109" t="str">
        <f>IF(I$54,getCCTfromXY(I179,I180,0),"")</f>
        <v/>
      </c>
      <c r="J181" s="109" t="str">
        <f t="shared" ref="J181" si="1000">IF(J$54,getCCTfromXY(J179,J180,0),"")</f>
        <v/>
      </c>
      <c r="K181" s="109">
        <f t="shared" ref="K181" si="1001">IF(K$54,getCCTfromXY(K179,K180,0),"")</f>
        <v>3827</v>
      </c>
      <c r="L181" s="109">
        <f t="shared" ref="L181" si="1002">IF(L$54,getCCTfromXY(L179,L180,0),"")</f>
        <v>3698</v>
      </c>
      <c r="M181" s="109" t="str">
        <f t="shared" ref="M181" si="1003">IF(M$54,getCCTfromXY(M179,M180,0),"")</f>
        <v/>
      </c>
      <c r="N181" s="109">
        <f t="shared" ref="N181" si="1004">IF(N$54,getCCTfromXY(N179,N180,0),"")</f>
        <v>3702</v>
      </c>
      <c r="O181" s="109">
        <f t="shared" ref="O181" si="1005">IF(O$54,getCCTfromXY(O179,O180,0),"")</f>
        <v>3715</v>
      </c>
      <c r="P181" s="109" t="str">
        <f t="shared" ref="P181" si="1006">IF(P$54,getCCTfromXY(P179,P180,0),"")</f>
        <v/>
      </c>
      <c r="Q181" s="109">
        <f t="shared" ref="Q181" si="1007">IF(Q$54,getCCTfromXY(Q179,Q180,0),"")</f>
        <v>3702</v>
      </c>
      <c r="R181" s="109">
        <f t="shared" ref="R181" si="1008">IF(R$54,getCCTfromXY(R179,R180,0),"")</f>
        <v>3653</v>
      </c>
      <c r="S181" s="109">
        <f t="shared" ref="S181" si="1009">IF(S$54,getCCTfromXY(S179,S180,0),"")</f>
        <v>3555</v>
      </c>
      <c r="T181" s="109">
        <f t="shared" ref="T181" si="1010">IF(T$54,getCCTfromXY(T179,T180,0),"")</f>
        <v>3708</v>
      </c>
      <c r="U181" s="109">
        <f t="shared" ref="U181" si="1011">IF(U$54,getCCTfromXY(U179,U180,0),"")</f>
        <v>3601</v>
      </c>
      <c r="V181" s="109">
        <f t="shared" ref="V181" si="1012">IF(V$54,getCCTfromXY(V179,V180,0),"")</f>
        <v>3608</v>
      </c>
      <c r="W181" s="109">
        <f t="shared" ref="W181" si="1013">IF(W$54,getCCTfromXY(W179,W180,0),"")</f>
        <v>3538</v>
      </c>
      <c r="X181" s="109">
        <f t="shared" ref="X181" si="1014">IF(X$54,getCCTfromXY(X179,X180,0),"")</f>
        <v>3535</v>
      </c>
      <c r="Y181" s="109">
        <f t="shared" ref="Y181" si="1015">IF(Y$54,getCCTfromXY(Y179,Y180,0),"")</f>
        <v>3503</v>
      </c>
      <c r="Z181" s="109">
        <f t="shared" ref="Z181" si="1016">IF(Z$54,getCCTfromXY(Z179,Z180,0),"")</f>
        <v>3441</v>
      </c>
      <c r="AA181" s="109">
        <f t="shared" ref="AA181" si="1017">IF(AA$54,getCCTfromXY(AA179,AA180,0),"")</f>
        <v>3551</v>
      </c>
      <c r="AB181" s="109">
        <f t="shared" ref="AB181" si="1018">IF(AB$54,getCCTfromXY(AB179,AB180,0),"")</f>
        <v>3828</v>
      </c>
      <c r="AC181" s="109">
        <f t="shared" ref="AC181" si="1019">IF(AC$54,getCCTfromXY(AC179,AC180,0),"")</f>
        <v>3441</v>
      </c>
      <c r="AD181" s="109">
        <f t="shared" ref="AD181" si="1020">IF(AD$54,getCCTfromXY(AD179,AD180,0),"")</f>
        <v>3550</v>
      </c>
      <c r="AE181" s="109">
        <f t="shared" ref="AE181" si="1021">IF(AE$54,getCCTfromXY(AE179,AE180,0),"")</f>
        <v>3763</v>
      </c>
      <c r="AF181" s="109">
        <f t="shared" ref="AF181" si="1022">IF(AF$54,getCCTfromXY(AF179,AF180,0),"")</f>
        <v>3518</v>
      </c>
      <c r="AG181" s="109">
        <f t="shared" ref="AG181" si="1023">IF(AG$54,getCCTfromXY(AG179,AG180,0),"")</f>
        <v>3917</v>
      </c>
      <c r="AH181" s="109">
        <f t="shared" ref="AH181" si="1024">IF(AH$54,getCCTfromXY(AH179,AH180,0),"")</f>
        <v>3839</v>
      </c>
      <c r="AI181" s="109" t="str">
        <f t="shared" ref="AI181" si="1025">IF(AI$54,getCCTfromXY(AI179,AI180,0),"")</f>
        <v/>
      </c>
      <c r="AJ181" s="109">
        <f t="shared" ref="AJ181" si="1026">IF(AJ$54,getCCTfromXY(AJ179,AJ180,0),"")</f>
        <v>3595</v>
      </c>
      <c r="AK181" s="109">
        <f t="shared" ref="AK181" si="1027">IF(AK$54,getCCTfromXY(AK179,AK180,0),"")</f>
        <v>3833</v>
      </c>
      <c r="AL181" s="109">
        <f t="shared" ref="AL181" si="1028">IF(AL$54,getCCTfromXY(AL179,AL180,0),"")</f>
        <v>3659</v>
      </c>
      <c r="AM181" s="109">
        <f t="shared" ref="AM181" si="1029">IF(AM$54,getCCTfromXY(AM179,AM180,0),"")</f>
        <v>3474</v>
      </c>
      <c r="AN181" s="109">
        <f t="shared" ref="AN181" si="1030">IF(AN$54,getCCTfromXY(AN179,AN180,0),"")</f>
        <v>3659</v>
      </c>
    </row>
    <row r="182" spans="1:40">
      <c r="A182" s="74"/>
      <c r="B182" s="242"/>
      <c r="C182" s="242"/>
      <c r="D182" s="242"/>
      <c r="E182" s="59" t="str">
        <f t="shared" si="934"/>
        <v>MK-1</v>
      </c>
      <c r="F182" s="61">
        <f t="shared" si="670"/>
        <v>274.69568844959457</v>
      </c>
      <c r="G182" s="61">
        <f t="shared" si="671"/>
        <v>9.8350138581083559</v>
      </c>
      <c r="H182" s="242"/>
      <c r="I182" s="130" t="str">
        <f>IF(I$54,10^6/I181,"")</f>
        <v/>
      </c>
      <c r="J182" s="130" t="str">
        <f t="shared" ref="J182" si="1031">IF(J$54,10^6/J181,"")</f>
        <v/>
      </c>
      <c r="K182" s="130">
        <f t="shared" ref="K182" si="1032">IF(K$54,10^6/K181,"")</f>
        <v>261.30128037627384</v>
      </c>
      <c r="L182" s="130">
        <f t="shared" ref="L182" si="1033">IF(L$54,10^6/L181,"")</f>
        <v>270.41644131963221</v>
      </c>
      <c r="M182" s="130" t="str">
        <f t="shared" ref="M182" si="1034">IF(M$54,10^6/M181,"")</f>
        <v/>
      </c>
      <c r="N182" s="130">
        <f t="shared" ref="N182" si="1035">IF(N$54,10^6/N181,"")</f>
        <v>270.12425715829283</v>
      </c>
      <c r="O182" s="130">
        <f t="shared" ref="O182" si="1036">IF(O$54,10^6/O181,"")</f>
        <v>269.17900403768505</v>
      </c>
      <c r="P182" s="130" t="str">
        <f t="shared" ref="P182" si="1037">IF(P$54,10^6/P181,"")</f>
        <v/>
      </c>
      <c r="Q182" s="130">
        <f t="shared" ref="Q182" si="1038">IF(Q$54,10^6/Q181,"")</f>
        <v>270.12425715829283</v>
      </c>
      <c r="R182" s="130">
        <f t="shared" ref="R182" si="1039">IF(R$54,10^6/R181,"")</f>
        <v>273.74760470845882</v>
      </c>
      <c r="S182" s="130">
        <f t="shared" ref="S182" si="1040">IF(S$54,10^6/S181,"")</f>
        <v>281.29395218002816</v>
      </c>
      <c r="T182" s="130">
        <f t="shared" ref="T182" si="1041">IF(T$54,10^6/T181,"")</f>
        <v>269.6871628910464</v>
      </c>
      <c r="U182" s="130">
        <f t="shared" ref="U182" si="1042">IF(U$54,10^6/U181,"")</f>
        <v>277.70063871146903</v>
      </c>
      <c r="V182" s="130">
        <f t="shared" ref="V182" si="1043">IF(V$54,10^6/V181,"")</f>
        <v>277.16186252771621</v>
      </c>
      <c r="W182" s="130">
        <f t="shared" ref="W182" si="1044">IF(W$54,10^6/W181,"")</f>
        <v>282.6455624646693</v>
      </c>
      <c r="X182" s="130">
        <f t="shared" ref="X182" si="1045">IF(X$54,10^6/X181,"")</f>
        <v>282.88543140028287</v>
      </c>
      <c r="Y182" s="130">
        <f t="shared" ref="Y182" si="1046">IF(Y$54,10^6/Y181,"")</f>
        <v>285.46959748786753</v>
      </c>
      <c r="Z182" s="130">
        <f t="shared" ref="Z182" si="1047">IF(Z$54,10^6/Z181,"")</f>
        <v>290.6131938390003</v>
      </c>
      <c r="AA182" s="130">
        <f t="shared" ref="AA182" si="1048">IF(AA$54,10^6/AA181,"")</f>
        <v>281.61081385525205</v>
      </c>
      <c r="AB182" s="130">
        <f t="shared" ref="AB182" si="1049">IF(AB$54,10^6/AB181,"")</f>
        <v>261.23301985370949</v>
      </c>
      <c r="AC182" s="130">
        <f t="shared" ref="AC182" si="1050">IF(AC$54,10^6/AC181,"")</f>
        <v>290.6131938390003</v>
      </c>
      <c r="AD182" s="130">
        <f t="shared" ref="AD182" si="1051">IF(AD$54,10^6/AD181,"")</f>
        <v>281.6901408450704</v>
      </c>
      <c r="AE182" s="130">
        <f t="shared" ref="AE182" si="1052">IF(AE$54,10^6/AE181,"")</f>
        <v>265.74541589157587</v>
      </c>
      <c r="AF182" s="130">
        <f t="shared" ref="AF182" si="1053">IF(AF$54,10^6/AF181,"")</f>
        <v>284.25241614553721</v>
      </c>
      <c r="AG182" s="130">
        <f t="shared" ref="AG182" si="1054">IF(AG$54,10^6/AG181,"")</f>
        <v>255.29742149604289</v>
      </c>
      <c r="AH182" s="130">
        <f t="shared" ref="AH182" si="1055">IF(AH$54,10^6/AH181,"")</f>
        <v>260.48450117218027</v>
      </c>
      <c r="AI182" s="130" t="str">
        <f t="shared" ref="AI182" si="1056">IF(AI$54,10^6/AI181,"")</f>
        <v/>
      </c>
      <c r="AJ182" s="130">
        <f t="shared" ref="AJ182" si="1057">IF(AJ$54,10^6/AJ181,"")</f>
        <v>278.16411682892908</v>
      </c>
      <c r="AK182" s="130">
        <f t="shared" ref="AK182" si="1058">IF(AK$54,10^6/AK181,"")</f>
        <v>260.89225150013044</v>
      </c>
      <c r="AL182" s="130">
        <f t="shared" ref="AL182" si="1059">IF(AL$54,10^6/AL181,"")</f>
        <v>273.29871549603718</v>
      </c>
      <c r="AM182" s="130">
        <f t="shared" ref="AM182" si="1060">IF(AM$54,10^6/AM181,"")</f>
        <v>287.85261945883707</v>
      </c>
      <c r="AN182" s="130">
        <f t="shared" ref="AN182" si="1061">IF(AN$54,10^6/AN181,"")</f>
        <v>273.29871549603718</v>
      </c>
    </row>
    <row r="183" spans="1:40">
      <c r="A183" s="74"/>
      <c r="B183" s="242"/>
      <c r="C183" s="242" t="str">
        <f>C161</f>
        <v>Error</v>
      </c>
      <c r="D183" s="59" t="str">
        <f>C175</f>
        <v>LO</v>
      </c>
      <c r="E183" s="242" t="str">
        <f>E161</f>
        <v>Δxy</v>
      </c>
      <c r="F183" s="60">
        <f t="shared" si="670"/>
        <v>1.9654037595441442E-2</v>
      </c>
      <c r="G183" s="60">
        <f t="shared" si="671"/>
        <v>2.3654912865824478E-3</v>
      </c>
      <c r="H183" s="60">
        <f>H169/SUM(H169:H171)</f>
        <v>0.39013047409895363</v>
      </c>
      <c r="I183" s="108" t="str">
        <f>IF(I$54,((I175-$H183)^2+(I176-$H184)^2)^0.5,"")</f>
        <v/>
      </c>
      <c r="J183" s="108" t="str">
        <f t="shared" ref="J183" si="1062">IF(J$54,((J175-$H183)^2+(J176-$H184)^2)^0.5,"")</f>
        <v/>
      </c>
      <c r="K183" s="108">
        <f t="shared" ref="K183" si="1063">IF(K$54,((K175-$H183)^2+(K176-$H184)^2)^0.5,"")</f>
        <v>2.1324935213177847E-2</v>
      </c>
      <c r="L183" s="108">
        <f t="shared" ref="L183" si="1064">IF(L$54,((L175-$H183)^2+(L176-$H184)^2)^0.5,"")</f>
        <v>1.9311421654863575E-2</v>
      </c>
      <c r="M183" s="108" t="str">
        <f t="shared" ref="M183" si="1065">IF(M$54,((M175-$H183)^2+(M176-$H184)^2)^0.5,"")</f>
        <v/>
      </c>
      <c r="N183" s="108">
        <f t="shared" ref="N183" si="1066">IF(N$54,((N175-$H183)^2+(N176-$H184)^2)^0.5,"")</f>
        <v>1.8132831559426417E-2</v>
      </c>
      <c r="O183" s="108">
        <f t="shared" ref="O183" si="1067">IF(O$54,((O175-$H183)^2+(O176-$H184)^2)^0.5,"")</f>
        <v>1.9346378076413762E-2</v>
      </c>
      <c r="P183" s="108" t="str">
        <f t="shared" ref="P183" si="1068">IF(P$54,((P175-$H183)^2+(P176-$H184)^2)^0.5,"")</f>
        <v/>
      </c>
      <c r="Q183" s="108">
        <f t="shared" ref="Q183" si="1069">IF(Q$54,((Q175-$H183)^2+(Q176-$H184)^2)^0.5,"")</f>
        <v>1.934089224524424E-2</v>
      </c>
      <c r="R183" s="108">
        <f t="shared" ref="R183" si="1070">IF(R$54,((R175-$H183)^2+(R176-$H184)^2)^0.5,"")</f>
        <v>1.7941443682440359E-2</v>
      </c>
      <c r="S183" s="108">
        <f t="shared" ref="S183" si="1071">IF(S$54,((S175-$H183)^2+(S176-$H184)^2)^0.5,"")</f>
        <v>1.827472488705862E-2</v>
      </c>
      <c r="T183" s="108">
        <f t="shared" ref="T183" si="1072">IF(T$54,((T175-$H183)^2+(T176-$H184)^2)^0.5,"")</f>
        <v>1.8479122778016086E-2</v>
      </c>
      <c r="U183" s="108">
        <f t="shared" ref="U183" si="1073">IF(U$54,((U175-$H183)^2+(U176-$H184)^2)^0.5,"")</f>
        <v>1.8235635712911723E-2</v>
      </c>
      <c r="V183" s="108">
        <f t="shared" ref="V183" si="1074">IF(V$54,((V175-$H183)^2+(V176-$H184)^2)^0.5,"")</f>
        <v>1.7910027327035713E-2</v>
      </c>
      <c r="W183" s="108">
        <f t="shared" ref="W183" si="1075">IF(W$54,((W175-$H183)^2+(W176-$H184)^2)^0.5,"")</f>
        <v>1.7904051107411462E-2</v>
      </c>
      <c r="X183" s="108">
        <f t="shared" ref="X183" si="1076">IF(X$54,((X175-$H183)^2+(X176-$H184)^2)^0.5,"")</f>
        <v>1.8310103369897954E-2</v>
      </c>
      <c r="Y183" s="108">
        <f t="shared" ref="Y183" si="1077">IF(Y$54,((Y175-$H183)^2+(Y176-$H184)^2)^0.5,"")</f>
        <v>1.8859194350818422E-2</v>
      </c>
      <c r="Z183" s="108">
        <f t="shared" ref="Z183" si="1078">IF(Z$54,((Z175-$H183)^2+(Z176-$H184)^2)^0.5,"")</f>
        <v>2.0225701544698018E-2</v>
      </c>
      <c r="AA183" s="108">
        <f t="shared" ref="AA183" si="1079">IF(AA$54,((AA175-$H183)^2+(AA176-$H184)^2)^0.5,"")</f>
        <v>1.892774010370633E-2</v>
      </c>
      <c r="AB183" s="108">
        <f t="shared" ref="AB183" si="1080">IF(AB$54,((AB175-$H183)^2+(AB176-$H184)^2)^0.5,"")</f>
        <v>2.1177678595191481E-2</v>
      </c>
      <c r="AC183" s="108">
        <f t="shared" ref="AC183" si="1081">IF(AC$54,((AC175-$H183)^2+(AC176-$H184)^2)^0.5,"")</f>
        <v>1.8842493462424975E-2</v>
      </c>
      <c r="AD183" s="108">
        <f t="shared" ref="AD183" si="1082">IF(AD$54,((AD175-$H183)^2+(AD176-$H184)^2)^0.5,"")</f>
        <v>1.8076696996434671E-2</v>
      </c>
      <c r="AE183" s="108">
        <f t="shared" ref="AE183" si="1083">IF(AE$54,((AE175-$H183)^2+(AE176-$H184)^2)^0.5,"")</f>
        <v>1.9523148793532907E-2</v>
      </c>
      <c r="AF183" s="108">
        <f t="shared" ref="AF183" si="1084">IF(AF$54,((AF175-$H183)^2+(AF176-$H184)^2)^0.5,"")</f>
        <v>1.9309570071144831E-2</v>
      </c>
      <c r="AG183" s="108">
        <f t="shared" ref="AG183" si="1085">IF(AG$54,((AG175-$H183)^2+(AG176-$H184)^2)^0.5,"")</f>
        <v>2.7642047897671856E-2</v>
      </c>
      <c r="AH183" s="108">
        <f t="shared" ref="AH183" si="1086">IF(AH$54,((AH175-$H183)^2+(AH176-$H184)^2)^0.5,"")</f>
        <v>2.5814480172960348E-2</v>
      </c>
      <c r="AI183" s="108" t="str">
        <f t="shared" ref="AI183" si="1087">IF(AI$54,((AI175-$H183)^2+(AI176-$H184)^2)^0.5,"")</f>
        <v/>
      </c>
      <c r="AJ183" s="108">
        <f t="shared" ref="AJ183" si="1088">IF(AJ$54,((AJ175-$H183)^2+(AJ176-$H184)^2)^0.5,"")</f>
        <v>1.9126937569300787E-2</v>
      </c>
      <c r="AK183" s="108">
        <f t="shared" ref="AK183" si="1089">IF(AK$54,((AK175-$H183)^2+(AK176-$H184)^2)^0.5,"")</f>
        <v>2.2885770564268323E-2</v>
      </c>
      <c r="AL183" s="108">
        <f t="shared" ref="AL183" si="1090">IF(AL$54,((AL175-$H183)^2+(AL176-$H184)^2)^0.5,"")</f>
        <v>1.868897463202469E-2</v>
      </c>
      <c r="AM183" s="108">
        <f t="shared" ref="AM183" si="1091">IF(AM$54,((AM175-$H183)^2+(AM176-$H184)^2)^0.5,"")</f>
        <v>1.9183600895994839E-2</v>
      </c>
      <c r="AN183" s="108">
        <f t="shared" ref="AN183" si="1092">IF(AN$54,((AN175-$H183)^2+(AN176-$H184)^2)^0.5,"")</f>
        <v>1.7863411812848749E-2</v>
      </c>
    </row>
    <row r="184" spans="1:40">
      <c r="A184" s="74"/>
      <c r="B184" s="242"/>
      <c r="C184" s="242"/>
      <c r="D184" s="59" t="str">
        <f>C179</f>
        <v>HI</v>
      </c>
      <c r="E184" s="242"/>
      <c r="F184" s="60">
        <f t="shared" si="670"/>
        <v>1.9805350529580518E-2</v>
      </c>
      <c r="G184" s="60">
        <f t="shared" si="671"/>
        <v>1.8559292872164378E-3</v>
      </c>
      <c r="H184" s="60">
        <f>H170/SUM(H169:H171)</f>
        <v>0.40821599276579251</v>
      </c>
      <c r="I184" s="108" t="str">
        <f>IF(I$54,((I179-$H183)^2+(I180-$H184)^2)^0.5,"")</f>
        <v/>
      </c>
      <c r="J184" s="108" t="str">
        <f t="shared" ref="J184" si="1093">IF(J$54,((J179-$H183)^2+(J180-$H184)^2)^0.5,"")</f>
        <v/>
      </c>
      <c r="K184" s="108">
        <f t="shared" ref="K184" si="1094">IF(K$54,((K179-$H183)^2+(K180-$H184)^2)^0.5,"")</f>
        <v>2.0708047896966512E-2</v>
      </c>
      <c r="L184" s="108">
        <f t="shared" ref="L184" si="1095">IF(L$54,((L179-$H183)^2+(L180-$H184)^2)^0.5,"")</f>
        <v>1.811407599985948E-2</v>
      </c>
      <c r="M184" s="108" t="str">
        <f t="shared" ref="M184" si="1096">IF(M$54,((M179-$H183)^2+(M180-$H184)^2)^0.5,"")</f>
        <v/>
      </c>
      <c r="N184" s="108">
        <f t="shared" ref="N184" si="1097">IF(N$54,((N179-$H183)^2+(N180-$H184)^2)^0.5,"")</f>
        <v>1.8100088689217662E-2</v>
      </c>
      <c r="O184" s="108">
        <f t="shared" ref="O184" si="1098">IF(O$54,((O179-$H183)^2+(O180-$H184)^2)^0.5,"")</f>
        <v>1.8388797625827166E-2</v>
      </c>
      <c r="P184" s="108" t="str">
        <f t="shared" ref="P184" si="1099">IF(P$54,((P179-$H183)^2+(P180-$H184)^2)^0.5,"")</f>
        <v/>
      </c>
      <c r="Q184" s="108">
        <f t="shared" ref="Q184" si="1100">IF(Q$54,((Q179-$H183)^2+(Q180-$H184)^2)^0.5,"")</f>
        <v>1.8100088689217662E-2</v>
      </c>
      <c r="R184" s="108">
        <f t="shared" ref="R184" si="1101">IF(R$54,((R179-$H183)^2+(R180-$H184)^2)^0.5,"")</f>
        <v>1.7942565533944122E-2</v>
      </c>
      <c r="S184" s="108">
        <f t="shared" ref="S184" si="1102">IF(S$54,((S179-$H183)^2+(S180-$H184)^2)^0.5,"")</f>
        <v>1.9351761625007929E-2</v>
      </c>
      <c r="T184" s="108">
        <f t="shared" ref="T184" si="1103">IF(T$54,((T179-$H183)^2+(T180-$H184)^2)^0.5,"")</f>
        <v>1.8086846783925876E-2</v>
      </c>
      <c r="U184" s="108">
        <f t="shared" ref="U184" si="1104">IF(U$54,((U179-$H183)^2+(U180-$H184)^2)^0.5,"")</f>
        <v>1.8365419004542024E-2</v>
      </c>
      <c r="V184" s="108">
        <f t="shared" ref="V184" si="1105">IF(V$54,((V179-$H183)^2+(V180-$H184)^2)^0.5,"")</f>
        <v>1.8306207863281531E-2</v>
      </c>
      <c r="W184" s="108">
        <f t="shared" ref="W184" si="1106">IF(W$54,((W179-$H183)^2+(W180-$H184)^2)^0.5,"")</f>
        <v>1.9798836581319226E-2</v>
      </c>
      <c r="X184" s="108">
        <f t="shared" ref="X184" si="1107">IF(X$54,((X179-$H183)^2+(X180-$H184)^2)^0.5,"")</f>
        <v>1.9906156510211524E-2</v>
      </c>
      <c r="Y184" s="108">
        <f t="shared" ref="Y184" si="1108">IF(Y$54,((Y179-$H183)^2+(Y180-$H184)^2)^0.5,"")</f>
        <v>2.1018966199009219E-2</v>
      </c>
      <c r="Z184" s="108">
        <f t="shared" ref="Z184" si="1109">IF(Z$54,((Z179-$H183)^2+(Z180-$H184)^2)^0.5,"")</f>
        <v>2.3755676487634686E-2</v>
      </c>
      <c r="AA184" s="108">
        <f t="shared" ref="AA184" si="1110">IF(AA$54,((AA179-$H183)^2+(AA180-$H184)^2)^0.5,"")</f>
        <v>1.9437724720251986E-2</v>
      </c>
      <c r="AB184" s="108">
        <f t="shared" ref="AB184" si="1111">IF(AB$54,((AB179-$H183)^2+(AB180-$H184)^2)^0.5,"")</f>
        <v>2.0811387796691085E-2</v>
      </c>
      <c r="AC184" s="108">
        <f t="shared" ref="AC184" si="1112">IF(AC$54,((AC179-$H183)^2+(AC180-$H184)^2)^0.5,"")</f>
        <v>2.3755676487634686E-2</v>
      </c>
      <c r="AD184" s="108">
        <f t="shared" ref="AD184" si="1113">IF(AD$54,((AD179-$H183)^2+(AD180-$H184)^2)^0.5,"")</f>
        <v>1.9485761903521633E-2</v>
      </c>
      <c r="AE184" s="108">
        <f t="shared" ref="AE184" si="1114">IF(AE$54,((AE179-$H183)^2+(AE180-$H184)^2)^0.5,"")</f>
        <v>1.915187657740371E-2</v>
      </c>
      <c r="AF184" s="108">
        <f t="shared" ref="AF184" si="1115">IF(AF$54,((AF179-$H183)^2+(AF180-$H184)^2)^0.5,"")</f>
        <v>2.0466692251842295E-2</v>
      </c>
      <c r="AG184" s="108">
        <f t="shared" ref="AG184" si="1116">IF(AG$54,((AG179-$H183)^2+(AG180-$H184)^2)^0.5,"")</f>
        <v>2.3663209372375215E-2</v>
      </c>
      <c r="AH184" s="108">
        <f t="shared" ref="AH184" si="1117">IF(AH$54,((AH179-$H183)^2+(AH180-$H184)^2)^0.5,"")</f>
        <v>2.0928014859036542E-2</v>
      </c>
      <c r="AI184" s="108" t="str">
        <f t="shared" ref="AI184" si="1118">IF(AI$54,((AI179-$H183)^2+(AI180-$H184)^2)^0.5,"")</f>
        <v/>
      </c>
      <c r="AJ184" s="108">
        <f t="shared" ref="AJ184" si="1119">IF(AJ$54,((AJ179-$H183)^2+(AJ180-$H184)^2)^0.5,"")</f>
        <v>1.8458414904203285E-2</v>
      </c>
      <c r="AK184" s="108">
        <f t="shared" ref="AK184" si="1120">IF(AK$54,((AK179-$H183)^2+(AK180-$H184)^2)^0.5,"")</f>
        <v>2.0753492972728778E-2</v>
      </c>
      <c r="AL184" s="108">
        <f t="shared" ref="AL184" si="1121">IF(AL$54,((AL179-$H183)^2+(AL180-$H184)^2)^0.5,"")</f>
        <v>1.780648736729577E-2</v>
      </c>
      <c r="AM184" s="108">
        <f t="shared" ref="AM184" si="1122">IF(AM$54,((AM179-$H183)^2+(AM180-$H184)^2)^0.5,"")</f>
        <v>2.2201940029552683E-2</v>
      </c>
      <c r="AN184" s="108">
        <f t="shared" ref="AN184" si="1123">IF(AN$54,((AN179-$H183)^2+(AN180-$H184)^2)^0.5,"")</f>
        <v>1.788024956617159E-2</v>
      </c>
    </row>
    <row r="185" spans="1:40">
      <c r="A185" s="74"/>
      <c r="B185" s="242"/>
      <c r="C185" s="242"/>
      <c r="D185" s="59" t="str">
        <f>D183</f>
        <v>LO</v>
      </c>
      <c r="E185" s="242" t="str">
        <f t="shared" ref="E185" si="1124">E163</f>
        <v>MK-1</v>
      </c>
      <c r="F185" s="61">
        <f t="shared" ref="F185:F210" si="1125">AVERAGE(I185:AN185)</f>
        <v>21.0070107308883</v>
      </c>
      <c r="G185" s="61">
        <f t="shared" ref="G185:G210" si="1126">STDEV(I185:AN185)</f>
        <v>9.7045443082184626</v>
      </c>
      <c r="H185" s="243">
        <f>10^6/H187</f>
        <v>250.12506253126563</v>
      </c>
      <c r="I185" s="130" t="str">
        <f>IF(I$54,I178-$H185,"")</f>
        <v/>
      </c>
      <c r="J185" s="130" t="str">
        <f t="shared" ref="J185:AN185" si="1127">IF(J$54,J178-$H185,"")</f>
        <v/>
      </c>
      <c r="K185" s="130">
        <f t="shared" si="1127"/>
        <v>9.81775004996652</v>
      </c>
      <c r="L185" s="130">
        <f t="shared" si="1127"/>
        <v>14.63532931411433</v>
      </c>
      <c r="M185" s="130" t="str">
        <f t="shared" si="1127"/>
        <v/>
      </c>
      <c r="N185" s="130">
        <f t="shared" si="1127"/>
        <v>19.853339196596124</v>
      </c>
      <c r="O185" s="130">
        <f t="shared" si="1127"/>
        <v>14.63532931411433</v>
      </c>
      <c r="P185" s="130" t="str">
        <f t="shared" si="1127"/>
        <v/>
      </c>
      <c r="Q185" s="130">
        <f t="shared" si="1127"/>
        <v>14.355233686666139</v>
      </c>
      <c r="R185" s="130">
        <f t="shared" si="1127"/>
        <v>22.651805990283748</v>
      </c>
      <c r="S185" s="130">
        <f t="shared" si="1127"/>
        <v>18.187253004017435</v>
      </c>
      <c r="T185" s="130">
        <f t="shared" si="1127"/>
        <v>28.348900153223354</v>
      </c>
      <c r="U185" s="130">
        <f t="shared" si="1127"/>
        <v>27.267447870953532</v>
      </c>
      <c r="V185" s="130">
        <f t="shared" si="1127"/>
        <v>22.651805990283748</v>
      </c>
      <c r="W185" s="130">
        <f t="shared" si="1127"/>
        <v>25.053803731805345</v>
      </c>
      <c r="X185" s="130">
        <f t="shared" si="1127"/>
        <v>27.344415826115068</v>
      </c>
      <c r="Y185" s="130">
        <f t="shared" si="1127"/>
        <v>29.67348251630014</v>
      </c>
      <c r="Z185" s="130">
        <f t="shared" si="1127"/>
        <v>33.562880731145725</v>
      </c>
      <c r="AA185" s="130">
        <f t="shared" si="1127"/>
        <v>29.908541501218252</v>
      </c>
      <c r="AB185" s="130">
        <f t="shared" si="1127"/>
        <v>10.156041060613603</v>
      </c>
      <c r="AC185" s="130">
        <f t="shared" si="1127"/>
        <v>29.595217189014107</v>
      </c>
      <c r="AD185" s="130">
        <f t="shared" si="1127"/>
        <v>25.432942428778489</v>
      </c>
      <c r="AE185" s="130">
        <f t="shared" si="1127"/>
        <v>14.425202018998931</v>
      </c>
      <c r="AF185" s="130">
        <f t="shared" si="1127"/>
        <v>31.089785612716383</v>
      </c>
      <c r="AG185" s="130">
        <f t="shared" si="1127"/>
        <v>-1.5543441618895315</v>
      </c>
      <c r="AH185" s="130">
        <f t="shared" si="1127"/>
        <v>1.3207508959408187</v>
      </c>
      <c r="AI185" s="130" t="str">
        <f t="shared" si="1127"/>
        <v/>
      </c>
      <c r="AJ185" s="130">
        <f t="shared" si="1127"/>
        <v>30.537300645832346</v>
      </c>
      <c r="AK185" s="130">
        <f t="shared" si="1127"/>
        <v>6.3509569609118728</v>
      </c>
      <c r="AL185" s="130">
        <f t="shared" si="1127"/>
        <v>29.204546407281867</v>
      </c>
      <c r="AM185" s="130">
        <f t="shared" si="1127"/>
        <v>30.773813873228761</v>
      </c>
      <c r="AN185" s="130">
        <f t="shared" si="1127"/>
        <v>21.909757925752871</v>
      </c>
    </row>
    <row r="186" spans="1:40">
      <c r="A186" s="74"/>
      <c r="B186" s="242"/>
      <c r="C186" s="242"/>
      <c r="D186" s="59" t="str">
        <f t="shared" ref="D186:D190" si="1128">D184</f>
        <v>HI</v>
      </c>
      <c r="E186" s="242"/>
      <c r="F186" s="61">
        <f t="shared" si="1125"/>
        <v>24.570625918328989</v>
      </c>
      <c r="G186" s="61">
        <f t="shared" si="1126"/>
        <v>9.8350138581068052</v>
      </c>
      <c r="H186" s="243"/>
      <c r="I186" s="130" t="str">
        <f>IF(I$54,I182-$H185,"")</f>
        <v/>
      </c>
      <c r="J186" s="130" t="str">
        <f t="shared" ref="J186" si="1129">IF(J$54,J182-$H185,"")</f>
        <v/>
      </c>
      <c r="K186" s="130">
        <f t="shared" ref="K186" si="1130">IF(K$54,K182-$H185,"")</f>
        <v>11.17621784500821</v>
      </c>
      <c r="L186" s="130">
        <f t="shared" ref="L186" si="1131">IF(L$54,L182-$H185,"")</f>
        <v>20.291378788366586</v>
      </c>
      <c r="M186" s="130" t="str">
        <f t="shared" ref="M186" si="1132">IF(M$54,M182-$H185,"")</f>
        <v/>
      </c>
      <c r="N186" s="130">
        <f t="shared" ref="N186" si="1133">IF(N$54,N182-$H185,"")</f>
        <v>19.999194627027208</v>
      </c>
      <c r="O186" s="130">
        <f t="shared" ref="O186" si="1134">IF(O$54,O182-$H185,"")</f>
        <v>19.05394150641942</v>
      </c>
      <c r="P186" s="130" t="str">
        <f t="shared" ref="P186" si="1135">IF(P$54,P182-$H185,"")</f>
        <v/>
      </c>
      <c r="Q186" s="130">
        <f t="shared" ref="Q186" si="1136">IF(Q$54,Q182-$H185,"")</f>
        <v>19.999194627027208</v>
      </c>
      <c r="R186" s="130">
        <f t="shared" ref="R186" si="1137">IF(R$54,R182-$H185,"")</f>
        <v>23.622542177193196</v>
      </c>
      <c r="S186" s="130">
        <f t="shared" ref="S186" si="1138">IF(S$54,S182-$H185,"")</f>
        <v>31.16888964876253</v>
      </c>
      <c r="T186" s="130">
        <f t="shared" ref="T186" si="1139">IF(T$54,T182-$H185,"")</f>
        <v>19.562100359780771</v>
      </c>
      <c r="U186" s="130">
        <f t="shared" ref="U186" si="1140">IF(U$54,U182-$H185,"")</f>
        <v>27.575576180203399</v>
      </c>
      <c r="V186" s="130">
        <f t="shared" ref="V186" si="1141">IF(V$54,V182-$H185,"")</f>
        <v>27.036799996450583</v>
      </c>
      <c r="W186" s="130">
        <f t="shared" ref="W186" si="1142">IF(W$54,W182-$H185,"")</f>
        <v>32.52049993340367</v>
      </c>
      <c r="X186" s="130">
        <f t="shared" ref="X186" si="1143">IF(X$54,X182-$H185,"")</f>
        <v>32.760368869017242</v>
      </c>
      <c r="Y186" s="130">
        <f t="shared" ref="Y186" si="1144">IF(Y$54,Y182-$H185,"")</f>
        <v>35.344534956601905</v>
      </c>
      <c r="Z186" s="130">
        <f t="shared" ref="Z186" si="1145">IF(Z$54,Z182-$H185,"")</f>
        <v>40.488131307734676</v>
      </c>
      <c r="AA186" s="130">
        <f t="shared" ref="AA186" si="1146">IF(AA$54,AA182-$H185,"")</f>
        <v>31.48575132398642</v>
      </c>
      <c r="AB186" s="130">
        <f t="shared" ref="AB186" si="1147">IF(AB$54,AB182-$H185,"")</f>
        <v>11.107957322443866</v>
      </c>
      <c r="AC186" s="130">
        <f t="shared" ref="AC186" si="1148">IF(AC$54,AC182-$H185,"")</f>
        <v>40.488131307734676</v>
      </c>
      <c r="AD186" s="130">
        <f t="shared" ref="AD186" si="1149">IF(AD$54,AD182-$H185,"")</f>
        <v>31.565078313804776</v>
      </c>
      <c r="AE186" s="130">
        <f t="shared" ref="AE186" si="1150">IF(AE$54,AE182-$H185,"")</f>
        <v>15.620353360310247</v>
      </c>
      <c r="AF186" s="130">
        <f t="shared" ref="AF186" si="1151">IF(AF$54,AF182-$H185,"")</f>
        <v>34.127353614271584</v>
      </c>
      <c r="AG186" s="130">
        <f t="shared" ref="AG186" si="1152">IF(AG$54,AG182-$H185,"")</f>
        <v>5.1723589647772599</v>
      </c>
      <c r="AH186" s="130">
        <f t="shared" ref="AH186" si="1153">IF(AH$54,AH182-$H185,"")</f>
        <v>10.359438640914647</v>
      </c>
      <c r="AI186" s="130" t="str">
        <f t="shared" ref="AI186" si="1154">IF(AI$54,AI182-$H185,"")</f>
        <v/>
      </c>
      <c r="AJ186" s="130">
        <f t="shared" ref="AJ186" si="1155">IF(AJ$54,AJ182-$H185,"")</f>
        <v>28.039054297663455</v>
      </c>
      <c r="AK186" s="130">
        <f t="shared" ref="AK186" si="1156">IF(AK$54,AK182-$H185,"")</f>
        <v>10.767188968864815</v>
      </c>
      <c r="AL186" s="130">
        <f t="shared" ref="AL186" si="1157">IF(AL$54,AL182-$H185,"")</f>
        <v>23.173652964771549</v>
      </c>
      <c r="AM186" s="130">
        <f t="shared" ref="AM186" si="1158">IF(AM$54,AM182-$H185,"")</f>
        <v>37.727556927571442</v>
      </c>
      <c r="AN186" s="130">
        <f t="shared" ref="AN186" si="1159">IF(AN$54,AN182-$H185,"")</f>
        <v>23.173652964771549</v>
      </c>
    </row>
    <row r="187" spans="1:40">
      <c r="A187" s="74"/>
      <c r="B187" s="242"/>
      <c r="C187" s="242"/>
      <c r="D187" s="59" t="str">
        <f t="shared" si="1128"/>
        <v>LO</v>
      </c>
      <c r="E187" s="242" t="str">
        <f t="shared" ref="E187" si="1160">E165</f>
        <v>%/CCT</v>
      </c>
      <c r="F187" s="63">
        <f t="shared" si="1125"/>
        <v>-8.3986028902091392E-2</v>
      </c>
      <c r="G187" s="63">
        <f t="shared" si="1126"/>
        <v>3.8798768144257381E-2</v>
      </c>
      <c r="H187" s="242">
        <f>getCCTfromXY(H183,H184,0)</f>
        <v>3998</v>
      </c>
      <c r="I187" s="91" t="str">
        <f>IF(I$54,1-$H187/I177,"")</f>
        <v/>
      </c>
      <c r="J187" s="91" t="str">
        <f t="shared" ref="J187:AN187" si="1161">IF(J$54,1-$H187/J177,"")</f>
        <v/>
      </c>
      <c r="K187" s="91">
        <f t="shared" si="1161"/>
        <v>-3.9251364699766089E-2</v>
      </c>
      <c r="L187" s="91">
        <f t="shared" si="1161"/>
        <v>-5.8512046597829048E-2</v>
      </c>
      <c r="M187" s="91" t="str">
        <f t="shared" si="1161"/>
        <v/>
      </c>
      <c r="N187" s="91">
        <f t="shared" si="1161"/>
        <v>-7.9373650107991356E-2</v>
      </c>
      <c r="O187" s="91">
        <f t="shared" si="1161"/>
        <v>-5.8512046597829048E-2</v>
      </c>
      <c r="P187" s="91" t="str">
        <f t="shared" si="1161"/>
        <v/>
      </c>
      <c r="Q187" s="91">
        <f t="shared" si="1161"/>
        <v>-5.7392224279291248E-2</v>
      </c>
      <c r="R187" s="91">
        <f t="shared" si="1161"/>
        <v>-9.0561920349154335E-2</v>
      </c>
      <c r="S187" s="91">
        <f t="shared" si="1161"/>
        <v>-7.2712637510061739E-2</v>
      </c>
      <c r="T187" s="91">
        <f t="shared" si="1161"/>
        <v>-0.11333890281258707</v>
      </c>
      <c r="U187" s="91">
        <f t="shared" si="1161"/>
        <v>-0.10901525658807221</v>
      </c>
      <c r="V187" s="91">
        <f t="shared" si="1161"/>
        <v>-9.0561920349154335E-2</v>
      </c>
      <c r="W187" s="91">
        <f t="shared" si="1161"/>
        <v>-0.10016510731975781</v>
      </c>
      <c r="X187" s="91">
        <f t="shared" si="1161"/>
        <v>-0.10932297447280792</v>
      </c>
      <c r="Y187" s="91">
        <f t="shared" si="1161"/>
        <v>-0.11863458310016783</v>
      </c>
      <c r="Z187" s="91">
        <f t="shared" si="1161"/>
        <v>-0.13418439716312047</v>
      </c>
      <c r="AA187" s="91">
        <f t="shared" si="1161"/>
        <v>-0.11957434892187058</v>
      </c>
      <c r="AB187" s="91">
        <f t="shared" si="1161"/>
        <v>-4.0603852160333131E-2</v>
      </c>
      <c r="AC187" s="91">
        <f t="shared" si="1161"/>
        <v>-0.11832167832167828</v>
      </c>
      <c r="AD187" s="91">
        <f t="shared" si="1161"/>
        <v>-0.10168090383025619</v>
      </c>
      <c r="AE187" s="91">
        <f t="shared" si="1161"/>
        <v>-5.7671957671957763E-2</v>
      </c>
      <c r="AF187" s="91">
        <f t="shared" si="1161"/>
        <v>-0.12429696287963998</v>
      </c>
      <c r="AG187" s="91">
        <f t="shared" si="1161"/>
        <v>6.2142679592344097E-3</v>
      </c>
      <c r="AH187" s="91">
        <f t="shared" si="1161"/>
        <v>-5.280362081971246E-3</v>
      </c>
      <c r="AI187" s="91" t="str">
        <f t="shared" si="1161"/>
        <v/>
      </c>
      <c r="AJ187" s="91">
        <f t="shared" si="1161"/>
        <v>-0.12208812798203761</v>
      </c>
      <c r="AK187" s="91">
        <f t="shared" si="1161"/>
        <v>-2.5391125929725478E-2</v>
      </c>
      <c r="AL187" s="91">
        <f t="shared" si="1161"/>
        <v>-0.11675977653631286</v>
      </c>
      <c r="AM187" s="91">
        <f t="shared" si="1161"/>
        <v>-0.12303370786516843</v>
      </c>
      <c r="AN187" s="91">
        <f t="shared" si="1161"/>
        <v>-8.7595212187159932E-2</v>
      </c>
    </row>
    <row r="188" spans="1:40">
      <c r="A188" s="74"/>
      <c r="B188" s="242"/>
      <c r="C188" s="242"/>
      <c r="D188" s="59" t="str">
        <f t="shared" si="1128"/>
        <v>HI</v>
      </c>
      <c r="E188" s="242"/>
      <c r="F188" s="63">
        <f t="shared" si="1125"/>
        <v>-9.8233362421479259E-2</v>
      </c>
      <c r="G188" s="63">
        <f t="shared" si="1126"/>
        <v>3.9320385404711021E-2</v>
      </c>
      <c r="H188" s="242"/>
      <c r="I188" s="91" t="str">
        <f>IF(I$54,1-$H187/I181,"")</f>
        <v/>
      </c>
      <c r="J188" s="91" t="str">
        <f t="shared" ref="J188" si="1162">IF(J$54,1-$H187/J181,"")</f>
        <v/>
      </c>
      <c r="K188" s="91">
        <f t="shared" ref="K188" si="1163">IF(K$54,1-$H187/K181,"")</f>
        <v>-4.468251894434272E-2</v>
      </c>
      <c r="L188" s="91">
        <f t="shared" ref="L188" si="1164">IF(L$54,1-$H187/L181,"")</f>
        <v>-8.1124932395889582E-2</v>
      </c>
      <c r="M188" s="91" t="str">
        <f t="shared" ref="M188" si="1165">IF(M$54,1-$H187/M181,"")</f>
        <v/>
      </c>
      <c r="N188" s="91">
        <f t="shared" ref="N188" si="1166">IF(N$54,1-$H187/N181,"")</f>
        <v>-7.9956780118854764E-2</v>
      </c>
      <c r="O188" s="91">
        <f t="shared" ref="O188" si="1167">IF(O$54,1-$H187/O181,"")</f>
        <v>-7.6177658142664972E-2</v>
      </c>
      <c r="P188" s="91" t="str">
        <f t="shared" ref="P188" si="1168">IF(P$54,1-$H187/P181,"")</f>
        <v/>
      </c>
      <c r="Q188" s="91">
        <f t="shared" ref="Q188" si="1169">IF(Q$54,1-$H187/Q181,"")</f>
        <v>-7.9956780118854764E-2</v>
      </c>
      <c r="R188" s="91">
        <f t="shared" ref="R188" si="1170">IF(R$54,1-$H187/R181,"")</f>
        <v>-9.4442923624418196E-2</v>
      </c>
      <c r="S188" s="91">
        <f t="shared" ref="S188" si="1171">IF(S$54,1-$H187/S181,"")</f>
        <v>-0.12461322081575243</v>
      </c>
      <c r="T188" s="91">
        <f t="shared" ref="T188" si="1172">IF(T$54,1-$H187/T181,"")</f>
        <v>-7.8209277238403541E-2</v>
      </c>
      <c r="U188" s="91">
        <f t="shared" ref="U188" si="1173">IF(U$54,1-$H187/U181,"")</f>
        <v>-0.11024715356845327</v>
      </c>
      <c r="V188" s="91">
        <f t="shared" ref="V188" si="1174">IF(V$54,1-$H187/V181,"")</f>
        <v>-0.10809312638580937</v>
      </c>
      <c r="W188" s="91">
        <f t="shared" ref="W188" si="1175">IF(W$54,1-$H187/W181,"")</f>
        <v>-0.13001695873374786</v>
      </c>
      <c r="X188" s="91">
        <f t="shared" ref="X188" si="1176">IF(X$54,1-$H187/X181,"")</f>
        <v>-0.1309759547383309</v>
      </c>
      <c r="Y188" s="91">
        <f t="shared" ref="Y188" si="1177">IF(Y$54,1-$H187/Y181,"")</f>
        <v>-0.14130745075649442</v>
      </c>
      <c r="Z188" s="91">
        <f t="shared" ref="Z188" si="1178">IF(Z$54,1-$H187/Z181,"")</f>
        <v>-0.16187154896832312</v>
      </c>
      <c r="AA188" s="91">
        <f t="shared" ref="AA188" si="1179">IF(AA$54,1-$H187/AA181,"")</f>
        <v>-0.12588003379329771</v>
      </c>
      <c r="AB188" s="91">
        <f t="shared" ref="AB188" si="1180">IF(AB$54,1-$H187/AB181,"")</f>
        <v>-4.4409613375130608E-2</v>
      </c>
      <c r="AC188" s="91">
        <f t="shared" ref="AC188" si="1181">IF(AC$54,1-$H187/AC181,"")</f>
        <v>-0.16187154896832312</v>
      </c>
      <c r="AD188" s="91">
        <f t="shared" ref="AD188" si="1182">IF(AD$54,1-$H187/AD181,"")</f>
        <v>-0.12619718309859151</v>
      </c>
      <c r="AE188" s="91">
        <f t="shared" ref="AE188" si="1183">IF(AE$54,1-$H187/AE181,"")</f>
        <v>-6.2450172734520359E-2</v>
      </c>
      <c r="AF188" s="91">
        <f t="shared" ref="AF188" si="1184">IF(AF$54,1-$H187/AF181,"")</f>
        <v>-0.13644115974985782</v>
      </c>
      <c r="AG188" s="91">
        <f t="shared" ref="AG188" si="1185">IF(AG$54,1-$H187/AG181,"")</f>
        <v>-2.0679091141179384E-2</v>
      </c>
      <c r="AH188" s="91">
        <f t="shared" ref="AH188" si="1186">IF(AH$54,1-$H187/AH181,"")</f>
        <v>-4.1417035686376558E-2</v>
      </c>
      <c r="AI188" s="91" t="str">
        <f t="shared" ref="AI188" si="1187">IF(AI$54,1-$H187/AI181,"")</f>
        <v/>
      </c>
      <c r="AJ188" s="91">
        <f t="shared" ref="AJ188" si="1188">IF(AJ$54,1-$H187/AJ181,"")</f>
        <v>-0.1121001390820584</v>
      </c>
      <c r="AK188" s="91">
        <f t="shared" ref="AK188" si="1189">IF(AK$54,1-$H187/AK181,"")</f>
        <v>-4.3047221497521493E-2</v>
      </c>
      <c r="AL188" s="91">
        <f t="shared" ref="AL188" si="1190">IF(AL$54,1-$H187/AL181,"")</f>
        <v>-9.2648264553156556E-2</v>
      </c>
      <c r="AM188" s="91">
        <f t="shared" ref="AM188" si="1191">IF(AM$54,1-$H187/AM181,"")</f>
        <v>-0.15083477259643052</v>
      </c>
      <c r="AN188" s="91">
        <f t="shared" ref="AN188" si="1192">IF(AN$54,1-$H187/AN181,"")</f>
        <v>-9.2648264553156556E-2</v>
      </c>
    </row>
    <row r="189" spans="1:40" s="64" customFormat="1">
      <c r="A189" s="74"/>
      <c r="B189" s="242"/>
      <c r="C189" s="242"/>
      <c r="D189" s="64" t="str">
        <f t="shared" si="1128"/>
        <v>LO</v>
      </c>
      <c r="E189" s="242" t="s">
        <v>85</v>
      </c>
      <c r="F189" s="63">
        <f t="shared" si="1125"/>
        <v>-0.19242110727683001</v>
      </c>
      <c r="G189" s="63">
        <f t="shared" si="1126"/>
        <v>0.14396348607240375</v>
      </c>
      <c r="H189" s="64">
        <f>H170</f>
        <v>790</v>
      </c>
      <c r="I189" s="91" t="str">
        <f>IF(I$54,1-$H189/I170,"")</f>
        <v/>
      </c>
      <c r="J189" s="91" t="str">
        <f t="shared" ref="J189:AN189" si="1193">IF(J$54,1-$H189/J170,"")</f>
        <v/>
      </c>
      <c r="K189" s="91">
        <f t="shared" si="1193"/>
        <v>-0.23031046194332827</v>
      </c>
      <c r="L189" s="91">
        <f t="shared" si="1193"/>
        <v>-4.1064722828418443E-2</v>
      </c>
      <c r="M189" s="91" t="str">
        <f t="shared" si="1193"/>
        <v/>
      </c>
      <c r="N189" s="91">
        <f t="shared" si="1193"/>
        <v>-0.14721152894781198</v>
      </c>
      <c r="O189" s="91">
        <f t="shared" si="1193"/>
        <v>-0.12223888639082281</v>
      </c>
      <c r="P189" s="91" t="str">
        <f t="shared" si="1193"/>
        <v/>
      </c>
      <c r="Q189" s="91">
        <f t="shared" si="1193"/>
        <v>-0.23043077742336227</v>
      </c>
      <c r="R189" s="91">
        <f t="shared" si="1193"/>
        <v>-0.25441257182670873</v>
      </c>
      <c r="S189" s="91">
        <f t="shared" si="1193"/>
        <v>-0.39570344690376946</v>
      </c>
      <c r="T189" s="91">
        <f t="shared" si="1193"/>
        <v>-0.16010995044825438</v>
      </c>
      <c r="U189" s="91">
        <f t="shared" si="1193"/>
        <v>-0.34648262608912228</v>
      </c>
      <c r="V189" s="91">
        <f t="shared" si="1193"/>
        <v>-0.27764387098300691</v>
      </c>
      <c r="W189" s="91">
        <f t="shared" si="1193"/>
        <v>-0.2609847244234873</v>
      </c>
      <c r="X189" s="91">
        <f t="shared" si="1193"/>
        <v>-0.41163763560447353</v>
      </c>
      <c r="Y189" s="91">
        <f t="shared" si="1193"/>
        <v>-0.11904448836542469</v>
      </c>
      <c r="Z189" s="91">
        <f t="shared" si="1193"/>
        <v>-3.7886127429556105E-3</v>
      </c>
      <c r="AA189" s="91">
        <f t="shared" si="1193"/>
        <v>-1.1658662435855005E-2</v>
      </c>
      <c r="AB189" s="91">
        <f t="shared" si="1193"/>
        <v>-4.9740518819851642E-2</v>
      </c>
      <c r="AC189" s="91">
        <f t="shared" si="1193"/>
        <v>3.6639411852161241E-2</v>
      </c>
      <c r="AD189" s="91">
        <f t="shared" si="1193"/>
        <v>-0.2546932122743264</v>
      </c>
      <c r="AE189" s="91">
        <f t="shared" si="1193"/>
        <v>-0.14557597772897135</v>
      </c>
      <c r="AF189" s="91">
        <f t="shared" si="1193"/>
        <v>-2.1570185755756643E-2</v>
      </c>
      <c r="AG189" s="91">
        <f t="shared" si="1193"/>
        <v>-0.14094787279535037</v>
      </c>
      <c r="AH189" s="91">
        <f t="shared" si="1193"/>
        <v>-0.17141214041804287</v>
      </c>
      <c r="AI189" s="91" t="str">
        <f t="shared" si="1193"/>
        <v/>
      </c>
      <c r="AJ189" s="91">
        <f t="shared" si="1193"/>
        <v>-0.35919467977953579</v>
      </c>
      <c r="AK189" s="91">
        <f t="shared" si="1193"/>
        <v>-0.10750470287146729</v>
      </c>
      <c r="AL189" s="91">
        <f t="shared" si="1193"/>
        <v>-0.51007383623538849</v>
      </c>
      <c r="AM189" s="91">
        <f t="shared" si="1193"/>
        <v>-6.7002888444587017E-2</v>
      </c>
      <c r="AN189" s="91">
        <f t="shared" si="1193"/>
        <v>-0.39157032584649043</v>
      </c>
    </row>
    <row r="190" spans="1:40" s="64" customFormat="1">
      <c r="A190" s="74"/>
      <c r="B190" s="242"/>
      <c r="C190" s="242"/>
      <c r="D190" s="64" t="str">
        <f t="shared" si="1128"/>
        <v>HI</v>
      </c>
      <c r="E190" s="242"/>
      <c r="F190" s="63">
        <f t="shared" si="1125"/>
        <v>-0.17485792496699229</v>
      </c>
      <c r="G190" s="63">
        <f t="shared" si="1126"/>
        <v>0.1511992961352116</v>
      </c>
      <c r="H190" s="75">
        <f>H189/O$20</f>
        <v>844.73040636095482</v>
      </c>
      <c r="I190" s="91" t="str">
        <f>IF(I$54,1-$H190/I173,"")</f>
        <v/>
      </c>
      <c r="J190" s="91" t="str">
        <f t="shared" ref="J190:AN190" si="1194">IF(J$54,1-$H190/J173,"")</f>
        <v/>
      </c>
      <c r="K190" s="91">
        <f t="shared" si="1194"/>
        <v>-0.21919213516341629</v>
      </c>
      <c r="L190" s="91">
        <f t="shared" si="1194"/>
        <v>-2.4200898131174764E-2</v>
      </c>
      <c r="M190" s="91" t="str">
        <f t="shared" si="1194"/>
        <v/>
      </c>
      <c r="N190" s="91">
        <f t="shared" si="1194"/>
        <v>-0.14231788504649656</v>
      </c>
      <c r="O190" s="91">
        <f t="shared" si="1194"/>
        <v>-0.14693770757775115</v>
      </c>
      <c r="P190" s="91" t="str">
        <f t="shared" si="1194"/>
        <v/>
      </c>
      <c r="Q190" s="91">
        <f t="shared" si="1194"/>
        <v>-0.14231788504649656</v>
      </c>
      <c r="R190" s="91">
        <f t="shared" si="1194"/>
        <v>-0.1754058680449293</v>
      </c>
      <c r="S190" s="91">
        <f t="shared" si="1194"/>
        <v>-0.25179119348467816</v>
      </c>
      <c r="T190" s="91">
        <f t="shared" si="1194"/>
        <v>-0.29123030365474678</v>
      </c>
      <c r="U190" s="91">
        <f t="shared" si="1194"/>
        <v>-0.38400546120444767</v>
      </c>
      <c r="V190" s="91">
        <f t="shared" si="1194"/>
        <v>-0.21433146684781135</v>
      </c>
      <c r="W190" s="91">
        <f t="shared" si="1194"/>
        <v>-0.24222078721722107</v>
      </c>
      <c r="X190" s="91">
        <f t="shared" si="1194"/>
        <v>-0.42749904822568352</v>
      </c>
      <c r="Y190" s="91">
        <f t="shared" si="1194"/>
        <v>-0.1346556578925906</v>
      </c>
      <c r="Z190" s="91">
        <f t="shared" si="1194"/>
        <v>3.6126305019067995E-2</v>
      </c>
      <c r="AA190" s="91">
        <f t="shared" si="1194"/>
        <v>-0.10379204205927084</v>
      </c>
      <c r="AB190" s="91">
        <f t="shared" si="1194"/>
        <v>4.7076882020143707E-2</v>
      </c>
      <c r="AC190" s="91">
        <f t="shared" si="1194"/>
        <v>3.6126305019067995E-2</v>
      </c>
      <c r="AD190" s="91">
        <f t="shared" si="1194"/>
        <v>-0.24768594317196224</v>
      </c>
      <c r="AE190" s="91">
        <f t="shared" si="1194"/>
        <v>-0.11541159311054416</v>
      </c>
      <c r="AF190" s="91">
        <f t="shared" si="1194"/>
        <v>-1.8037039141078903E-2</v>
      </c>
      <c r="AG190" s="91">
        <f t="shared" si="1194"/>
        <v>-0.14661812176227662</v>
      </c>
      <c r="AH190" s="91">
        <f t="shared" si="1194"/>
        <v>-5.336074276398417E-2</v>
      </c>
      <c r="AI190" s="91" t="str">
        <f t="shared" si="1194"/>
        <v/>
      </c>
      <c r="AJ190" s="91">
        <f t="shared" si="1194"/>
        <v>-0.37898895837742042</v>
      </c>
      <c r="AK190" s="91">
        <f t="shared" si="1194"/>
        <v>-5.0452330639177756E-2</v>
      </c>
      <c r="AL190" s="91">
        <f t="shared" si="1194"/>
        <v>-0.54744690445167299</v>
      </c>
      <c r="AM190" s="91">
        <f t="shared" si="1194"/>
        <v>-4.4234368794516143E-2</v>
      </c>
      <c r="AN190" s="91">
        <f t="shared" si="1194"/>
        <v>-0.33835912435772264</v>
      </c>
    </row>
    <row r="191" spans="1:40">
      <c r="A191" s="74"/>
      <c r="B191" s="242" t="str">
        <f>data0!A63</f>
        <v>D65</v>
      </c>
      <c r="C191" s="242" t="str">
        <f>data0!B63</f>
        <v>LO</v>
      </c>
      <c r="D191" s="242"/>
      <c r="E191" s="59" t="str">
        <f>E169</f>
        <v>X</v>
      </c>
      <c r="F191" s="61">
        <f t="shared" si="1125"/>
        <v>831.04305455888141</v>
      </c>
      <c r="G191" s="61">
        <f t="shared" si="1126"/>
        <v>204.97270483403781</v>
      </c>
      <c r="H191" s="59">
        <f>E16</f>
        <v>809</v>
      </c>
      <c r="I191" s="168" t="str">
        <f>IF(I$54,$V$32*($Q$32*data0!F416+$R$32*data0!F417+$S$32*data0!F418+$T$32*data0!F419),"")</f>
        <v/>
      </c>
      <c r="J191" s="168" t="str">
        <f>IF(J$54,$V$32*($Q$32*data0!G416+$R$32*data0!G417+$S$32*data0!G418+$T$32*data0!G419),"")</f>
        <v/>
      </c>
      <c r="K191" s="168">
        <f>IF(K$54,$V$32*($Q$32*data0!H416+$R$32*data0!H417+$S$32*data0!H418+$T$32*data0!H419),"")</f>
        <v>510.81234774365623</v>
      </c>
      <c r="L191" s="168">
        <f>IF(L$54,$V$32*($Q$32*data0!I416+$R$32*data0!I417+$S$32*data0!I418+$T$32*data0!I419),"")</f>
        <v>670.7860810428607</v>
      </c>
      <c r="M191" s="168" t="str">
        <f>IF(M$54,$V$32*($Q$32*data0!J416+$R$32*data0!J417+$S$32*data0!J418+$T$32*data0!J419),"")</f>
        <v/>
      </c>
      <c r="N191" s="168">
        <f>IF(N$54,$V$32*($Q$32*data0!K416+$R$32*data0!K417+$S$32*data0!K418+$T$32*data0!K419),"")</f>
        <v>891.63173579884926</v>
      </c>
      <c r="O191" s="168">
        <f>IF(O$54,$V$32*($Q$32*data0!L416+$R$32*data0!L417+$S$32*data0!L418+$T$32*data0!L419),"")</f>
        <v>769.96929555727456</v>
      </c>
      <c r="P191" s="168" t="str">
        <f>IF(P$54,$V$32*($Q$32*data0!M416+$R$32*data0!M417+$S$32*data0!M418+$T$32*data0!M419),"")</f>
        <v/>
      </c>
      <c r="Q191" s="168">
        <f>IF(Q$54,$V$32*($Q$32*data0!N416+$R$32*data0!N417+$S$32*data0!N418+$T$32*data0!N419),"")</f>
        <v>736.91430427205046</v>
      </c>
      <c r="R191" s="168">
        <f>IF(R$54,$V$32*($Q$32*data0!O416+$R$32*data0!O417+$S$32*data0!O418+$T$32*data0!O419),"")</f>
        <v>774.47960368321822</v>
      </c>
      <c r="S191" s="168">
        <f>IF(S$54,$V$32*($Q$32*data0!P416+$R$32*data0!P417+$S$32*data0!P418+$T$32*data0!P419),"")</f>
        <v>945.44263408228267</v>
      </c>
      <c r="T191" s="168">
        <f>IF(T$54,$V$32*($Q$32*data0!Q416+$R$32*data0!Q417+$S$32*data0!Q418+$T$32*data0!Q419),"")</f>
        <v>863.86300746758343</v>
      </c>
      <c r="U191" s="168">
        <f>IF(U$54,$V$32*($Q$32*data0!R416+$R$32*data0!R417+$S$32*data0!R418+$T$32*data0!R419),"")</f>
        <v>977.77103398297879</v>
      </c>
      <c r="V191" s="168">
        <f>IF(V$54,$V$32*($Q$32*data0!S416+$R$32*data0!S417+$S$32*data0!S418+$T$32*data0!S419),"")</f>
        <v>1001.3085031764988</v>
      </c>
      <c r="W191" s="168">
        <f>IF(W$54,$V$32*($Q$32*data0!T416+$R$32*data0!T417+$S$32*data0!T418+$T$32*data0!T419),"")</f>
        <v>990.41331100990135</v>
      </c>
      <c r="X191" s="168">
        <f>IF(X$54,$V$32*($Q$32*data0!U416+$R$32*data0!U417+$S$32*data0!U418+$T$32*data0!U419),"")</f>
        <v>1192.2601712740086</v>
      </c>
      <c r="Y191" s="168">
        <f>IF(Y$54,$V$32*($Q$32*data0!V416+$R$32*data0!V417+$S$32*data0!V418+$T$32*data0!V419),"")</f>
        <v>805.84387675459732</v>
      </c>
      <c r="Z191" s="168">
        <f>IF(Z$54,$V$32*($Q$32*data0!W416+$R$32*data0!W417+$S$32*data0!W418+$T$32*data0!W419),"")</f>
        <v>806.3913370435755</v>
      </c>
      <c r="AA191" s="168">
        <f>IF(AA$54,$V$32*($Q$32*data0!X416+$R$32*data0!X417+$S$32*data0!X418+$T$32*data0!X419),"")</f>
        <v>833.05090195173102</v>
      </c>
      <c r="AB191" s="168">
        <f>IF(AB$54,$V$32*($Q$32*data0!Y416+$R$32*data0!Y417+$S$32*data0!Y418+$T$32*data0!Y419),"")</f>
        <v>627.57173338457073</v>
      </c>
      <c r="AC191" s="168">
        <f>IF(AC$54,$V$32*($Q$32*data0!Z416+$R$32*data0!Z417+$S$32*data0!Z418+$T$32*data0!Z419),"")</f>
        <v>1044.0381996119777</v>
      </c>
      <c r="AD191" s="168">
        <f>IF(AD$54,$V$32*($Q$32*data0!AA416+$R$32*data0!AA417+$S$32*data0!AA418+$T$32*data0!AA419),"")</f>
        <v>878.29618184903666</v>
      </c>
      <c r="AE191" s="168">
        <f>IF(AE$54,$V$32*($Q$32*data0!AB416+$R$32*data0!AB417+$S$32*data0!AB418+$T$32*data0!AB419),"")</f>
        <v>509.27922843397005</v>
      </c>
      <c r="AF191" s="168">
        <f>IF(AF$54,$V$32*($Q$32*data0!AC416+$R$32*data0!AC417+$S$32*data0!AC418+$T$32*data0!AC419),"")</f>
        <v>744.70171799345542</v>
      </c>
      <c r="AG191" s="168">
        <f>IF(AG$54,$V$32*($Q$32*data0!AD416+$R$32*data0!AD417+$S$32*data0!AD418+$T$32*data0!AD419),"")</f>
        <v>595.59317548237959</v>
      </c>
      <c r="AH191" s="168">
        <f>IF(AH$54,$V$32*($Q$32*data0!AE416+$R$32*data0!AE417+$S$32*data0!AE418+$T$32*data0!AE419),"")</f>
        <v>456.28000480221209</v>
      </c>
      <c r="AI191" s="168" t="str">
        <f>IF(AI$54,$V$32*($Q$32*data0!AF416+$R$32*data0!AF417+$S$32*data0!AF418+$T$32*data0!AF419),"")</f>
        <v/>
      </c>
      <c r="AJ191" s="168">
        <f>IF(AJ$54,$V$32*($Q$32*data0!AG416+$R$32*data0!AG417+$S$32*data0!AG418+$T$32*data0!AG419),"")</f>
        <v>994.89574325784952</v>
      </c>
      <c r="AK191" s="168">
        <f>IF(AK$54,$V$32*($Q$32*data0!AH416+$R$32*data0!AH417+$S$32*data0!AH418+$T$32*data0!AH419),"")</f>
        <v>634.54111873581803</v>
      </c>
      <c r="AL191" s="168">
        <f>IF(AL$54,$V$32*($Q$32*data0!AI416+$R$32*data0!AI417+$S$32*data0!AI418+$T$32*data0!AI419),"")</f>
        <v>1318.3958945307022</v>
      </c>
      <c r="AM191" s="168">
        <f>IF(AM$54,$V$32*($Q$32*data0!AJ416+$R$32*data0!AJ417+$S$32*data0!AJ418+$T$32*data0!AJ419),"")</f>
        <v>888.76762304314366</v>
      </c>
      <c r="AN191" s="168">
        <f>IF(AN$54,$V$32*($Q$32*data0!AK416+$R$32*data0!AK417+$S$32*data0!AK418+$T$32*data0!AK419),"")</f>
        <v>974.86370712361531</v>
      </c>
    </row>
    <row r="192" spans="1:40">
      <c r="A192" s="74"/>
      <c r="B192" s="242"/>
      <c r="C192" s="242"/>
      <c r="D192" s="242"/>
      <c r="E192" s="59" t="str">
        <f t="shared" ref="E192:E196" si="1195">E170</f>
        <v>Y</v>
      </c>
      <c r="F192" s="61">
        <f t="shared" si="1125"/>
        <v>881.7360446882426</v>
      </c>
      <c r="G192" s="61">
        <f t="shared" si="1126"/>
        <v>171.64905467223537</v>
      </c>
      <c r="H192" s="59">
        <f>F16</f>
        <v>848.5</v>
      </c>
      <c r="I192" s="168" t="str">
        <f>IF(I$54,$V$32*($Q$33*data0!F416+$R$33*data0!F417+$S$33*data0!F418+$T$33*data0!F419),"")</f>
        <v/>
      </c>
      <c r="J192" s="168" t="str">
        <f>IF(J$54,$V$32*($Q$33*data0!G416+$R$33*data0!G417+$S$33*data0!G418+$T$33*data0!G419),"")</f>
        <v/>
      </c>
      <c r="K192" s="168">
        <f>IF(K$54,$V$32*($Q$33*data0!H416+$R$33*data0!H417+$S$33*data0!H418+$T$33*data0!H419),"")</f>
        <v>598.2901391272818</v>
      </c>
      <c r="L192" s="168">
        <f>IF(L$54,$V$32*($Q$33*data0!I416+$R$33*data0!I417+$S$33*data0!I418+$T$33*data0!I419),"")</f>
        <v>763.20314975676217</v>
      </c>
      <c r="M192" s="168" t="str">
        <f>IF(M$54,$V$32*($Q$33*data0!J416+$R$33*data0!J417+$S$33*data0!J418+$T$33*data0!J419),"")</f>
        <v/>
      </c>
      <c r="N192" s="168">
        <f>IF(N$54,$V$32*($Q$33*data0!K416+$R$33*data0!K417+$S$33*data0!K418+$T$33*data0!K419),"")</f>
        <v>943.11322631863766</v>
      </c>
      <c r="O192" s="168">
        <f>IF(O$54,$V$32*($Q$33*data0!L416+$R$33*data0!L417+$S$33*data0!L418+$T$33*data0!L419),"")</f>
        <v>838.63203959769453</v>
      </c>
      <c r="P192" s="168" t="str">
        <f>IF(P$54,$V$32*($Q$33*data0!M416+$R$33*data0!M417+$S$33*data0!M418+$T$33*data0!M419),"")</f>
        <v/>
      </c>
      <c r="Q192" s="168">
        <f>IF(Q$54,$V$32*($Q$33*data0!N416+$R$33*data0!N417+$S$33*data0!N418+$T$33*data0!N419),"")</f>
        <v>795.36783967978931</v>
      </c>
      <c r="R192" s="168">
        <f>IF(R$54,$V$32*($Q$33*data0!O416+$R$33*data0!O417+$S$33*data0!O418+$T$33*data0!O419),"")</f>
        <v>822.60065988192423</v>
      </c>
      <c r="S192" s="168">
        <f>IF(S$54,$V$32*($Q$33*data0!P416+$R$33*data0!P417+$S$33*data0!P418+$T$33*data0!P419),"")</f>
        <v>964.23871167813786</v>
      </c>
      <c r="T192" s="168">
        <f>IF(T$54,$V$32*($Q$33*data0!Q416+$R$33*data0!Q417+$S$33*data0!Q418+$T$33*data0!Q419),"")</f>
        <v>906.06980868580433</v>
      </c>
      <c r="U192" s="168">
        <f>IF(U$54,$V$32*($Q$33*data0!R416+$R$33*data0!R417+$S$33*data0!R418+$T$33*data0!R419),"")</f>
        <v>990.80257411977493</v>
      </c>
      <c r="V192" s="168">
        <f>IF(V$54,$V$32*($Q$33*data0!S416+$R$33*data0!S417+$S$33*data0!S418+$T$33*data0!S419),"")</f>
        <v>1022.614258319901</v>
      </c>
      <c r="W192" s="168">
        <f>IF(W$54,$V$32*($Q$33*data0!T416+$R$33*data0!T417+$S$33*data0!T418+$T$33*data0!T419),"")</f>
        <v>1011.9058120859469</v>
      </c>
      <c r="X192" s="168">
        <f>IF(X$54,$V$32*($Q$33*data0!U416+$R$33*data0!U417+$S$33*data0!U418+$T$33*data0!U419),"")</f>
        <v>1180.8921777984826</v>
      </c>
      <c r="Y192" s="168">
        <f>IF(Y$54,$V$32*($Q$33*data0!V416+$R$33*data0!V417+$S$33*data0!V418+$T$33*data0!V419),"")</f>
        <v>858.05257467769047</v>
      </c>
      <c r="Z192" s="168">
        <f>IF(Z$54,$V$32*($Q$33*data0!W416+$R$33*data0!W417+$S$33*data0!W418+$T$33*data0!W419),"")</f>
        <v>870.16532943737229</v>
      </c>
      <c r="AA192" s="168">
        <f>IF(AA$54,$V$32*($Q$33*data0!X416+$R$33*data0!X417+$S$33*data0!X418+$T$33*data0!X419),"")</f>
        <v>893.2605671342759</v>
      </c>
      <c r="AB192" s="168">
        <f>IF(AB$54,$V$32*($Q$33*data0!Y416+$R$33*data0!Y417+$S$33*data0!Y418+$T$33*data0!Y419),"")</f>
        <v>727.71154217339256</v>
      </c>
      <c r="AC192" s="168">
        <f>IF(AC$54,$V$32*($Q$33*data0!Z416+$R$33*data0!Z417+$S$33*data0!Z418+$T$33*data0!Z419),"")</f>
        <v>1093.4504063683983</v>
      </c>
      <c r="AD192" s="168">
        <f>IF(AD$54,$V$32*($Q$33*data0!AA416+$R$33*data0!AA417+$S$33*data0!AA418+$T$33*data0!AA419),"")</f>
        <v>914.67199621824216</v>
      </c>
      <c r="AE192" s="168">
        <f>IF(AE$54,$V$32*($Q$33*data0!AB416+$R$33*data0!AB417+$S$33*data0!AB418+$T$33*data0!AB419),"")</f>
        <v>601.63636731874965</v>
      </c>
      <c r="AF192" s="168">
        <f>IF(AF$54,$V$32*($Q$33*data0!AC416+$R$33*data0!AC417+$S$33*data0!AC418+$T$33*data0!AC419),"")</f>
        <v>815.73704171358622</v>
      </c>
      <c r="AG192" s="168">
        <f>IF(AG$54,$V$32*($Q$33*data0!AD416+$R$33*data0!AD417+$S$33*data0!AD418+$T$33*data0!AD419),"")</f>
        <v>692.79443895771362</v>
      </c>
      <c r="AH192" s="168">
        <f>IF(AH$54,$V$32*($Q$33*data0!AE416+$R$33*data0!AE417+$S$33*data0!AE418+$T$33*data0!AE419),"")</f>
        <v>560.62196662539952</v>
      </c>
      <c r="AI192" s="168" t="str">
        <f>IF(AI$54,$V$32*($Q$33*data0!AF416+$R$33*data0!AF417+$S$33*data0!AF418+$T$33*data0!AF419),"")</f>
        <v/>
      </c>
      <c r="AJ192" s="168">
        <f>IF(AJ$54,$V$32*($Q$33*data0!AG416+$R$33*data0!AG417+$S$33*data0!AG418+$T$33*data0!AG419),"")</f>
        <v>1005.4945089816018</v>
      </c>
      <c r="AK192" s="168">
        <f>IF(AK$54,$V$32*($Q$33*data0!AH416+$R$33*data0!AH417+$S$33*data0!AH418+$T$33*data0!AH419),"")</f>
        <v>724.21398588111015</v>
      </c>
      <c r="AL192" s="168">
        <f>IF(AL$54,$V$32*($Q$33*data0!AI416+$R$33*data0!AI417+$S$33*data0!AI418+$T$33*data0!AI419),"")</f>
        <v>1284.9523441625443</v>
      </c>
      <c r="AM192" s="168">
        <f>IF(AM$54,$V$32*($Q$33*data0!AJ416+$R$33*data0!AJ417+$S$33*data0!AJ418+$T$33*data0!AJ419),"")</f>
        <v>936.45399631574253</v>
      </c>
      <c r="AN192" s="168">
        <f>IF(AN$54,$V$32*($Q$33*data0!AK416+$R$33*data0!AK417+$S$33*data0!AK418+$T$33*data0!AK419),"")</f>
        <v>989.92574356658827</v>
      </c>
    </row>
    <row r="193" spans="1:40">
      <c r="A193" s="74"/>
      <c r="B193" s="242"/>
      <c r="C193" s="242"/>
      <c r="D193" s="242"/>
      <c r="E193" s="59" t="str">
        <f t="shared" si="1195"/>
        <v>Z</v>
      </c>
      <c r="F193" s="61">
        <f t="shared" si="1125"/>
        <v>925.89153755503912</v>
      </c>
      <c r="G193" s="61">
        <f t="shared" si="1126"/>
        <v>116.94429385646949</v>
      </c>
      <c r="H193" s="59">
        <f>G16</f>
        <v>908</v>
      </c>
      <c r="I193" s="168" t="str">
        <f>IF(I$54,$V$32*($Q$34*data0!F416+$R$34*data0!F417+$S$34*data0!F418+$T$34*data0!F419),"")</f>
        <v/>
      </c>
      <c r="J193" s="168" t="str">
        <f>IF(J$54,$V$32*($Q$34*data0!G416+$R$34*data0!G417+$S$34*data0!G418+$T$34*data0!G419),"")</f>
        <v/>
      </c>
      <c r="K193" s="168">
        <f>IF(K$54,$V$32*($Q$34*data0!H416+$R$34*data0!H417+$S$34*data0!H418+$T$34*data0!H419),"")</f>
        <v>950.9726796051832</v>
      </c>
      <c r="L193" s="168">
        <f>IF(L$54,$V$32*($Q$34*data0!I416+$R$34*data0!I417+$S$34*data0!I418+$T$34*data0!I419),"")</f>
        <v>1095.0352892166509</v>
      </c>
      <c r="M193" s="168" t="str">
        <f>IF(M$54,$V$32*($Q$34*data0!J416+$R$34*data0!J417+$S$34*data0!J418+$T$34*data0!J419),"")</f>
        <v/>
      </c>
      <c r="N193" s="168">
        <f>IF(N$54,$V$32*($Q$34*data0!K416+$R$34*data0!K417+$S$34*data0!K418+$T$34*data0!K419),"")</f>
        <v>964.250934618521</v>
      </c>
      <c r="O193" s="168">
        <f>IF(O$54,$V$32*($Q$34*data0!L416+$R$34*data0!L417+$S$34*data0!L418+$T$34*data0!L419),"")</f>
        <v>1004.3492396278756</v>
      </c>
      <c r="P193" s="168" t="str">
        <f>IF(P$54,$V$32*($Q$34*data0!M416+$R$34*data0!M417+$S$34*data0!M418+$T$34*data0!M419),"")</f>
        <v/>
      </c>
      <c r="Q193" s="168">
        <f>IF(Q$54,$V$32*($Q$34*data0!N416+$R$34*data0!N417+$S$34*data0!N418+$T$34*data0!N419),"")</f>
        <v>917.84095752849407</v>
      </c>
      <c r="R193" s="168">
        <f>IF(R$54,$V$32*($Q$34*data0!O416+$R$34*data0!O417+$S$34*data0!O418+$T$34*data0!O419),"")</f>
        <v>867.55229441178483</v>
      </c>
      <c r="S193" s="168">
        <f>IF(S$54,$V$32*($Q$34*data0!P416+$R$34*data0!P417+$S$34*data0!P418+$T$34*data0!P419),"")</f>
        <v>793.10369125579905</v>
      </c>
      <c r="T193" s="168">
        <f>IF(T$54,$V$32*($Q$34*data0!Q416+$R$34*data0!Q417+$S$34*data0!Q418+$T$34*data0!Q419),"")</f>
        <v>894.77532853099501</v>
      </c>
      <c r="U193" s="168">
        <f>IF(U$54,$V$32*($Q$34*data0!R416+$R$34*data0!R417+$S$34*data0!R418+$T$34*data0!R419),"")</f>
        <v>777.60843615840213</v>
      </c>
      <c r="V193" s="168">
        <f>IF(V$54,$V$32*($Q$34*data0!S416+$R$34*data0!S417+$S$34*data0!S418+$T$34*data0!S419),"")</f>
        <v>845.21860685957586</v>
      </c>
      <c r="W193" s="168">
        <f>IF(W$54,$V$32*($Q$34*data0!T416+$R$34*data0!T417+$S$34*data0!T418+$T$34*data0!T419),"")</f>
        <v>838.50662603131286</v>
      </c>
      <c r="X193" s="168">
        <f>IF(X$54,$V$32*($Q$34*data0!U416+$R$34*data0!U417+$S$34*data0!U418+$T$34*data0!U419),"")</f>
        <v>753.98848949194519</v>
      </c>
      <c r="Y193" s="168">
        <f>IF(Y$54,$V$32*($Q$34*data0!V416+$R$34*data0!V417+$S$34*data0!V418+$T$34*data0!V419),"")</f>
        <v>919.22284123282748</v>
      </c>
      <c r="Z193" s="168">
        <f>IF(Z$54,$V$32*($Q$34*data0!W416+$R$34*data0!W417+$S$34*data0!W418+$T$34*data0!W419),"")</f>
        <v>991.31314137241964</v>
      </c>
      <c r="AA193" s="168">
        <f>IF(AA$54,$V$32*($Q$34*data0!X416+$R$34*data0!X417+$S$34*data0!X418+$T$34*data0!X419),"")</f>
        <v>982.95243496282387</v>
      </c>
      <c r="AB193" s="168">
        <f>IF(AB$54,$V$32*($Q$34*data0!Y416+$R$34*data0!Y417+$S$34*data0!Y418+$T$34*data0!Y419),"")</f>
        <v>1113.9072980077335</v>
      </c>
      <c r="AC193" s="168">
        <f>IF(AC$54,$V$32*($Q$34*data0!Z416+$R$34*data0!Z417+$S$34*data0!Z418+$T$34*data0!Z419),"")</f>
        <v>1065.3910274183752</v>
      </c>
      <c r="AD193" s="168">
        <f>IF(AD$54,$V$32*($Q$34*data0!AA416+$R$34*data0!AA417+$S$34*data0!AA418+$T$34*data0!AA419),"")</f>
        <v>863.18478461351799</v>
      </c>
      <c r="AE193" s="168">
        <f>IF(AE$54,$V$32*($Q$34*data0!AB416+$R$34*data0!AB417+$S$34*data0!AB418+$T$34*data0!AB419),"")</f>
        <v>985.4503188420498</v>
      </c>
      <c r="AF193" s="168">
        <f>IF(AF$54,$V$32*($Q$34*data0!AC416+$R$34*data0!AC417+$S$34*data0!AC418+$T$34*data0!AC419),"")</f>
        <v>998.27362461667599</v>
      </c>
      <c r="AG193" s="168">
        <f>IF(AG$54,$V$32*($Q$34*data0!AD416+$R$34*data0!AD417+$S$34*data0!AD418+$T$34*data0!AD419),"")</f>
        <v>1083.3961760445118</v>
      </c>
      <c r="AH193" s="168">
        <f>IF(AH$54,$V$32*($Q$34*data0!AE416+$R$34*data0!AE417+$S$34*data0!AE418+$T$34*data0!AE419),"")</f>
        <v>1044.1513052611406</v>
      </c>
      <c r="AI193" s="168" t="str">
        <f>IF(AI$54,$V$32*($Q$34*data0!AF416+$R$34*data0!AF417+$S$34*data0!AF418+$T$34*data0!AF419),"")</f>
        <v/>
      </c>
      <c r="AJ193" s="168">
        <f>IF(AJ$54,$V$32*($Q$34*data0!AG416+$R$34*data0!AG417+$S$34*data0!AG418+$T$34*data0!AG419),"")</f>
        <v>768.30393567931014</v>
      </c>
      <c r="AK193" s="168">
        <f>IF(AK$54,$V$32*($Q$34*data0!AH416+$R$34*data0!AH417+$S$34*data0!AH418+$T$34*data0!AH419),"")</f>
        <v>1060.1458633552395</v>
      </c>
      <c r="AL193" s="168">
        <f>IF(AL$54,$V$32*($Q$34*data0!AI416+$R$34*data0!AI417+$S$34*data0!AI418+$T$34*data0!AI419),"")</f>
        <v>696.93041246844575</v>
      </c>
      <c r="AM193" s="168">
        <f>IF(AM$54,$V$32*($Q$34*data0!AJ416+$R$34*data0!AJ417+$S$34*data0!AJ418+$T$34*data0!AJ419),"")</f>
        <v>943.82167967020598</v>
      </c>
      <c r="AN193" s="168">
        <f>IF(AN$54,$V$32*($Q$34*data0!AK416+$R$34*data0!AK417+$S$34*data0!AK418+$T$34*data0!AK419),"")</f>
        <v>779.42409710423851</v>
      </c>
    </row>
    <row r="194" spans="1:40">
      <c r="A194" s="74"/>
      <c r="B194" s="242"/>
      <c r="C194" s="242" t="str">
        <f>data0!B69</f>
        <v>HI</v>
      </c>
      <c r="D194" s="242"/>
      <c r="E194" s="59" t="str">
        <f t="shared" si="1195"/>
        <v>X</v>
      </c>
      <c r="F194" s="61">
        <f t="shared" si="1125"/>
        <v>879.47266253376631</v>
      </c>
      <c r="G194" s="61">
        <f t="shared" si="1126"/>
        <v>206.35917061880568</v>
      </c>
      <c r="H194" s="242"/>
      <c r="I194" s="168" t="str">
        <f>IF(I$54,$V$33*($Q$32*data0!F420+$R$32*data0!F421+$S$32*data0!F422+$T$32*data0!F423),"")</f>
        <v/>
      </c>
      <c r="J194" s="168" t="str">
        <f>IF(J$54,$V$33*($Q$32*data0!G420+$R$32*data0!G421+$S$32*data0!G422+$T$32*data0!G423),"")</f>
        <v/>
      </c>
      <c r="K194" s="168">
        <f>IF(K$54,$V$33*($Q$32*data0!H420+$R$32*data0!H421+$S$32*data0!H422+$T$32*data0!H423),"")</f>
        <v>522.53418733902618</v>
      </c>
      <c r="L194" s="168">
        <f>IF(L$54,$V$33*($Q$32*data0!I420+$R$32*data0!I421+$S$32*data0!I422+$T$32*data0!I423),"")</f>
        <v>709.15893985134414</v>
      </c>
      <c r="M194" s="168" t="str">
        <f>IF(M$54,$V$33*($Q$32*data0!J420+$R$32*data0!J421+$S$32*data0!J422+$T$32*data0!J423),"")</f>
        <v/>
      </c>
      <c r="N194" s="168">
        <f>IF(N$54,$V$33*($Q$32*data0!K420+$R$32*data0!K421+$S$32*data0!K422+$T$32*data0!K423),"")</f>
        <v>935.56928631309393</v>
      </c>
      <c r="O194" s="168">
        <f>IF(O$54,$V$33*($Q$32*data0!L420+$R$32*data0!L421+$S$32*data0!L422+$T$32*data0!L423),"")</f>
        <v>793.81496532055326</v>
      </c>
      <c r="P194" s="168" t="str">
        <f>IF(P$54,$V$33*($Q$32*data0!M420+$R$32*data0!M421+$S$32*data0!M422+$T$32*data0!M423),"")</f>
        <v/>
      </c>
      <c r="Q194" s="168">
        <f>IF(Q$54,$V$33*($Q$32*data0!N420+$R$32*data0!N421+$S$32*data0!N422+$T$32*data0!N423),"")</f>
        <v>835.36202786336673</v>
      </c>
      <c r="R194" s="168">
        <f>IF(R$54,$V$33*($Q$32*data0!O420+$R$32*data0!O421+$S$32*data0!O422+$T$32*data0!O423),"")</f>
        <v>887.83131982234067</v>
      </c>
      <c r="S194" s="168">
        <f>IF(S$54,$V$33*($Q$32*data0!P420+$R$32*data0!P421+$S$32*data0!P422+$T$32*data0!P423),"")</f>
        <v>1062.8787441430939</v>
      </c>
      <c r="T194" s="168">
        <f>IF(T$54,$V$33*($Q$32*data0!Q420+$R$32*data0!Q421+$S$32*data0!Q422+$T$32*data0!Q423),"")</f>
        <v>891.75836801363857</v>
      </c>
      <c r="U194" s="168">
        <f>IF(U$54,$V$33*($Q$32*data0!R420+$R$32*data0!R421+$S$32*data0!R422+$T$32*data0!R423),"")</f>
        <v>1011.9710757432304</v>
      </c>
      <c r="V194" s="168">
        <f>IF(V$54,$V$33*($Q$32*data0!S420+$R$32*data0!S421+$S$32*data0!S422+$T$32*data0!S423),"")</f>
        <v>1072.2390533810678</v>
      </c>
      <c r="W194" s="168">
        <f>IF(W$54,$V$33*($Q$32*data0!T420+$R$32*data0!T421+$S$32*data0!T422+$T$32*data0!T423),"")</f>
        <v>1010.4862272008927</v>
      </c>
      <c r="X194" s="168">
        <f>IF(X$54,$V$33*($Q$32*data0!U420+$R$32*data0!U421+$S$32*data0!U422+$T$32*data0!U423),"")</f>
        <v>1241.6745761437496</v>
      </c>
      <c r="Y194" s="168">
        <f>IF(Y$54,$V$33*($Q$32*data0!V420+$R$32*data0!V421+$S$32*data0!V422+$T$32*data0!V423),"")</f>
        <v>852.27455025089409</v>
      </c>
      <c r="Z194" s="168">
        <f>IF(Z$54,$V$33*($Q$32*data0!W420+$R$32*data0!W421+$S$32*data0!W422+$T$32*data0!W423),"")</f>
        <v>840.74859700587695</v>
      </c>
      <c r="AA194" s="168">
        <f>IF(AA$54,$V$33*($Q$32*data0!X420+$R$32*data0!X421+$S$32*data0!X422+$T$32*data0!X423),"")</f>
        <v>802.29459626633309</v>
      </c>
      <c r="AB194" s="168">
        <f>IF(AB$54,$V$33*($Q$32*data0!Y420+$R$32*data0!Y421+$S$32*data0!Y422+$T$32*data0!Y423),"")</f>
        <v>757.77755402163211</v>
      </c>
      <c r="AC194" s="168">
        <f>IF(AC$54,$V$33*($Q$32*data0!Z420+$R$32*data0!Z421+$S$32*data0!Z422+$T$32*data0!Z423),"")</f>
        <v>1051.807807525935</v>
      </c>
      <c r="AD194" s="168">
        <f>IF(AD$54,$V$33*($Q$32*data0!AA420+$R$32*data0!AA421+$S$32*data0!AA422+$T$32*data0!AA423),"")</f>
        <v>956.7576711196964</v>
      </c>
      <c r="AE194" s="168">
        <f>IF(AE$54,$V$33*($Q$32*data0!AB420+$R$32*data0!AB421+$S$32*data0!AB422+$T$32*data0!AB423),"")</f>
        <v>567.32779922750797</v>
      </c>
      <c r="AF194" s="168">
        <f>IF(AF$54,$V$33*($Q$32*data0!AC420+$R$32*data0!AC421+$S$32*data0!AC422+$T$32*data0!AC423),"")</f>
        <v>769.22692755602452</v>
      </c>
      <c r="AG194" s="168">
        <f>IF(AG$54,$V$33*($Q$32*data0!AD420+$R$32*data0!AD421+$S$32*data0!AD422+$T$32*data0!AD423),"")</f>
        <v>602.53553234918058</v>
      </c>
      <c r="AH194" s="168">
        <f>IF(AH$54,$V$33*($Q$32*data0!AE420+$R$32*data0!AE421+$S$32*data0!AE422+$T$32*data0!AE423),"")</f>
        <v>512.90163150001672</v>
      </c>
      <c r="AI194" s="168" t="str">
        <f>IF(AI$54,$V$33*($Q$32*data0!AF420+$R$32*data0!AF421+$S$32*data0!AF422+$T$32*data0!AF423),"")</f>
        <v/>
      </c>
      <c r="AJ194" s="168">
        <f>IF(AJ$54,$V$33*($Q$32*data0!AG420+$R$32*data0!AG421+$S$32*data0!AG422+$T$32*data0!AG423),"")</f>
        <v>1034.6189517184869</v>
      </c>
      <c r="AK194" s="168">
        <f>IF(AK$54,$V$33*($Q$32*data0!AH420+$R$32*data0!AH421+$S$32*data0!AH422+$T$32*data0!AH423),"")</f>
        <v>686.96627492067819</v>
      </c>
      <c r="AL194" s="168">
        <f>IF(AL$54,$V$33*($Q$32*data0!AI420+$R$32*data0!AI421+$S$32*data0!AI422+$T$32*data0!AI423),"")</f>
        <v>1357.0327007921956</v>
      </c>
      <c r="AM194" s="168">
        <f>IF(AM$54,$V$33*($Q$32*data0!AJ420+$R$32*data0!AJ421+$S$32*data0!AJ422+$T$32*data0!AJ423),"")</f>
        <v>922.58382700814366</v>
      </c>
      <c r="AN194" s="168">
        <f>IF(AN$54,$V$33*($Q$32*data0!AK420+$R$32*data0!AK421+$S$32*data0!AK422+$T$32*data0!AK423),"")</f>
        <v>1055.628696013694</v>
      </c>
    </row>
    <row r="195" spans="1:40">
      <c r="A195" s="74"/>
      <c r="B195" s="242"/>
      <c r="C195" s="242"/>
      <c r="D195" s="242"/>
      <c r="E195" s="59" t="str">
        <f t="shared" si="1195"/>
        <v>Y</v>
      </c>
      <c r="F195" s="61">
        <f t="shared" si="1125"/>
        <v>933.3732546500853</v>
      </c>
      <c r="G195" s="61">
        <f t="shared" si="1126"/>
        <v>169.7186111613523</v>
      </c>
      <c r="H195" s="242"/>
      <c r="I195" s="168" t="str">
        <f>IF(I$54,$V$33*($Q$33*data0!F420+$R$33*data0!F421+$S$33*data0!F422+$T$33*data0!F423),"")</f>
        <v/>
      </c>
      <c r="J195" s="168" t="str">
        <f>IF(J$54,$V$33*($Q$33*data0!G420+$R$33*data0!G421+$S$33*data0!G422+$T$33*data0!G423),"")</f>
        <v/>
      </c>
      <c r="K195" s="168">
        <f>IF(K$54,$V$33*($Q$33*data0!H420+$R$33*data0!H421+$S$33*data0!H422+$T$33*data0!H423),"")</f>
        <v>619.96549737896862</v>
      </c>
      <c r="L195" s="168">
        <f>IF(L$54,$V$33*($Q$33*data0!I420+$R$33*data0!I421+$S$33*data0!I422+$T$33*data0!I423),"")</f>
        <v>805.3350461558997</v>
      </c>
      <c r="M195" s="168" t="str">
        <f>IF(M$54,$V$33*($Q$33*data0!J420+$R$33*data0!J421+$S$33*data0!J422+$T$33*data0!J423),"")</f>
        <v/>
      </c>
      <c r="N195" s="168">
        <f>IF(N$54,$V$33*($Q$33*data0!K420+$R$33*data0!K421+$S$33*data0!K422+$T$33*data0!K423),"")</f>
        <v>989.04144992577494</v>
      </c>
      <c r="O195" s="168">
        <f>IF(O$54,$V$33*($Q$33*data0!L420+$R$33*data0!L421+$S$33*data0!L422+$T$33*data0!L423),"")</f>
        <v>863.26098427040392</v>
      </c>
      <c r="P195" s="168" t="str">
        <f>IF(P$54,$V$33*($Q$33*data0!M420+$R$33*data0!M421+$S$33*data0!M422+$T$33*data0!M423),"")</f>
        <v/>
      </c>
      <c r="Q195" s="168">
        <f>IF(Q$54,$V$33*($Q$33*data0!N420+$R$33*data0!N421+$S$33*data0!N422+$T$33*data0!N423),"")</f>
        <v>900.95219759771624</v>
      </c>
      <c r="R195" s="168">
        <f>IF(R$54,$V$33*($Q$33*data0!O420+$R$33*data0!O421+$S$33*data0!O422+$T$33*data0!O423),"")</f>
        <v>939.2302866895493</v>
      </c>
      <c r="S195" s="168">
        <f>IF(S$54,$V$33*($Q$33*data0!P420+$R$33*data0!P421+$S$33*data0!P422+$T$33*data0!P423),"")</f>
        <v>1079.2545092987318</v>
      </c>
      <c r="T195" s="168">
        <f>IF(T$54,$V$33*($Q$33*data0!Q420+$R$33*data0!Q421+$S$33*data0!Q422+$T$33*data0!Q423),"")</f>
        <v>926.93882887619429</v>
      </c>
      <c r="U195" s="168">
        <f>IF(U$54,$V$33*($Q$33*data0!R420+$R$33*data0!R421+$S$33*data0!R422+$T$33*data0!R423),"")</f>
        <v>1023.5197093036019</v>
      </c>
      <c r="V195" s="168">
        <f>IF(V$54,$V$33*($Q$33*data0!S420+$R$33*data0!S421+$S$33*data0!S422+$T$33*data0!S423),"")</f>
        <v>1097.2978554412703</v>
      </c>
      <c r="W195" s="168">
        <f>IF(W$54,$V$33*($Q$33*data0!T420+$R$33*data0!T421+$S$33*data0!T422+$T$33*data0!T423),"")</f>
        <v>1038.031506037154</v>
      </c>
      <c r="X195" s="168">
        <f>IF(X$54,$V$33*($Q$33*data0!U420+$R$33*data0!U421+$S$33*data0!U422+$T$33*data0!U423),"")</f>
        <v>1229.1781023713509</v>
      </c>
      <c r="Y195" s="168">
        <f>IF(Y$54,$V$33*($Q$33*data0!V420+$R$33*data0!V421+$S$33*data0!V422+$T$33*data0!V423),"")</f>
        <v>900.57527476841653</v>
      </c>
      <c r="Z195" s="168">
        <f>IF(Z$54,$V$33*($Q$33*data0!W420+$R$33*data0!W421+$S$33*data0!W422+$T$33*data0!W423),"")</f>
        <v>912.31372130640909</v>
      </c>
      <c r="AA195" s="168">
        <f>IF(AA$54,$V$33*($Q$33*data0!X420+$R$33*data0!X421+$S$33*data0!X422+$T$33*data0!X423),"")</f>
        <v>861.62719744273284</v>
      </c>
      <c r="AB195" s="168">
        <f>IF(AB$54,$V$33*($Q$33*data0!Y420+$R$33*data0!Y421+$S$33*data0!Y422+$T$33*data0!Y423),"")</f>
        <v>874.82333390712665</v>
      </c>
      <c r="AC195" s="168">
        <f>IF(AC$54,$V$33*($Q$33*data0!Z420+$R$33*data0!Z421+$S$33*data0!Z422+$T$33*data0!Z423),"")</f>
        <v>1100.8041153205847</v>
      </c>
      <c r="AD195" s="168">
        <f>IF(AD$54,$V$33*($Q$33*data0!AA420+$R$33*data0!AA421+$S$33*data0!AA422+$T$33*data0!AA423),"")</f>
        <v>989.18390086947034</v>
      </c>
      <c r="AE195" s="168">
        <f>IF(AE$54,$V$33*($Q$33*data0!AB420+$R$33*data0!AB421+$S$33*data0!AB422+$T$33*data0!AB423),"")</f>
        <v>660.63548936518384</v>
      </c>
      <c r="AF195" s="168">
        <f>IF(AF$54,$V$33*($Q$33*data0!AC420+$R$33*data0!AC421+$S$33*data0!AC422+$T$33*data0!AC423),"")</f>
        <v>844.16597560604589</v>
      </c>
      <c r="AG195" s="168">
        <f>IF(AG$54,$V$33*($Q$33*data0!AD420+$R$33*data0!AD421+$S$33*data0!AD422+$T$33*data0!AD423),"")</f>
        <v>708.34346155674928</v>
      </c>
      <c r="AH195" s="168">
        <f>IF(AH$54,$V$33*($Q$33*data0!AE420+$R$33*data0!AE421+$S$33*data0!AE422+$T$33*data0!AE423),"")</f>
        <v>629.89417556523404</v>
      </c>
      <c r="AI195" s="168" t="str">
        <f>IF(AI$54,$V$33*($Q$33*data0!AF420+$R$33*data0!AF421+$S$33*data0!AF422+$T$33*data0!AF423),"")</f>
        <v/>
      </c>
      <c r="AJ195" s="168">
        <f>IF(AJ$54,$V$33*($Q$33*data0!AG420+$R$33*data0!AG421+$S$33*data0!AG422+$T$33*data0!AG423),"")</f>
        <v>1047.3151146923728</v>
      </c>
      <c r="AK195" s="168">
        <f>IF(AK$54,$V$33*($Q$33*data0!AH420+$R$33*data0!AH421+$S$33*data0!AH422+$T$33*data0!AH423),"")</f>
        <v>791.35095762955109</v>
      </c>
      <c r="AL195" s="168">
        <f>IF(AL$54,$V$33*($Q$33*data0!AI420+$R$33*data0!AI421+$S$33*data0!AI422+$T$33*data0!AI423),"")</f>
        <v>1321.2638617827429</v>
      </c>
      <c r="AM195" s="168">
        <f>IF(AM$54,$V$33*($Q$33*data0!AJ420+$R$33*data0!AJ421+$S$33*data0!AJ422+$T$33*data0!AJ423),"")</f>
        <v>977.12692848020606</v>
      </c>
      <c r="AN195" s="168">
        <f>IF(AN$54,$V$33*($Q$33*data0!AK420+$R$33*data0!AK421+$S$33*data0!AK422+$T$33*data0!AK423),"")</f>
        <v>1069.6483939128609</v>
      </c>
    </row>
    <row r="196" spans="1:40">
      <c r="A196" s="74"/>
      <c r="B196" s="242"/>
      <c r="C196" s="242"/>
      <c r="D196" s="242"/>
      <c r="E196" s="59" t="str">
        <f t="shared" si="1195"/>
        <v>Z</v>
      </c>
      <c r="F196" s="61">
        <f t="shared" si="1125"/>
        <v>981.67059390411862</v>
      </c>
      <c r="G196" s="61">
        <f t="shared" si="1126"/>
        <v>143.67477884127916</v>
      </c>
      <c r="H196" s="242"/>
      <c r="I196" s="168" t="str">
        <f>IF(I$54,$V$33*($Q$34*data0!F420+$R$34*data0!F421+$S$34*data0!F422+$T$34*data0!F423),"")</f>
        <v/>
      </c>
      <c r="J196" s="168" t="str">
        <f>IF(J$54,$V$33*($Q$34*data0!G420+$R$34*data0!G421+$S$34*data0!G422+$T$34*data0!G423),"")</f>
        <v/>
      </c>
      <c r="K196" s="168">
        <f>IF(K$54,$V$33*($Q$34*data0!H420+$R$34*data0!H421+$S$34*data0!H422+$T$34*data0!H423),"")</f>
        <v>1027.094433244733</v>
      </c>
      <c r="L196" s="168">
        <f>IF(L$54,$V$33*($Q$34*data0!I420+$R$34*data0!I421+$S$34*data0!I422+$T$34*data0!I423),"")</f>
        <v>1146.9127354075126</v>
      </c>
      <c r="M196" s="168" t="str">
        <f>IF(M$54,$V$33*($Q$34*data0!J420+$R$34*data0!J421+$S$34*data0!J422+$T$34*data0!J423),"")</f>
        <v/>
      </c>
      <c r="N196" s="168">
        <f>IF(N$54,$V$33*($Q$34*data0!K420+$R$34*data0!K421+$S$34*data0!K422+$T$34*data0!K423),"")</f>
        <v>1007.5182311634507</v>
      </c>
      <c r="O196" s="168">
        <f>IF(O$54,$V$33*($Q$34*data0!L420+$R$34*data0!L421+$S$34*data0!L422+$T$34*data0!L423),"")</f>
        <v>1027.84067241297</v>
      </c>
      <c r="P196" s="168" t="str">
        <f>IF(P$54,$V$33*($Q$34*data0!M420+$R$34*data0!M421+$S$34*data0!M422+$T$34*data0!M423),"")</f>
        <v/>
      </c>
      <c r="Q196" s="168">
        <f>IF(Q$54,$V$33*($Q$34*data0!N420+$R$34*data0!N421+$S$34*data0!N422+$T$34*data0!N423),"")</f>
        <v>1034.8042230273409</v>
      </c>
      <c r="R196" s="168">
        <f>IF(R$54,$V$33*($Q$34*data0!O420+$R$34*data0!O421+$S$34*data0!O422+$T$34*data0!O423),"")</f>
        <v>969.28635750881506</v>
      </c>
      <c r="S196" s="168">
        <f>IF(S$54,$V$33*($Q$34*data0!P420+$R$34*data0!P421+$S$34*data0!P422+$T$34*data0!P423),"")</f>
        <v>858.96293023034423</v>
      </c>
      <c r="T196" s="168">
        <f>IF(T$54,$V$33*($Q$34*data0!Q420+$R$34*data0!Q421+$S$34*data0!Q422+$T$34*data0!Q423),"")</f>
        <v>867.32226198140074</v>
      </c>
      <c r="U196" s="168">
        <f>IF(U$54,$V$33*($Q$34*data0!R420+$R$34*data0!R421+$S$34*data0!R422+$T$34*data0!R423),"")</f>
        <v>791.48178826715946</v>
      </c>
      <c r="V196" s="168">
        <f>IF(V$54,$V$33*($Q$34*data0!S420+$R$34*data0!S421+$S$34*data0!S422+$T$34*data0!S423),"")</f>
        <v>919.48068866403059</v>
      </c>
      <c r="W196" s="168">
        <f>IF(W$54,$V$33*($Q$34*data0!T420+$R$34*data0!T421+$S$34*data0!T422+$T$34*data0!T423),"")</f>
        <v>893.53514353755486</v>
      </c>
      <c r="X196" s="168">
        <f>IF(X$54,$V$33*($Q$34*data0!U420+$R$34*data0!U421+$S$34*data0!U422+$T$34*data0!U423),"")</f>
        <v>779.81873333402916</v>
      </c>
      <c r="Y196" s="168">
        <f>IF(Y$54,$V$33*($Q$34*data0!V420+$R$34*data0!V421+$S$34*data0!V422+$T$34*data0!V423),"")</f>
        <v>926.05482065712511</v>
      </c>
      <c r="Z196" s="168">
        <f>IF(Z$54,$V$33*($Q$34*data0!W420+$R$34*data0!W421+$S$34*data0!W422+$T$34*data0!W423),"")</f>
        <v>1067.858243230484</v>
      </c>
      <c r="AA196" s="168">
        <f>IF(AA$54,$V$33*($Q$34*data0!X420+$R$34*data0!X421+$S$34*data0!X422+$T$34*data0!X423),"")</f>
        <v>955.27021550631582</v>
      </c>
      <c r="AB196" s="168">
        <f>IF(AB$54,$V$33*($Q$34*data0!Y420+$R$34*data0!Y421+$S$34*data0!Y422+$T$34*data0!Y423),"")</f>
        <v>1318.232945589871</v>
      </c>
      <c r="AC196" s="168">
        <f>IF(AC$54,$V$33*($Q$34*data0!Z420+$R$34*data0!Z421+$S$34*data0!Z422+$T$34*data0!Z423),"")</f>
        <v>1070.0335833889399</v>
      </c>
      <c r="AD196" s="168">
        <f>IF(AD$54,$V$33*($Q$34*data0!AA420+$R$34*data0!AA421+$S$34*data0!AA422+$T$34*data0!AA423),"")</f>
        <v>891.5714232051107</v>
      </c>
      <c r="AE196" s="168">
        <f>IF(AE$54,$V$33*($Q$34*data0!AB420+$R$34*data0!AB421+$S$34*data0!AB422+$T$34*data0!AB423),"")</f>
        <v>1032.3615469834667</v>
      </c>
      <c r="AF196" s="168">
        <f>IF(AF$54,$V$33*($Q$34*data0!AC420+$R$34*data0!AC421+$S$34*data0!AC422+$T$34*data0!AC423),"")</f>
        <v>1041.5556574993036</v>
      </c>
      <c r="AG196" s="168">
        <f>IF(AG$54,$V$33*($Q$34*data0!AD420+$R$34*data0!AD421+$S$34*data0!AD422+$T$34*data0!AD423),"")</f>
        <v>1146.6458439541398</v>
      </c>
      <c r="AH196" s="168">
        <f>IF(AH$54,$V$33*($Q$34*data0!AE420+$R$34*data0!AE421+$S$34*data0!AE422+$T$34*data0!AE423),"")</f>
        <v>1172.5030635150749</v>
      </c>
      <c r="AI196" s="168" t="str">
        <f>IF(AI$54,$V$33*($Q$34*data0!AF420+$R$34*data0!AF421+$S$34*data0!AF422+$T$34*data0!AF423),"")</f>
        <v/>
      </c>
      <c r="AJ196" s="168">
        <f>IF(AJ$54,$V$33*($Q$34*data0!AG420+$R$34*data0!AG421+$S$34*data0!AG422+$T$34*data0!AG423),"")</f>
        <v>810.55309495085669</v>
      </c>
      <c r="AK196" s="168">
        <f>IF(AK$54,$V$33*($Q$34*data0!AH420+$R$34*data0!AH421+$S$34*data0!AH422+$T$34*data0!AH423),"")</f>
        <v>1197.1085441085315</v>
      </c>
      <c r="AL196" s="168">
        <f>IF(AL$54,$V$33*($Q$34*data0!AI420+$R$34*data0!AI421+$S$34*data0!AI422+$T$34*data0!AI423),"")</f>
        <v>709.24570259004543</v>
      </c>
      <c r="AM196" s="168">
        <f>IF(AM$54,$V$33*($Q$34*data0!AJ420+$R$34*data0!AJ421+$S$34*data0!AJ422+$T$34*data0!AJ423),"")</f>
        <v>1014.303538550512</v>
      </c>
      <c r="AN196" s="168">
        <f>IF(AN$54,$V$33*($Q$34*data0!AK420+$R$34*data0!AK421+$S$34*data0!AK422+$T$34*data0!AK423),"")</f>
        <v>827.74961290208671</v>
      </c>
    </row>
    <row r="197" spans="1:40">
      <c r="A197" s="74"/>
      <c r="B197" s="242"/>
      <c r="C197" s="242" t="str">
        <f>C191</f>
        <v>LO</v>
      </c>
      <c r="D197" s="242"/>
      <c r="E197" s="59" t="str">
        <f>E175</f>
        <v>x</v>
      </c>
      <c r="F197" s="60">
        <f t="shared" si="1125"/>
        <v>0.3106179958377871</v>
      </c>
      <c r="G197" s="60">
        <f t="shared" si="1126"/>
        <v>4.5225905506784757E-2</v>
      </c>
      <c r="H197" s="242"/>
      <c r="I197" s="108" t="str">
        <f>IF(I$54,I191/SUM(I191:I193),"")</f>
        <v/>
      </c>
      <c r="J197" s="108" t="str">
        <f t="shared" ref="J197:AN197" si="1196">IF(J$54,J191/SUM(J191:J193),"")</f>
        <v/>
      </c>
      <c r="K197" s="108">
        <f t="shared" si="1196"/>
        <v>0.24795811145931662</v>
      </c>
      <c r="L197" s="108">
        <f t="shared" si="1196"/>
        <v>0.26523510378560677</v>
      </c>
      <c r="M197" s="108" t="str">
        <f t="shared" si="1196"/>
        <v/>
      </c>
      <c r="N197" s="108">
        <f t="shared" si="1196"/>
        <v>0.31855414180442615</v>
      </c>
      <c r="O197" s="108">
        <f t="shared" si="1196"/>
        <v>0.29467426708645822</v>
      </c>
      <c r="P197" s="108" t="str">
        <f t="shared" si="1196"/>
        <v/>
      </c>
      <c r="Q197" s="108">
        <f t="shared" si="1196"/>
        <v>0.30076623653187712</v>
      </c>
      <c r="R197" s="108">
        <f t="shared" si="1196"/>
        <v>0.31423734997599123</v>
      </c>
      <c r="S197" s="108">
        <f t="shared" si="1196"/>
        <v>0.34980311831458799</v>
      </c>
      <c r="T197" s="108">
        <f t="shared" si="1196"/>
        <v>0.32418672536083776</v>
      </c>
      <c r="U197" s="108">
        <f t="shared" si="1196"/>
        <v>0.35604742082786511</v>
      </c>
      <c r="V197" s="108">
        <f t="shared" si="1196"/>
        <v>0.34899238992543985</v>
      </c>
      <c r="W197" s="108">
        <f t="shared" si="1196"/>
        <v>0.34863571315988112</v>
      </c>
      <c r="X197" s="108">
        <f t="shared" si="1196"/>
        <v>0.38126206423799403</v>
      </c>
      <c r="Y197" s="108">
        <f t="shared" si="1196"/>
        <v>0.31196541291872487</v>
      </c>
      <c r="Z197" s="108">
        <f t="shared" si="1196"/>
        <v>0.30226037817505697</v>
      </c>
      <c r="AA197" s="108">
        <f t="shared" si="1196"/>
        <v>0.30748237582421811</v>
      </c>
      <c r="AB197" s="108">
        <f t="shared" si="1196"/>
        <v>0.25416091414860292</v>
      </c>
      <c r="AC197" s="108">
        <f t="shared" si="1196"/>
        <v>0.32596860297996633</v>
      </c>
      <c r="AD197" s="108">
        <f t="shared" si="1196"/>
        <v>0.33066475997022082</v>
      </c>
      <c r="AE197" s="108">
        <f t="shared" si="1196"/>
        <v>0.24293432023884745</v>
      </c>
      <c r="AF197" s="108">
        <f t="shared" si="1196"/>
        <v>0.29104549716332589</v>
      </c>
      <c r="AG197" s="108">
        <f t="shared" si="1196"/>
        <v>0.25111613371836367</v>
      </c>
      <c r="AH197" s="108">
        <f t="shared" si="1196"/>
        <v>0.22138195550930279</v>
      </c>
      <c r="AI197" s="108" t="str">
        <f t="shared" si="1196"/>
        <v/>
      </c>
      <c r="AJ197" s="108">
        <f t="shared" si="1196"/>
        <v>0.35933753449517536</v>
      </c>
      <c r="AK197" s="108">
        <f t="shared" si="1196"/>
        <v>0.26232620811581703</v>
      </c>
      <c r="AL197" s="108">
        <f t="shared" si="1196"/>
        <v>0.39948017542901387</v>
      </c>
      <c r="AM197" s="108">
        <f t="shared" si="1196"/>
        <v>0.32096559246826212</v>
      </c>
      <c r="AN197" s="108">
        <f t="shared" si="1196"/>
        <v>0.35524338399507033</v>
      </c>
    </row>
    <row r="198" spans="1:40">
      <c r="A198" s="74"/>
      <c r="B198" s="242"/>
      <c r="C198" s="242"/>
      <c r="D198" s="242"/>
      <c r="E198" s="59" t="str">
        <f t="shared" ref="E198:E204" si="1197">E176</f>
        <v>y</v>
      </c>
      <c r="F198" s="60">
        <f t="shared" si="1125"/>
        <v>0.33131700973585354</v>
      </c>
      <c r="G198" s="60">
        <f t="shared" si="1126"/>
        <v>2.9646611015080208E-2</v>
      </c>
      <c r="H198" s="242"/>
      <c r="I198" s="108" t="str">
        <f>IF(I$54,I192/SUM(I191:I193),"")</f>
        <v/>
      </c>
      <c r="J198" s="108" t="str">
        <f t="shared" ref="J198:AN198" si="1198">IF(J$54,J192/SUM(J191:J193),"")</f>
        <v/>
      </c>
      <c r="K198" s="108">
        <f t="shared" si="1198"/>
        <v>0.29042150930380473</v>
      </c>
      <c r="L198" s="108">
        <f t="shared" si="1198"/>
        <v>0.30177767898899266</v>
      </c>
      <c r="M198" s="108" t="str">
        <f t="shared" si="1198"/>
        <v/>
      </c>
      <c r="N198" s="108">
        <f t="shared" si="1198"/>
        <v>0.33694698424475361</v>
      </c>
      <c r="O198" s="108">
        <f t="shared" si="1198"/>
        <v>0.32095212503871834</v>
      </c>
      <c r="P198" s="108" t="str">
        <f t="shared" si="1198"/>
        <v/>
      </c>
      <c r="Q198" s="108">
        <f t="shared" si="1198"/>
        <v>0.32462362368618863</v>
      </c>
      <c r="R198" s="108">
        <f t="shared" si="1198"/>
        <v>0.33376198704327309</v>
      </c>
      <c r="S198" s="108">
        <f t="shared" si="1198"/>
        <v>0.35675745517025054</v>
      </c>
      <c r="T198" s="108">
        <f t="shared" si="1198"/>
        <v>0.34002590883855405</v>
      </c>
      <c r="U198" s="108">
        <f t="shared" si="1198"/>
        <v>0.36079275086307849</v>
      </c>
      <c r="V198" s="108">
        <f t="shared" si="1198"/>
        <v>0.35641821961037112</v>
      </c>
      <c r="W198" s="108">
        <f t="shared" si="1198"/>
        <v>0.35620129548489671</v>
      </c>
      <c r="X198" s="108">
        <f t="shared" si="1198"/>
        <v>0.37762679673250338</v>
      </c>
      <c r="Y198" s="108">
        <f t="shared" si="1198"/>
        <v>0.33217690608179407</v>
      </c>
      <c r="Z198" s="108">
        <f t="shared" si="1198"/>
        <v>0.32616484015669728</v>
      </c>
      <c r="AA198" s="108">
        <f t="shared" si="1198"/>
        <v>0.32970600088066432</v>
      </c>
      <c r="AB198" s="108">
        <f t="shared" si="1198"/>
        <v>0.29471663708910179</v>
      </c>
      <c r="AC198" s="108">
        <f t="shared" si="1198"/>
        <v>0.34139603467023771</v>
      </c>
      <c r="AD198" s="108">
        <f t="shared" si="1198"/>
        <v>0.34435968450216203</v>
      </c>
      <c r="AE198" s="108">
        <f t="shared" si="1198"/>
        <v>0.28699014953935026</v>
      </c>
      <c r="AF198" s="108">
        <f t="shared" si="1198"/>
        <v>0.31880763414884167</v>
      </c>
      <c r="AG198" s="108">
        <f t="shared" si="1198"/>
        <v>0.29209847952294221</v>
      </c>
      <c r="AH198" s="108">
        <f t="shared" si="1198"/>
        <v>0.27200750847454258</v>
      </c>
      <c r="AI198" s="108" t="str">
        <f t="shared" si="1198"/>
        <v/>
      </c>
      <c r="AJ198" s="108">
        <f t="shared" si="1198"/>
        <v>0.36316560831062245</v>
      </c>
      <c r="AK198" s="108">
        <f t="shared" si="1198"/>
        <v>0.29939794785738544</v>
      </c>
      <c r="AL198" s="108">
        <f t="shared" si="1198"/>
        <v>0.38934662190122743</v>
      </c>
      <c r="AM198" s="108">
        <f t="shared" si="1198"/>
        <v>0.33818683754208206</v>
      </c>
      <c r="AN198" s="108">
        <f t="shared" si="1198"/>
        <v>0.36073203718500829</v>
      </c>
    </row>
    <row r="199" spans="1:40">
      <c r="B199" s="242"/>
      <c r="C199" s="242"/>
      <c r="D199" s="242"/>
      <c r="E199" s="59" t="str">
        <f t="shared" si="1197"/>
        <v>CCT</v>
      </c>
      <c r="F199" s="75">
        <f t="shared" si="1125"/>
        <v>5640.7777777777774</v>
      </c>
      <c r="G199" s="75">
        <f t="shared" si="1126"/>
        <v>6698.8272414099765</v>
      </c>
      <c r="H199" s="242"/>
      <c r="I199" s="109" t="str">
        <f>IF(I$54,getCCTfromXY(I197,I198,0),"")</f>
        <v/>
      </c>
      <c r="J199" s="109" t="str">
        <f t="shared" ref="J199" si="1199">IF(J$54,getCCTfromXY(J197,J198,0),"")</f>
        <v/>
      </c>
      <c r="K199" s="109">
        <f t="shared" ref="K199" si="1200">IF(K$54,getCCTfromXY(K197,K198,0),"")</f>
        <v>14772</v>
      </c>
      <c r="L199" s="109">
        <f t="shared" ref="L199" si="1201">IF(L$54,getCCTfromXY(L197,L198,0),"")</f>
        <v>11271</v>
      </c>
      <c r="M199" s="109" t="str">
        <f t="shared" ref="M199" si="1202">IF(M$54,getCCTfromXY(M197,M198,0),"")</f>
        <v/>
      </c>
      <c r="N199" s="109">
        <f t="shared" ref="N199" si="1203">IF(N$54,getCCTfromXY(N197,N198,0),"")</f>
        <v>6260</v>
      </c>
      <c r="O199" s="109">
        <f t="shared" ref="O199" si="1204">IF(O$54,getCCTfromXY(O197,O198,0),"")</f>
        <v>7878</v>
      </c>
      <c r="P199" s="109" t="str">
        <f t="shared" ref="P199" si="1205">IF(P$54,getCCTfromXY(P197,P198,0),"")</f>
        <v/>
      </c>
      <c r="Q199" s="109">
        <f t="shared" ref="Q199" si="1206">IF(Q$54,getCCTfromXY(Q197,Q198,0),"")</f>
        <v>7403</v>
      </c>
      <c r="R199" s="109">
        <f t="shared" ref="R199" si="1207">IF(R$54,getCCTfromXY(R197,R198,0),"")</f>
        <v>6507</v>
      </c>
      <c r="S199" s="109">
        <f t="shared" ref="S199" si="1208">IF(S$54,getCCTfromXY(S197,S198,0),"")</f>
        <v>4897</v>
      </c>
      <c r="T199" s="109">
        <f t="shared" ref="T199" si="1209">IF(T$54,getCCTfromXY(T197,T198,0),"")</f>
        <v>5966</v>
      </c>
      <c r="U199" s="109">
        <f t="shared" ref="U199" si="1210">IF(U$54,getCCTfromXY(U197,U198,0),"")</f>
        <v>4690</v>
      </c>
      <c r="V199" s="109">
        <f t="shared" ref="V199" si="1211">IF(V$54,getCCTfromXY(V197,V198,0),"")</f>
        <v>4926</v>
      </c>
      <c r="W199" s="109">
        <f t="shared" ref="W199" si="1212">IF(W$54,getCCTfromXY(W197,W198,0),"")</f>
        <v>4938</v>
      </c>
      <c r="X199" s="109">
        <f t="shared" ref="X199" si="1213">IF(X$54,getCCTfromXY(X197,X198,0),"")</f>
        <v>4012</v>
      </c>
      <c r="Y199" s="109">
        <f t="shared" ref="Y199" si="1214">IF(Y$54,getCCTfromXY(Y197,Y198,0),"")</f>
        <v>6644</v>
      </c>
      <c r="Z199" s="109">
        <f t="shared" ref="Z199" si="1215">IF(Z$54,getCCTfromXY(Z197,Z198,0),"")</f>
        <v>7285</v>
      </c>
      <c r="AA199" s="109">
        <f t="shared" ref="AA199" si="1216">IF(AA$54,getCCTfromXY(AA197,AA198,0),"")</f>
        <v>6924</v>
      </c>
      <c r="AB199" s="109">
        <f t="shared" ref="AB199" si="1217">IF(AB$54,getCCTfromXY(AB197,AB198,0),"")</f>
        <v>13292</v>
      </c>
      <c r="AC199" s="109">
        <f t="shared" ref="AC199" si="1218">IF(AC$54,getCCTfromXY(AC197,AC198,0),"")</f>
        <v>5878</v>
      </c>
      <c r="AD199" s="109">
        <f t="shared" ref="AD199" si="1219">IF(AD$54,getCCTfromXY(AD197,AD198,0),"")</f>
        <v>5657</v>
      </c>
      <c r="AE199" s="109">
        <f t="shared" ref="AE199" si="1220">IF(AE$54,getCCTfromXY(AE197,AE198,0),"")</f>
        <v>-15000</v>
      </c>
      <c r="AF199" s="109">
        <f t="shared" ref="AF199" si="1221">IF(AF$54,getCCTfromXY(AF197,AF198,0),"")</f>
        <v>8186</v>
      </c>
      <c r="AG199" s="109">
        <f t="shared" ref="AG199" si="1222">IF(AG$54,getCCTfromXY(AG197,AG198,0),"")</f>
        <v>14048</v>
      </c>
      <c r="AH199" s="109">
        <f t="shared" ref="AH199" si="1223">IF(AH$54,getCCTfromXY(AH197,AH198,0),"")</f>
        <v>-15000</v>
      </c>
      <c r="AI199" s="109" t="str">
        <f t="shared" ref="AI199" si="1224">IF(AI$54,getCCTfromXY(AI197,AI198,0),"")</f>
        <v/>
      </c>
      <c r="AJ199" s="109">
        <f t="shared" ref="AJ199" si="1225">IF(AJ$54,getCCTfromXY(AJ197,AJ198,0),"")</f>
        <v>4589</v>
      </c>
      <c r="AK199" s="109">
        <f t="shared" ref="AK199" si="1226">IF(AK$54,getCCTfromXY(AK197,AK198,0),"")</f>
        <v>11788</v>
      </c>
      <c r="AL199" s="109">
        <f t="shared" ref="AL199" si="1227">IF(AL$54,getCCTfromXY(AL197,AL198,0),"")</f>
        <v>3640</v>
      </c>
      <c r="AM199" s="109">
        <f t="shared" ref="AM199" si="1228">IF(AM$54,getCCTfromXY(AM197,AM198,0),"")</f>
        <v>6132</v>
      </c>
      <c r="AN199" s="109">
        <f t="shared" ref="AN199" si="1229">IF(AN$54,getCCTfromXY(AN197,AN198,0),"")</f>
        <v>4718</v>
      </c>
    </row>
    <row r="200" spans="1:40">
      <c r="B200" s="242"/>
      <c r="C200" s="242"/>
      <c r="D200" s="242"/>
      <c r="E200" s="59" t="str">
        <f t="shared" si="1197"/>
        <v>MK-1</v>
      </c>
      <c r="F200" s="61">
        <f t="shared" si="1125"/>
        <v>142.16744782860019</v>
      </c>
      <c r="G200" s="61">
        <f t="shared" si="1126"/>
        <v>80.528230103036051</v>
      </c>
      <c r="H200" s="242"/>
      <c r="I200" s="130" t="str">
        <f>IF(I$54,10^6/I199,"")</f>
        <v/>
      </c>
      <c r="J200" s="130" t="str">
        <f t="shared" ref="J200" si="1230">IF(J$54,10^6/J199,"")</f>
        <v/>
      </c>
      <c r="K200" s="130">
        <f t="shared" ref="K200" si="1231">IF(K$54,10^6/K199,"")</f>
        <v>67.695640400758194</v>
      </c>
      <c r="L200" s="130">
        <f t="shared" ref="L200" si="1232">IF(L$54,10^6/L199,"")</f>
        <v>88.723272114275574</v>
      </c>
      <c r="M200" s="130" t="str">
        <f t="shared" ref="M200" si="1233">IF(M$54,10^6/M199,"")</f>
        <v/>
      </c>
      <c r="N200" s="130">
        <f t="shared" ref="N200" si="1234">IF(N$54,10^6/N199,"")</f>
        <v>159.7444089456869</v>
      </c>
      <c r="O200" s="130">
        <f t="shared" ref="O200" si="1235">IF(O$54,10^6/O199,"")</f>
        <v>126.93577050012694</v>
      </c>
      <c r="P200" s="130" t="str">
        <f t="shared" ref="P200" si="1236">IF(P$54,10^6/P199,"")</f>
        <v/>
      </c>
      <c r="Q200" s="130">
        <f t="shared" ref="Q200" si="1237">IF(Q$54,10^6/Q199,"")</f>
        <v>135.080372821829</v>
      </c>
      <c r="R200" s="130">
        <f t="shared" ref="R200" si="1238">IF(R$54,10^6/R199,"")</f>
        <v>153.68065160596282</v>
      </c>
      <c r="S200" s="130">
        <f t="shared" ref="S200" si="1239">IF(S$54,10^6/S199,"")</f>
        <v>204.20665713702266</v>
      </c>
      <c r="T200" s="130">
        <f t="shared" ref="T200" si="1240">IF(T$54,10^6/T199,"")</f>
        <v>167.61649346295675</v>
      </c>
      <c r="U200" s="130">
        <f t="shared" ref="U200" si="1241">IF(U$54,10^6/U199,"")</f>
        <v>213.21961620469082</v>
      </c>
      <c r="V200" s="130">
        <f t="shared" ref="V200" si="1242">IF(V$54,10^6/V199,"")</f>
        <v>203.00446609825417</v>
      </c>
      <c r="W200" s="130">
        <f t="shared" ref="W200" si="1243">IF(W$54,10^6/W199,"")</f>
        <v>202.5111381125962</v>
      </c>
      <c r="X200" s="130">
        <f t="shared" ref="X200" si="1244">IF(X$54,10^6/X199,"")</f>
        <v>249.25224327018944</v>
      </c>
      <c r="Y200" s="130">
        <f t="shared" ref="Y200" si="1245">IF(Y$54,10^6/Y199,"")</f>
        <v>150.51173991571343</v>
      </c>
      <c r="Z200" s="130">
        <f t="shared" ref="Z200" si="1246">IF(Z$54,10^6/Z199,"")</f>
        <v>137.26835964310226</v>
      </c>
      <c r="AA200" s="130">
        <f t="shared" ref="AA200" si="1247">IF(AA$54,10^6/AA199,"")</f>
        <v>144.42518775274408</v>
      </c>
      <c r="AB200" s="130">
        <f t="shared" ref="AB200" si="1248">IF(AB$54,10^6/AB199,"")</f>
        <v>75.233222991272953</v>
      </c>
      <c r="AC200" s="130">
        <f t="shared" ref="AC200" si="1249">IF(AC$54,10^6/AC199,"")</f>
        <v>170.12589316093909</v>
      </c>
      <c r="AD200" s="130">
        <f t="shared" ref="AD200" si="1250">IF(AD$54,10^6/AD199,"")</f>
        <v>176.772140710624</v>
      </c>
      <c r="AE200" s="130">
        <f t="shared" ref="AE200" si="1251">IF(AE$54,10^6/AE199,"")</f>
        <v>-66.666666666666671</v>
      </c>
      <c r="AF200" s="130">
        <f t="shared" ref="AF200" si="1252">IF(AF$54,10^6/AF199,"")</f>
        <v>122.15978499877841</v>
      </c>
      <c r="AG200" s="130">
        <f t="shared" ref="AG200" si="1253">IF(AG$54,10^6/AG199,"")</f>
        <v>71.184510250569474</v>
      </c>
      <c r="AH200" s="130">
        <f t="shared" ref="AH200" si="1254">IF(AH$54,10^6/AH199,"")</f>
        <v>-66.666666666666671</v>
      </c>
      <c r="AI200" s="130" t="str">
        <f t="shared" ref="AI200" si="1255">IF(AI$54,10^6/AI199,"")</f>
        <v/>
      </c>
      <c r="AJ200" s="130">
        <f t="shared" ref="AJ200" si="1256">IF(AJ$54,10^6/AJ199,"")</f>
        <v>217.91239921551536</v>
      </c>
      <c r="AK200" s="130">
        <f t="shared" ref="AK200" si="1257">IF(AK$54,10^6/AK199,"")</f>
        <v>84.832032575500506</v>
      </c>
      <c r="AL200" s="130">
        <f t="shared" ref="AL200" si="1258">IF(AL$54,10^6/AL199,"")</f>
        <v>274.72527472527474</v>
      </c>
      <c r="AM200" s="130">
        <f t="shared" ref="AM200" si="1259">IF(AM$54,10^6/AM199,"")</f>
        <v>163.07893020221786</v>
      </c>
      <c r="AN200" s="130">
        <f t="shared" ref="AN200" si="1260">IF(AN$54,10^6/AN199,"")</f>
        <v>211.954217888936</v>
      </c>
    </row>
    <row r="201" spans="1:40">
      <c r="A201" s="74"/>
      <c r="B201" s="242"/>
      <c r="C201" s="242" t="str">
        <f>C194</f>
        <v>HI</v>
      </c>
      <c r="D201" s="242"/>
      <c r="E201" s="59" t="str">
        <f t="shared" si="1197"/>
        <v>x</v>
      </c>
      <c r="F201" s="60">
        <f t="shared" si="1125"/>
        <v>0.31100359689406298</v>
      </c>
      <c r="G201" s="60">
        <f t="shared" si="1126"/>
        <v>4.6025086814138062E-2</v>
      </c>
      <c r="H201" s="242"/>
      <c r="I201" s="108" t="str">
        <f>IF(I$54,I194/SUM(I194:I196),"")</f>
        <v/>
      </c>
      <c r="J201" s="108" t="str">
        <f t="shared" ref="J201:AN201" si="1261">IF(J$54,J194/SUM(J194:J196),"")</f>
        <v/>
      </c>
      <c r="K201" s="108">
        <f t="shared" si="1261"/>
        <v>0.24084421275519097</v>
      </c>
      <c r="L201" s="108">
        <f t="shared" si="1261"/>
        <v>0.26646018969786323</v>
      </c>
      <c r="M201" s="108" t="str">
        <f t="shared" si="1261"/>
        <v/>
      </c>
      <c r="N201" s="108">
        <f t="shared" si="1261"/>
        <v>0.31907508050096073</v>
      </c>
      <c r="O201" s="108">
        <f t="shared" si="1261"/>
        <v>0.29565721289627156</v>
      </c>
      <c r="P201" s="108" t="str">
        <f t="shared" si="1261"/>
        <v/>
      </c>
      <c r="Q201" s="108">
        <f t="shared" si="1261"/>
        <v>0.30145302100638677</v>
      </c>
      <c r="R201" s="108">
        <f t="shared" si="1261"/>
        <v>0.31749672474443413</v>
      </c>
      <c r="S201" s="108">
        <f t="shared" si="1261"/>
        <v>0.35416350529710289</v>
      </c>
      <c r="T201" s="108">
        <f t="shared" si="1261"/>
        <v>0.33199996562511463</v>
      </c>
      <c r="U201" s="108">
        <f t="shared" si="1261"/>
        <v>0.35796989517903993</v>
      </c>
      <c r="V201" s="108">
        <f t="shared" si="1261"/>
        <v>0.34711328749100773</v>
      </c>
      <c r="W201" s="108">
        <f t="shared" si="1261"/>
        <v>0.343462972802975</v>
      </c>
      <c r="X201" s="108">
        <f t="shared" si="1261"/>
        <v>0.38197480422588409</v>
      </c>
      <c r="Y201" s="108">
        <f t="shared" si="1261"/>
        <v>0.318142921446049</v>
      </c>
      <c r="Z201" s="108">
        <f t="shared" si="1261"/>
        <v>0.29804050793478176</v>
      </c>
      <c r="AA201" s="108">
        <f t="shared" si="1261"/>
        <v>0.30631377670805909</v>
      </c>
      <c r="AB201" s="108">
        <f t="shared" si="1261"/>
        <v>0.25680116088341165</v>
      </c>
      <c r="AC201" s="108">
        <f t="shared" si="1261"/>
        <v>0.32638023806552857</v>
      </c>
      <c r="AD201" s="108">
        <f t="shared" si="1261"/>
        <v>0.33718177599189803</v>
      </c>
      <c r="AE201" s="108">
        <f t="shared" si="1261"/>
        <v>0.25099392366004586</v>
      </c>
      <c r="AF201" s="108">
        <f t="shared" si="1261"/>
        <v>0.28973326977167585</v>
      </c>
      <c r="AG201" s="108">
        <f t="shared" si="1261"/>
        <v>0.24517983422452339</v>
      </c>
      <c r="AH201" s="108">
        <f t="shared" si="1261"/>
        <v>0.22152718079608394</v>
      </c>
      <c r="AI201" s="108" t="str">
        <f t="shared" si="1261"/>
        <v/>
      </c>
      <c r="AJ201" s="108">
        <f t="shared" si="1261"/>
        <v>0.35769180431950898</v>
      </c>
      <c r="AK201" s="108">
        <f t="shared" si="1261"/>
        <v>0.25676895278276218</v>
      </c>
      <c r="AL201" s="108">
        <f t="shared" si="1261"/>
        <v>0.4005950611294008</v>
      </c>
      <c r="AM201" s="108">
        <f t="shared" si="1261"/>
        <v>0.31660236838764116</v>
      </c>
      <c r="AN201" s="108">
        <f t="shared" si="1261"/>
        <v>0.35747346781609857</v>
      </c>
    </row>
    <row r="202" spans="1:40">
      <c r="A202" s="74"/>
      <c r="B202" s="242"/>
      <c r="C202" s="242"/>
      <c r="D202" s="242"/>
      <c r="E202" s="59" t="str">
        <f t="shared" si="1197"/>
        <v>y</v>
      </c>
      <c r="F202" s="60">
        <f t="shared" si="1125"/>
        <v>0.33156727319957996</v>
      </c>
      <c r="G202" s="60">
        <f t="shared" si="1126"/>
        <v>3.0166855388839106E-2</v>
      </c>
      <c r="H202" s="242"/>
      <c r="I202" s="108" t="str">
        <f>IF(I$54,I195/SUM(I194:I196),"")</f>
        <v/>
      </c>
      <c r="J202" s="108" t="str">
        <f t="shared" ref="J202:AN202" si="1262">IF(J$54,J195/SUM(J194:J196),"")</f>
        <v/>
      </c>
      <c r="K202" s="108">
        <f t="shared" si="1262"/>
        <v>0.28575183360154149</v>
      </c>
      <c r="L202" s="108">
        <f t="shared" si="1262"/>
        <v>0.30259750968382537</v>
      </c>
      <c r="M202" s="108" t="str">
        <f t="shared" si="1262"/>
        <v/>
      </c>
      <c r="N202" s="108">
        <f t="shared" si="1262"/>
        <v>0.33731171477153782</v>
      </c>
      <c r="O202" s="108">
        <f t="shared" si="1262"/>
        <v>0.32152245518376521</v>
      </c>
      <c r="P202" s="108" t="str">
        <f t="shared" si="1262"/>
        <v/>
      </c>
      <c r="Q202" s="108">
        <f t="shared" si="1262"/>
        <v>0.32512222568081245</v>
      </c>
      <c r="R202" s="108">
        <f t="shared" si="1262"/>
        <v>0.33587747260862522</v>
      </c>
      <c r="S202" s="108">
        <f t="shared" si="1262"/>
        <v>0.35962009987235588</v>
      </c>
      <c r="T202" s="108">
        <f t="shared" si="1262"/>
        <v>0.34509758513280792</v>
      </c>
      <c r="U202" s="108">
        <f t="shared" si="1262"/>
        <v>0.36205505457159581</v>
      </c>
      <c r="V202" s="108">
        <f t="shared" si="1262"/>
        <v>0.35522551128688168</v>
      </c>
      <c r="W202" s="108">
        <f t="shared" si="1262"/>
        <v>0.35282557775603418</v>
      </c>
      <c r="X202" s="108">
        <f t="shared" si="1262"/>
        <v>0.37813052955485843</v>
      </c>
      <c r="Y202" s="108">
        <f t="shared" si="1262"/>
        <v>0.33617294897818845</v>
      </c>
      <c r="Z202" s="108">
        <f t="shared" si="1262"/>
        <v>0.32340992998663598</v>
      </c>
      <c r="AA202" s="108">
        <f t="shared" si="1262"/>
        <v>0.32896679373302079</v>
      </c>
      <c r="AB202" s="108">
        <f t="shared" si="1262"/>
        <v>0.29646648481862187</v>
      </c>
      <c r="AC202" s="108">
        <f t="shared" si="1262"/>
        <v>0.34158399153448671</v>
      </c>
      <c r="AD202" s="108">
        <f t="shared" si="1262"/>
        <v>0.34860946982261959</v>
      </c>
      <c r="AE202" s="108">
        <f t="shared" si="1262"/>
        <v>0.29227457884246422</v>
      </c>
      <c r="AF202" s="108">
        <f t="shared" si="1262"/>
        <v>0.31795944679084692</v>
      </c>
      <c r="AG202" s="108">
        <f t="shared" si="1262"/>
        <v>0.28823450760056246</v>
      </c>
      <c r="AH202" s="108">
        <f t="shared" si="1262"/>
        <v>0.27205739335386631</v>
      </c>
      <c r="AI202" s="108" t="str">
        <f t="shared" si="1262"/>
        <v/>
      </c>
      <c r="AJ202" s="108">
        <f t="shared" si="1262"/>
        <v>0.36208116277318969</v>
      </c>
      <c r="AK202" s="108">
        <f t="shared" si="1262"/>
        <v>0.29578505392806664</v>
      </c>
      <c r="AL202" s="108">
        <f t="shared" si="1262"/>
        <v>0.39003612600487902</v>
      </c>
      <c r="AM202" s="108">
        <f t="shared" si="1262"/>
        <v>0.33531988174495037</v>
      </c>
      <c r="AN202" s="108">
        <f t="shared" si="1262"/>
        <v>0.36222103677161721</v>
      </c>
    </row>
    <row r="203" spans="1:40">
      <c r="B203" s="242"/>
      <c r="C203" s="242"/>
      <c r="D203" s="242"/>
      <c r="E203" s="59" t="str">
        <f t="shared" si="1197"/>
        <v>CCT</v>
      </c>
      <c r="F203" s="75">
        <f t="shared" si="1125"/>
        <v>4525.3703703703704</v>
      </c>
      <c r="G203" s="75">
        <f t="shared" si="1126"/>
        <v>7545.5659987946055</v>
      </c>
      <c r="H203" s="242"/>
      <c r="I203" s="109" t="str">
        <f>IF(I$54,getCCTfromXY(I201,I202,0),"")</f>
        <v/>
      </c>
      <c r="J203" s="109" t="str">
        <f t="shared" ref="J203" si="1263">IF(J$54,getCCTfromXY(J201,J202,0),"")</f>
        <v/>
      </c>
      <c r="K203" s="109">
        <f t="shared" ref="K203" si="1264">IF(K$54,getCCTfromXY(K201,K202,0),"")</f>
        <v>-15000</v>
      </c>
      <c r="L203" s="109">
        <f t="shared" ref="L203" si="1265">IF(L$54,getCCTfromXY(L201,L202,0),"")</f>
        <v>11079</v>
      </c>
      <c r="M203" s="109" t="str">
        <f t="shared" ref="M203" si="1266">IF(M$54,getCCTfromXY(M201,M202,0),"")</f>
        <v/>
      </c>
      <c r="N203" s="109">
        <f t="shared" ref="N203" si="1267">IF(N$54,getCCTfromXY(N201,N202,0),"")</f>
        <v>6231</v>
      </c>
      <c r="O203" s="109">
        <f t="shared" ref="O203" si="1268">IF(O$54,getCCTfromXY(O201,O202,0),"")</f>
        <v>7798</v>
      </c>
      <c r="P203" s="109" t="str">
        <f t="shared" ref="P203" si="1269">IF(P$54,getCCTfromXY(P201,P202,0),"")</f>
        <v/>
      </c>
      <c r="Q203" s="109">
        <f t="shared" ref="Q203" si="1270">IF(Q$54,getCCTfromXY(Q201,Q202,0),"")</f>
        <v>7352</v>
      </c>
      <c r="R203" s="109">
        <f t="shared" ref="R203" si="1271">IF(R$54,getCCTfromXY(R201,R202,0),"")</f>
        <v>6320</v>
      </c>
      <c r="S203" s="109">
        <f t="shared" ref="S203" si="1272">IF(S$54,getCCTfromXY(S201,S202,0),"")</f>
        <v>4751</v>
      </c>
      <c r="T203" s="109">
        <f t="shared" ref="T203" si="1273">IF(T$54,getCCTfromXY(T201,T202,0),"")</f>
        <v>5596</v>
      </c>
      <c r="U203" s="109">
        <f t="shared" ref="U203" si="1274">IF(U$54,getCCTfromXY(U201,U202,0),"")</f>
        <v>4630</v>
      </c>
      <c r="V203" s="109">
        <f t="shared" ref="V203" si="1275">IF(V$54,getCCTfromXY(V201,V202,0),"")</f>
        <v>4992</v>
      </c>
      <c r="W203" s="109">
        <f t="shared" ref="W203" si="1276">IF(W$54,getCCTfromXY(W201,W202,0),"")</f>
        <v>5126</v>
      </c>
      <c r="X203" s="109">
        <f t="shared" ref="X203" si="1277">IF(X$54,getCCTfromXY(X201,X202,0),"")</f>
        <v>3996</v>
      </c>
      <c r="Y203" s="109">
        <f t="shared" ref="Y203" si="1278">IF(Y$54,getCCTfromXY(Y201,Y202,0),"")</f>
        <v>6285</v>
      </c>
      <c r="Z203" s="109">
        <f t="shared" ref="Z203" si="1279">IF(Z$54,getCCTfromXY(Z201,Z202,0),"")</f>
        <v>7602</v>
      </c>
      <c r="AA203" s="109">
        <f t="shared" ref="AA203" si="1280">IF(AA$54,getCCTfromXY(AA201,AA202,0),"")</f>
        <v>7001</v>
      </c>
      <c r="AB203" s="109">
        <f t="shared" ref="AB203" si="1281">IF(AB$54,getCCTfromXY(AB201,AB202,0),"")</f>
        <v>12749</v>
      </c>
      <c r="AC203" s="109">
        <f t="shared" ref="AC203" si="1282">IF(AC$54,getCCTfromXY(AC201,AC202,0),"")</f>
        <v>5858</v>
      </c>
      <c r="AD203" s="109">
        <f t="shared" ref="AD203" si="1283">IF(AD$54,getCCTfromXY(AD201,AD202,0),"")</f>
        <v>5374</v>
      </c>
      <c r="AE203" s="109">
        <f t="shared" ref="AE203" si="1284">IF(AE$54,getCCTfromXY(AE201,AE202,0),"")</f>
        <v>14044</v>
      </c>
      <c r="AF203" s="109">
        <f t="shared" ref="AF203" si="1285">IF(AF$54,getCCTfromXY(AF201,AF202,0),"")</f>
        <v>8305</v>
      </c>
      <c r="AG203" s="109">
        <f t="shared" ref="AG203" si="1286">IF(AG$54,getCCTfromXY(AG201,AG202,0),"")</f>
        <v>-15000</v>
      </c>
      <c r="AH203" s="109">
        <f t="shared" ref="AH203" si="1287">IF(AH$54,getCCTfromXY(AH201,AH202,0),"")</f>
        <v>-15000</v>
      </c>
      <c r="AI203" s="109" t="str">
        <f t="shared" ref="AI203" si="1288">IF(AI$54,getCCTfromXY(AI201,AI202,0),"")</f>
        <v/>
      </c>
      <c r="AJ203" s="109">
        <f t="shared" ref="AJ203" si="1289">IF(AJ$54,getCCTfromXY(AJ201,AJ202,0),"")</f>
        <v>4639</v>
      </c>
      <c r="AK203" s="109">
        <f t="shared" ref="AK203" si="1290">IF(AK$54,getCCTfromXY(AK201,AK202,0),"")</f>
        <v>12820</v>
      </c>
      <c r="AL203" s="109">
        <f t="shared" ref="AL203" si="1291">IF(AL$54,getCCTfromXY(AL201,AL202,0),"")</f>
        <v>3619</v>
      </c>
      <c r="AM203" s="109">
        <f t="shared" ref="AM203" si="1292">IF(AM$54,getCCTfromXY(AM201,AM202,0),"")</f>
        <v>6370</v>
      </c>
      <c r="AN203" s="109">
        <f t="shared" ref="AN203" si="1293">IF(AN$54,getCCTfromXY(AN201,AN202,0),"")</f>
        <v>4648</v>
      </c>
    </row>
    <row r="204" spans="1:40">
      <c r="B204" s="242"/>
      <c r="C204" s="242"/>
      <c r="D204" s="242"/>
      <c r="E204" s="59" t="str">
        <f t="shared" si="1197"/>
        <v>MK-1</v>
      </c>
      <c r="F204" s="61">
        <f t="shared" si="1125"/>
        <v>138.0147585824057</v>
      </c>
      <c r="G204" s="61">
        <f t="shared" si="1126"/>
        <v>89.649591512007945</v>
      </c>
      <c r="H204" s="242"/>
      <c r="I204" s="130" t="str">
        <f>IF(I$54,10^6/I203,"")</f>
        <v/>
      </c>
      <c r="J204" s="130" t="str">
        <f t="shared" ref="J204" si="1294">IF(J$54,10^6/J203,"")</f>
        <v/>
      </c>
      <c r="K204" s="130">
        <f t="shared" ref="K204" si="1295">IF(K$54,10^6/K203,"")</f>
        <v>-66.666666666666671</v>
      </c>
      <c r="L204" s="130">
        <f t="shared" ref="L204" si="1296">IF(L$54,10^6/L203,"")</f>
        <v>90.260853867677582</v>
      </c>
      <c r="M204" s="130" t="str">
        <f t="shared" ref="M204" si="1297">IF(M$54,10^6/M203,"")</f>
        <v/>
      </c>
      <c r="N204" s="130">
        <f t="shared" ref="N204" si="1298">IF(N$54,10^6/N203,"")</f>
        <v>160.48788316482106</v>
      </c>
      <c r="O204" s="130">
        <f t="shared" ref="O204" si="1299">IF(O$54,10^6/O203,"")</f>
        <v>128.23800974608875</v>
      </c>
      <c r="P204" s="130" t="str">
        <f t="shared" ref="P204" si="1300">IF(P$54,10^6/P203,"")</f>
        <v/>
      </c>
      <c r="Q204" s="130">
        <f t="shared" ref="Q204" si="1301">IF(Q$54,10^6/Q203,"")</f>
        <v>136.01741022850925</v>
      </c>
      <c r="R204" s="130">
        <f t="shared" ref="R204" si="1302">IF(R$54,10^6/R203,"")</f>
        <v>158.22784810126583</v>
      </c>
      <c r="S204" s="130">
        <f t="shared" ref="S204" si="1303">IF(S$54,10^6/S203,"")</f>
        <v>210.48200378867608</v>
      </c>
      <c r="T204" s="130">
        <f t="shared" ref="T204" si="1304">IF(T$54,10^6/T203,"")</f>
        <v>178.69907076483202</v>
      </c>
      <c r="U204" s="130">
        <f t="shared" ref="U204" si="1305">IF(U$54,10^6/U203,"")</f>
        <v>215.98272138228941</v>
      </c>
      <c r="V204" s="130">
        <f t="shared" ref="V204" si="1306">IF(V$54,10^6/V203,"")</f>
        <v>200.32051282051282</v>
      </c>
      <c r="W204" s="130">
        <f t="shared" ref="W204" si="1307">IF(W$54,10^6/W203,"")</f>
        <v>195.08388607101054</v>
      </c>
      <c r="X204" s="130">
        <f t="shared" ref="X204" si="1308">IF(X$54,10^6/X203,"")</f>
        <v>250.25025025025025</v>
      </c>
      <c r="Y204" s="130">
        <f t="shared" ref="Y204" si="1309">IF(Y$54,10^6/Y203,"")</f>
        <v>159.10898965791569</v>
      </c>
      <c r="Z204" s="130">
        <f t="shared" ref="Z204" si="1310">IF(Z$54,10^6/Z203,"")</f>
        <v>131.54433043935808</v>
      </c>
      <c r="AA204" s="130">
        <f t="shared" ref="AA204" si="1311">IF(AA$54,10^6/AA203,"")</f>
        <v>142.83673760891301</v>
      </c>
      <c r="AB204" s="130">
        <f t="shared" ref="AB204" si="1312">IF(AB$54,10^6/AB203,"")</f>
        <v>78.437524511726409</v>
      </c>
      <c r="AC204" s="130">
        <f t="shared" ref="AC204" si="1313">IF(AC$54,10^6/AC203,"")</f>
        <v>170.70672584499829</v>
      </c>
      <c r="AD204" s="130">
        <f t="shared" ref="AD204" si="1314">IF(AD$54,10^6/AD203,"")</f>
        <v>186.08113137327874</v>
      </c>
      <c r="AE204" s="130">
        <f t="shared" ref="AE204" si="1315">IF(AE$54,10^6/AE203,"")</f>
        <v>71.204784961549421</v>
      </c>
      <c r="AF204" s="130">
        <f t="shared" ref="AF204" si="1316">IF(AF$54,10^6/AF203,"")</f>
        <v>120.40939193257074</v>
      </c>
      <c r="AG204" s="130">
        <f t="shared" ref="AG204" si="1317">IF(AG$54,10^6/AG203,"")</f>
        <v>-66.666666666666671</v>
      </c>
      <c r="AH204" s="130">
        <f t="shared" ref="AH204" si="1318">IF(AH$54,10^6/AH203,"")</f>
        <v>-66.666666666666671</v>
      </c>
      <c r="AI204" s="130" t="str">
        <f t="shared" ref="AI204" si="1319">IF(AI$54,10^6/AI203,"")</f>
        <v/>
      </c>
      <c r="AJ204" s="130">
        <f t="shared" ref="AJ204" si="1320">IF(AJ$54,10^6/AJ203,"")</f>
        <v>215.56369907307609</v>
      </c>
      <c r="AK204" s="130">
        <f t="shared" ref="AK204" si="1321">IF(AK$54,10^6/AK203,"")</f>
        <v>78.003120124804994</v>
      </c>
      <c r="AL204" s="130">
        <f t="shared" ref="AL204" si="1322">IF(AL$54,10^6/AL203,"")</f>
        <v>276.31942525559549</v>
      </c>
      <c r="AM204" s="130">
        <f t="shared" ref="AM204" si="1323">IF(AM$54,10^6/AM203,"")</f>
        <v>156.98587127158555</v>
      </c>
      <c r="AN204" s="130">
        <f t="shared" ref="AN204" si="1324">IF(AN$54,10^6/AN203,"")</f>
        <v>215.14629948364887</v>
      </c>
    </row>
    <row r="205" spans="1:40">
      <c r="B205" s="242"/>
      <c r="C205" s="242" t="str">
        <f>C183</f>
        <v>Error</v>
      </c>
      <c r="D205" s="59" t="str">
        <f>C197</f>
        <v>LO</v>
      </c>
      <c r="E205" s="242" t="str">
        <f>E183</f>
        <v>Δxy</v>
      </c>
      <c r="F205" s="60">
        <f t="shared" si="1125"/>
        <v>4.3129345538311548E-2</v>
      </c>
      <c r="G205" s="60">
        <f t="shared" si="1126"/>
        <v>3.1876457015939608E-2</v>
      </c>
      <c r="H205" s="60">
        <f>H191/SUM(H191:H193)</f>
        <v>0.31533814071331123</v>
      </c>
      <c r="I205" s="108" t="str">
        <f>IF(I$54,((I197-$H205)^2+(I198-$H206)^2)^0.5,"")</f>
        <v/>
      </c>
      <c r="J205" s="108" t="str">
        <f t="shared" ref="J205" si="1325">IF(J$54,((J197-$H205)^2+(J198-$H206)^2)^0.5,"")</f>
        <v/>
      </c>
      <c r="K205" s="108">
        <f t="shared" ref="K205" si="1326">IF(K$54,((K197-$H205)^2+(K198-$H206)^2)^0.5,"")</f>
        <v>7.8518951103175999E-2</v>
      </c>
      <c r="L205" s="108">
        <f t="shared" ref="L205" si="1327">IF(L$54,((L197-$H205)^2+(L198-$H206)^2)^0.5,"")</f>
        <v>5.7869043931271645E-2</v>
      </c>
      <c r="M205" s="108" t="str">
        <f t="shared" ref="M205" si="1328">IF(M$54,((M197-$H205)^2+(M198-$H206)^2)^0.5,"")</f>
        <v/>
      </c>
      <c r="N205" s="108">
        <f t="shared" ref="N205" si="1329">IF(N$54,((N197-$H205)^2+(N198-$H206)^2)^0.5,"")</f>
        <v>6.9953214921123236E-3</v>
      </c>
      <c r="O205" s="108">
        <f t="shared" ref="O205" si="1330">IF(O$54,((O197-$H205)^2+(O198-$H206)^2)^0.5,"")</f>
        <v>2.2862533014083648E-2</v>
      </c>
      <c r="P205" s="108" t="str">
        <f t="shared" ref="P205" si="1331">IF(P$54,((P197-$H205)^2+(P198-$H206)^2)^0.5,"")</f>
        <v/>
      </c>
      <c r="Q205" s="108">
        <f t="shared" ref="Q205" si="1332">IF(Q$54,((Q197-$H205)^2+(Q198-$H206)^2)^0.5,"")</f>
        <v>1.5801463569450211E-2</v>
      </c>
      <c r="R205" s="108">
        <f t="shared" ref="R205" si="1333">IF(R$54,((R197-$H205)^2+(R198-$H206)^2)^0.5,"")</f>
        <v>3.2211654751794767E-3</v>
      </c>
      <c r="S205" s="108">
        <f t="shared" ref="S205" si="1334">IF(S$54,((S197-$H205)^2+(S198-$H206)^2)^0.5,"")</f>
        <v>4.3185829715970257E-2</v>
      </c>
      <c r="T205" s="108">
        <f t="shared" ref="T205" si="1335">IF(T$54,((T197-$H205)^2+(T198-$H206)^2)^0.5,"")</f>
        <v>1.2830553026905533E-2</v>
      </c>
      <c r="U205" s="108">
        <f t="shared" ref="U205" si="1336">IF(U$54,((U197-$H205)^2+(U198-$H206)^2)^0.5,"")</f>
        <v>5.0603645418996944E-2</v>
      </c>
      <c r="V205" s="108">
        <f t="shared" ref="V205" si="1337">IF(V$54,((V197-$H205)^2+(V198-$H206)^2)^0.5,"")</f>
        <v>4.2334963372889396E-2</v>
      </c>
      <c r="W205" s="108">
        <f t="shared" ref="W205" si="1338">IF(W$54,((W197-$H205)^2+(W198-$H206)^2)^0.5,"")</f>
        <v>4.1919843655524355E-2</v>
      </c>
      <c r="X205" s="108">
        <f t="shared" ref="X205" si="1339">IF(X$54,((X197-$H205)^2+(X198-$H206)^2)^0.5,"")</f>
        <v>8.0900109893478303E-2</v>
      </c>
      <c r="Y205" s="108">
        <f t="shared" ref="Y205" si="1340">IF(Y$54,((Y197-$H205)^2+(Y198-$H206)^2)^0.5,"")</f>
        <v>3.6681205276590774E-3</v>
      </c>
      <c r="Z205" s="108">
        <f t="shared" ref="Z205" si="1341">IF(Z$54,((Z197-$H205)^2+(Z198-$H206)^2)^0.5,"")</f>
        <v>1.3853228684136062E-2</v>
      </c>
      <c r="AA205" s="108">
        <f t="shared" ref="AA205" si="1342">IF(AA$54,((AA197-$H205)^2+(AA198-$H206)^2)^0.5,"")</f>
        <v>7.9228382440263579E-3</v>
      </c>
      <c r="AB205" s="108">
        <f t="shared" ref="AB205" si="1343">IF(AB$54,((AB197-$H205)^2+(AB198-$H206)^2)^0.5,"")</f>
        <v>7.0992657903639469E-2</v>
      </c>
      <c r="AC205" s="108">
        <f t="shared" ref="AC205" si="1344">IF(AC$54,((AC197-$H205)^2+(AC198-$H206)^2)^0.5,"")</f>
        <v>1.5055554728166136E-2</v>
      </c>
      <c r="AD205" s="108">
        <f t="shared" ref="AD205" si="1345">IF(AD$54,((AD197-$H205)^2+(AD198-$H206)^2)^0.5,"")</f>
        <v>2.0507172159609083E-2</v>
      </c>
      <c r="AE205" s="108">
        <f t="shared" ref="AE205" si="1346">IF(AE$54,((AE197-$H205)^2+(AE198-$H206)^2)^0.5,"")</f>
        <v>8.459257207577553E-2</v>
      </c>
      <c r="AF205" s="108">
        <f t="shared" ref="AF205" si="1347">IF(AF$54,((AF197-$H205)^2+(AF198-$H206)^2)^0.5,"")</f>
        <v>2.7062679333599855E-2</v>
      </c>
      <c r="AG205" s="108">
        <f t="shared" ref="AG205" si="1348">IF(AG$54,((AG197-$H205)^2+(AG198-$H206)^2)^0.5,"")</f>
        <v>7.4948165721054172E-2</v>
      </c>
      <c r="AH205" s="108">
        <f t="shared" ref="AH205" si="1349">IF(AH$54,((AH197-$H205)^2+(AH198-$H206)^2)^0.5,"")</f>
        <v>0.11080006129860336</v>
      </c>
      <c r="AI205" s="108" t="str">
        <f t="shared" ref="AI205" si="1350">IF(AI$54,((AI197-$H205)^2+(AI198-$H206)^2)^0.5,"")</f>
        <v/>
      </c>
      <c r="AJ205" s="108">
        <f t="shared" ref="AJ205" si="1351">IF(AJ$54,((AJ197-$H205)^2+(AJ198-$H206)^2)^0.5,"")</f>
        <v>5.4659923640431402E-2</v>
      </c>
      <c r="AK205" s="108">
        <f t="shared" ref="AK205" si="1352">IF(AK$54,((AK197-$H205)^2+(AK198-$H206)^2)^0.5,"")</f>
        <v>6.1581329465703924E-2</v>
      </c>
      <c r="AL205" s="108">
        <f t="shared" ref="AL205" si="1353">IF(AL$54,((AL197-$H205)^2+(AL198-$H206)^2)^0.5,"")</f>
        <v>0.1025438130033612</v>
      </c>
      <c r="AM205" s="108">
        <f t="shared" ref="AM205" si="1354">IF(AM$54,((AM197-$H205)^2+(AM198-$H206)^2)^0.5,"")</f>
        <v>9.3381919301757758E-3</v>
      </c>
      <c r="AN205" s="108">
        <f t="shared" ref="AN205" si="1355">IF(AN$54,((AN197-$H205)^2+(AN198-$H206)^2)^0.5,"")</f>
        <v>4.9922597149432493E-2</v>
      </c>
    </row>
    <row r="206" spans="1:40">
      <c r="B206" s="242"/>
      <c r="C206" s="242"/>
      <c r="D206" s="59" t="str">
        <f>C201</f>
        <v>HI</v>
      </c>
      <c r="E206" s="242"/>
      <c r="F206" s="148">
        <f t="shared" si="1125"/>
        <v>4.4378059646744898E-2</v>
      </c>
      <c r="G206" s="148">
        <f t="shared" si="1126"/>
        <v>3.1676799539807697E-2</v>
      </c>
      <c r="H206" s="148">
        <f>H192/SUM(H191:H193)</f>
        <v>0.33073474956148896</v>
      </c>
      <c r="I206" s="148" t="str">
        <f>IF(I$54,((I201-$H205)^2+(I202-$H206)^2)^0.5,"")</f>
        <v/>
      </c>
      <c r="J206" s="148" t="str">
        <f t="shared" ref="J206" si="1356">IF(J$54,((J201-$H205)^2+(J202-$H206)^2)^0.5,"")</f>
        <v/>
      </c>
      <c r="K206" s="148">
        <f t="shared" ref="K206" si="1357">IF(K$54,((K201-$H205)^2+(K202-$H206)^2)^0.5,"")</f>
        <v>8.7021882483024393E-2</v>
      </c>
      <c r="L206" s="148">
        <f t="shared" ref="L206" si="1358">IF(L$54,((L201-$H205)^2+(L202-$H206)^2)^0.5,"")</f>
        <v>5.6398212413175976E-2</v>
      </c>
      <c r="M206" s="148" t="str">
        <f t="shared" ref="M206" si="1359">IF(M$54,((M201-$H205)^2+(M202-$H206)^2)^0.5,"")</f>
        <v/>
      </c>
      <c r="N206" s="148">
        <f t="shared" ref="N206" si="1360">IF(N$54,((N201-$H205)^2+(N202-$H206)^2)^0.5,"")</f>
        <v>7.564468940428724E-3</v>
      </c>
      <c r="O206" s="148">
        <f t="shared" ref="O206" si="1361">IF(O$54,((O201-$H205)^2+(O202-$H206)^2)^0.5,"")</f>
        <v>2.1730285028995055E-2</v>
      </c>
      <c r="P206" s="148" t="str">
        <f t="shared" ref="P206" si="1362">IF(P$54,((P201-$H205)^2+(P202-$H206)^2)^0.5,"")</f>
        <v/>
      </c>
      <c r="Q206" s="148">
        <f t="shared" ref="Q206" si="1363">IF(Q$54,((Q201-$H205)^2+(Q202-$H206)^2)^0.5,"")</f>
        <v>1.4976547452159535E-2</v>
      </c>
      <c r="R206" s="148">
        <f t="shared" ref="R206" si="1364">IF(R$54,((R201-$H205)^2+(R202-$H206)^2)^0.5,"")</f>
        <v>5.5773726214917007E-3</v>
      </c>
      <c r="S206" s="148">
        <f t="shared" ref="S206" si="1365">IF(S$54,((S201-$H205)^2+(S202-$H206)^2)^0.5,"")</f>
        <v>4.839186292803619E-2</v>
      </c>
      <c r="T206" s="148">
        <f t="shared" ref="T206" si="1366">IF(T$54,((T201-$H205)^2+(T202-$H206)^2)^0.5,"")</f>
        <v>2.1997896604910607E-2</v>
      </c>
      <c r="U206" s="148">
        <f t="shared" ref="U206" si="1367">IF(U$54,((U201-$H205)^2+(U202-$H206)^2)^0.5,"")</f>
        <v>5.2900170082451563E-2</v>
      </c>
      <c r="V206" s="148">
        <f t="shared" ref="V206" si="1368">IF(V$54,((V201-$H205)^2+(V202-$H206)^2)^0.5,"")</f>
        <v>4.0118042856476896E-2</v>
      </c>
      <c r="W206" s="148">
        <f t="shared" ref="W206" si="1369">IF(W$54,((W201-$H205)^2+(W202-$H206)^2)^0.5,"")</f>
        <v>3.5763261461906615E-2</v>
      </c>
      <c r="X206" s="148">
        <f t="shared" ref="X206" si="1370">IF(X$54,((X201-$H205)^2+(X202-$H206)^2)^0.5,"")</f>
        <v>8.1772886003049577E-2</v>
      </c>
      <c r="Y206" s="148">
        <f t="shared" ref="Y206" si="1371">IF(Y$54,((Y201-$H205)^2+(Y202-$H206)^2)^0.5,"")</f>
        <v>6.1188894298334585E-3</v>
      </c>
      <c r="Z206" s="148">
        <f t="shared" ref="Z206" si="1372">IF(Z$54,((Z201-$H205)^2+(Z202-$H206)^2)^0.5,"")</f>
        <v>1.878459692261206E-2</v>
      </c>
      <c r="AA206" s="148">
        <f t="shared" ref="AA206" si="1373">IF(AA$54,((AA201-$H205)^2+(AA202-$H206)^2)^0.5,"")</f>
        <v>9.1959128698952449E-3</v>
      </c>
      <c r="AB206" s="148">
        <f t="shared" ref="AB206" si="1374">IF(AB$54,((AB201-$H205)^2+(AB202-$H206)^2)^0.5,"")</f>
        <v>6.7829875247513896E-2</v>
      </c>
      <c r="AC206" s="148">
        <f t="shared" ref="AC206" si="1375">IF(AC$54,((AC201-$H205)^2+(AC202-$H206)^2)^0.5,"")</f>
        <v>1.5480115158631774E-2</v>
      </c>
      <c r="AD206" s="148">
        <f t="shared" ref="AD206" si="1376">IF(AD$54,((AD201-$H205)^2+(AD202-$H206)^2)^0.5,"")</f>
        <v>2.8224989399423969E-2</v>
      </c>
      <c r="AE206" s="148">
        <f t="shared" ref="AE206" si="1377">IF(AE$54,((AE201-$H205)^2+(AE202-$H206)^2)^0.5,"")</f>
        <v>7.4962410579798286E-2</v>
      </c>
      <c r="AF206" s="148">
        <f t="shared" ref="AF206" si="1378">IF(AF$54,((AF201-$H205)^2+(AF202-$H206)^2)^0.5,"")</f>
        <v>2.8614992168780655E-2</v>
      </c>
      <c r="AG206" s="148">
        <f t="shared" ref="AG206" si="1379">IF(AG$54,((AG201-$H205)^2+(AG202-$H206)^2)^0.5,"")</f>
        <v>8.2027181690656592E-2</v>
      </c>
      <c r="AH206" s="148">
        <f t="shared" ref="AH206" si="1380">IF(AH$54,((AH201-$H205)^2+(AH202-$H206)^2)^0.5,"")</f>
        <v>0.11065047822810282</v>
      </c>
      <c r="AI206" s="148" t="str">
        <f t="shared" ref="AI206" si="1381">IF(AI$54,((AI201-$H205)^2+(AI202-$H206)^2)^0.5,"")</f>
        <v/>
      </c>
      <c r="AJ206" s="148">
        <f t="shared" ref="AJ206" si="1382">IF(AJ$54,((AJ201-$H205)^2+(AJ202-$H206)^2)^0.5,"")</f>
        <v>5.2691844170665018E-2</v>
      </c>
      <c r="AK206" s="148">
        <f t="shared" ref="AK206" si="1383">IF(AK$54,((AK201-$H205)^2+(AK202-$H206)^2)^0.5,"")</f>
        <v>6.8204332704842371E-2</v>
      </c>
      <c r="AL206" s="108">
        <f t="shared" ref="AL206" si="1384">IF(AL$54,((AL201-$H205)^2+(AL202-$H206)^2)^0.5,"")</f>
        <v>0.10385275984255829</v>
      </c>
      <c r="AM206" s="108">
        <f t="shared" ref="AM206" si="1385">IF(AM$54,((AM201-$H205)^2+(AM202-$H206)^2)^0.5,"")</f>
        <v>4.7562284167557822E-3</v>
      </c>
      <c r="AN206" s="108">
        <f t="shared" ref="AN206" si="1386">IF(AN$54,((AN201-$H205)^2+(AN202-$H206)^2)^0.5,"")</f>
        <v>5.260011475593538E-2</v>
      </c>
    </row>
    <row r="207" spans="1:40">
      <c r="B207" s="242"/>
      <c r="C207" s="242"/>
      <c r="D207" s="59" t="str">
        <f>D205</f>
        <v>LO</v>
      </c>
      <c r="E207" s="242" t="str">
        <f t="shared" ref="E207" si="1387">E185</f>
        <v>MK-1</v>
      </c>
      <c r="F207" s="61">
        <f t="shared" si="1125"/>
        <v>-12.487671255841544</v>
      </c>
      <c r="G207" s="61">
        <f t="shared" si="1126"/>
        <v>80.52823010303608</v>
      </c>
      <c r="H207" s="243">
        <f>10^6/H209</f>
        <v>154.65511908444171</v>
      </c>
      <c r="I207" s="130" t="str">
        <f>IF(I$54,I200-$H207,"")</f>
        <v/>
      </c>
      <c r="J207" s="130" t="str">
        <f t="shared" ref="J207:AN207" si="1388">IF(J$54,J200-$H207,"")</f>
        <v/>
      </c>
      <c r="K207" s="130">
        <f t="shared" si="1388"/>
        <v>-86.959478683683514</v>
      </c>
      <c r="L207" s="130">
        <f t="shared" si="1388"/>
        <v>-65.931846970166134</v>
      </c>
      <c r="M207" s="130" t="str">
        <f t="shared" si="1388"/>
        <v/>
      </c>
      <c r="N207" s="130">
        <f t="shared" si="1388"/>
        <v>5.0892898612451916</v>
      </c>
      <c r="O207" s="130">
        <f t="shared" si="1388"/>
        <v>-27.719348584314773</v>
      </c>
      <c r="P207" s="130" t="str">
        <f t="shared" si="1388"/>
        <v/>
      </c>
      <c r="Q207" s="130">
        <f t="shared" si="1388"/>
        <v>-19.574746262612706</v>
      </c>
      <c r="R207" s="130">
        <f t="shared" si="1388"/>
        <v>-0.9744674784788856</v>
      </c>
      <c r="S207" s="130">
        <f t="shared" si="1388"/>
        <v>49.551538052580952</v>
      </c>
      <c r="T207" s="130">
        <f t="shared" si="1388"/>
        <v>12.961374378515046</v>
      </c>
      <c r="U207" s="130">
        <f t="shared" si="1388"/>
        <v>58.564497120249115</v>
      </c>
      <c r="V207" s="130">
        <f t="shared" si="1388"/>
        <v>48.349347013812462</v>
      </c>
      <c r="W207" s="130">
        <f t="shared" si="1388"/>
        <v>47.856019028154492</v>
      </c>
      <c r="X207" s="130">
        <f t="shared" si="1388"/>
        <v>94.597124185747731</v>
      </c>
      <c r="Y207" s="130">
        <f t="shared" si="1388"/>
        <v>-4.1433791687282735</v>
      </c>
      <c r="Z207" s="130">
        <f t="shared" si="1388"/>
        <v>-17.38675944133945</v>
      </c>
      <c r="AA207" s="130">
        <f t="shared" si="1388"/>
        <v>-10.229931331697628</v>
      </c>
      <c r="AB207" s="130">
        <f t="shared" si="1388"/>
        <v>-79.421896093168755</v>
      </c>
      <c r="AC207" s="130">
        <f t="shared" si="1388"/>
        <v>15.470774076497378</v>
      </c>
      <c r="AD207" s="130">
        <f t="shared" si="1388"/>
        <v>22.117021626182293</v>
      </c>
      <c r="AE207" s="130">
        <f t="shared" si="1388"/>
        <v>-221.32178575110839</v>
      </c>
      <c r="AF207" s="130">
        <f t="shared" si="1388"/>
        <v>-32.495334085663302</v>
      </c>
      <c r="AG207" s="130">
        <f t="shared" si="1388"/>
        <v>-83.470608833872234</v>
      </c>
      <c r="AH207" s="130">
        <f t="shared" si="1388"/>
        <v>-221.32178575110839</v>
      </c>
      <c r="AI207" s="130" t="str">
        <f t="shared" si="1388"/>
        <v/>
      </c>
      <c r="AJ207" s="130">
        <f t="shared" si="1388"/>
        <v>63.257280131073657</v>
      </c>
      <c r="AK207" s="130">
        <f t="shared" si="1388"/>
        <v>-69.823086508941202</v>
      </c>
      <c r="AL207" s="130">
        <f t="shared" si="1388"/>
        <v>120.07015564083304</v>
      </c>
      <c r="AM207" s="130">
        <f t="shared" si="1388"/>
        <v>8.4238111177761539</v>
      </c>
      <c r="AN207" s="130">
        <f t="shared" si="1388"/>
        <v>57.299098804494292</v>
      </c>
    </row>
    <row r="208" spans="1:40">
      <c r="B208" s="242"/>
      <c r="C208" s="242"/>
      <c r="D208" s="59" t="str">
        <f t="shared" ref="D208:D212" si="1389">D206</f>
        <v>HI</v>
      </c>
      <c r="E208" s="242"/>
      <c r="F208" s="61">
        <f t="shared" si="1125"/>
        <v>-16.640360502035964</v>
      </c>
      <c r="G208" s="61">
        <f t="shared" si="1126"/>
        <v>89.649591512007859</v>
      </c>
      <c r="H208" s="243"/>
      <c r="I208" s="130" t="str">
        <f>IF(I$54,I204-$H207,"")</f>
        <v/>
      </c>
      <c r="J208" s="130" t="str">
        <f t="shared" ref="J208" si="1390">IF(J$54,J204-$H207,"")</f>
        <v/>
      </c>
      <c r="K208" s="130">
        <f t="shared" ref="K208" si="1391">IF(K$54,K204-$H207,"")</f>
        <v>-221.32178575110839</v>
      </c>
      <c r="L208" s="130">
        <f t="shared" ref="L208" si="1392">IF(L$54,L204-$H207,"")</f>
        <v>-64.394265216764126</v>
      </c>
      <c r="M208" s="130" t="str">
        <f t="shared" ref="M208" si="1393">IF(M$54,M204-$H207,"")</f>
        <v/>
      </c>
      <c r="N208" s="130">
        <f t="shared" ref="N208" si="1394">IF(N$54,N204-$H207,"")</f>
        <v>5.8327640803793486</v>
      </c>
      <c r="O208" s="130">
        <f t="shared" ref="O208" si="1395">IF(O$54,O204-$H207,"")</f>
        <v>-26.417109338352958</v>
      </c>
      <c r="P208" s="130" t="str">
        <f t="shared" ref="P208" si="1396">IF(P$54,P204-$H207,"")</f>
        <v/>
      </c>
      <c r="Q208" s="130">
        <f t="shared" ref="Q208" si="1397">IF(Q$54,Q204-$H207,"")</f>
        <v>-18.637708855932459</v>
      </c>
      <c r="R208" s="130">
        <f t="shared" ref="R208" si="1398">IF(R$54,R204-$H207,"")</f>
        <v>3.5727290168241268</v>
      </c>
      <c r="S208" s="130">
        <f t="shared" ref="S208" si="1399">IF(S$54,S204-$H207,"")</f>
        <v>55.826884704234374</v>
      </c>
      <c r="T208" s="130">
        <f t="shared" ref="T208" si="1400">IF(T$54,T204-$H207,"")</f>
        <v>24.043951680390308</v>
      </c>
      <c r="U208" s="130">
        <f t="shared" ref="U208" si="1401">IF(U$54,U204-$H207,"")</f>
        <v>61.327602297847704</v>
      </c>
      <c r="V208" s="130">
        <f t="shared" ref="V208" si="1402">IF(V$54,V204-$H207,"")</f>
        <v>45.66539373607111</v>
      </c>
      <c r="W208" s="130">
        <f t="shared" ref="W208" si="1403">IF(W$54,W204-$H207,"")</f>
        <v>40.428766986568831</v>
      </c>
      <c r="X208" s="130">
        <f t="shared" ref="X208" si="1404">IF(X$54,X204-$H207,"")</f>
        <v>95.595131165808539</v>
      </c>
      <c r="Y208" s="130">
        <f t="shared" ref="Y208" si="1405">IF(Y$54,Y204-$H207,"")</f>
        <v>4.4538705734739779</v>
      </c>
      <c r="Z208" s="130">
        <f t="shared" ref="Z208" si="1406">IF(Z$54,Z204-$H207,"")</f>
        <v>-23.11078864508363</v>
      </c>
      <c r="AA208" s="130">
        <f t="shared" ref="AA208" si="1407">IF(AA$54,AA204-$H207,"")</f>
        <v>-11.818381475528696</v>
      </c>
      <c r="AB208" s="130">
        <f t="shared" ref="AB208" si="1408">IF(AB$54,AB204-$H207,"")</f>
        <v>-76.217594572715299</v>
      </c>
      <c r="AC208" s="130">
        <f t="shared" ref="AC208" si="1409">IF(AC$54,AC204-$H207,"")</f>
        <v>16.051606760556581</v>
      </c>
      <c r="AD208" s="130">
        <f t="shared" ref="AD208" si="1410">IF(AD$54,AD204-$H207,"")</f>
        <v>31.426012288837029</v>
      </c>
      <c r="AE208" s="130">
        <f t="shared" ref="AE208" si="1411">IF(AE$54,AE204-$H207,"")</f>
        <v>-83.450334122892286</v>
      </c>
      <c r="AF208" s="130">
        <f t="shared" ref="AF208" si="1412">IF(AF$54,AF204-$H207,"")</f>
        <v>-34.245727151870966</v>
      </c>
      <c r="AG208" s="130">
        <f t="shared" ref="AG208" si="1413">IF(AG$54,AG204-$H207,"")</f>
        <v>-221.32178575110839</v>
      </c>
      <c r="AH208" s="130">
        <f t="shared" ref="AH208" si="1414">IF(AH$54,AH204-$H207,"")</f>
        <v>-221.32178575110839</v>
      </c>
      <c r="AI208" s="130" t="str">
        <f t="shared" ref="AI208" si="1415">IF(AI$54,AI204-$H207,"")</f>
        <v/>
      </c>
      <c r="AJ208" s="130">
        <f t="shared" ref="AJ208" si="1416">IF(AJ$54,AJ204-$H207,"")</f>
        <v>60.908579988634386</v>
      </c>
      <c r="AK208" s="130">
        <f t="shared" ref="AK208" si="1417">IF(AK$54,AK204-$H207,"")</f>
        <v>-76.651998959636714</v>
      </c>
      <c r="AL208" s="130">
        <f t="shared" ref="AL208" si="1418">IF(AL$54,AL204-$H207,"")</f>
        <v>121.66430617115378</v>
      </c>
      <c r="AM208" s="130">
        <f t="shared" ref="AM208" si="1419">IF(AM$54,AM204-$H207,"")</f>
        <v>2.3307521871438439</v>
      </c>
      <c r="AN208" s="130">
        <f t="shared" ref="AN208" si="1420">IF(AN$54,AN204-$H207,"")</f>
        <v>60.491180399207167</v>
      </c>
    </row>
    <row r="209" spans="2:40">
      <c r="B209" s="242"/>
      <c r="C209" s="242"/>
      <c r="D209" s="59" t="str">
        <f t="shared" si="1389"/>
        <v>LO</v>
      </c>
      <c r="E209" s="242" t="str">
        <f t="shared" ref="E209" si="1421">E187</f>
        <v>%/CCT</v>
      </c>
      <c r="F209" s="63">
        <f t="shared" si="1125"/>
        <v>8.0745282340271382E-2</v>
      </c>
      <c r="G209" s="63">
        <f t="shared" si="1126"/>
        <v>0.52069553584623129</v>
      </c>
      <c r="H209" s="242">
        <f>getCCTfromXY(H205,H206,0)</f>
        <v>6466</v>
      </c>
      <c r="I209" s="91" t="str">
        <f>IF(I$54,1-$H209/I199,"")</f>
        <v/>
      </c>
      <c r="J209" s="91" t="str">
        <f t="shared" ref="J209:AN209" si="1422">IF(J$54,1-$H209/J199,"")</f>
        <v/>
      </c>
      <c r="K209" s="91">
        <f t="shared" si="1422"/>
        <v>0.56227998916869759</v>
      </c>
      <c r="L209" s="91">
        <f t="shared" si="1422"/>
        <v>0.4263153225090941</v>
      </c>
      <c r="M209" s="91" t="str">
        <f t="shared" si="1422"/>
        <v/>
      </c>
      <c r="N209" s="91">
        <f t="shared" si="1422"/>
        <v>-3.2907348242811496E-2</v>
      </c>
      <c r="O209" s="91">
        <f t="shared" si="1422"/>
        <v>0.1792333079461792</v>
      </c>
      <c r="P209" s="91" t="str">
        <f t="shared" si="1422"/>
        <v/>
      </c>
      <c r="Q209" s="91">
        <f t="shared" si="1422"/>
        <v>0.12657030933405378</v>
      </c>
      <c r="R209" s="91">
        <f t="shared" si="1422"/>
        <v>6.3009067158444898E-3</v>
      </c>
      <c r="S209" s="91">
        <f t="shared" si="1422"/>
        <v>-0.32040024504798859</v>
      </c>
      <c r="T209" s="91">
        <f t="shared" si="1422"/>
        <v>-8.3808246731478464E-2</v>
      </c>
      <c r="U209" s="91">
        <f t="shared" si="1422"/>
        <v>-0.37867803837953096</v>
      </c>
      <c r="V209" s="91">
        <f t="shared" si="1422"/>
        <v>-0.31262687779131149</v>
      </c>
      <c r="W209" s="91">
        <f t="shared" si="1422"/>
        <v>-0.30943701903604692</v>
      </c>
      <c r="X209" s="91">
        <f t="shared" si="1422"/>
        <v>-0.61166500498504495</v>
      </c>
      <c r="Y209" s="91">
        <f t="shared" si="1422"/>
        <v>2.6791089704996995E-2</v>
      </c>
      <c r="Z209" s="91">
        <f t="shared" si="1422"/>
        <v>0.11242278654770077</v>
      </c>
      <c r="AA209" s="91">
        <f t="shared" si="1422"/>
        <v>6.6146735990756822E-2</v>
      </c>
      <c r="AB209" s="91">
        <f t="shared" si="1422"/>
        <v>0.51354198013842911</v>
      </c>
      <c r="AC209" s="91">
        <f t="shared" si="1422"/>
        <v>-0.10003402517863225</v>
      </c>
      <c r="AD209" s="91">
        <f t="shared" si="1422"/>
        <v>-0.14300866183489491</v>
      </c>
      <c r="AE209" s="91">
        <f t="shared" si="1422"/>
        <v>1.4310666666666667</v>
      </c>
      <c r="AF209" s="91">
        <f t="shared" si="1422"/>
        <v>0.21011483019789889</v>
      </c>
      <c r="AG209" s="91">
        <f t="shared" si="1422"/>
        <v>0.53972095671981779</v>
      </c>
      <c r="AH209" s="91">
        <f t="shared" si="1422"/>
        <v>1.4310666666666667</v>
      </c>
      <c r="AI209" s="91" t="str">
        <f t="shared" si="1422"/>
        <v/>
      </c>
      <c r="AJ209" s="91">
        <f t="shared" si="1422"/>
        <v>-0.40902157332752243</v>
      </c>
      <c r="AK209" s="91">
        <f t="shared" si="1422"/>
        <v>0.45147607736681372</v>
      </c>
      <c r="AL209" s="91">
        <f t="shared" si="1422"/>
        <v>-0.77637362637362628</v>
      </c>
      <c r="AM209" s="91">
        <f t="shared" si="1422"/>
        <v>-5.446836268754085E-2</v>
      </c>
      <c r="AN209" s="91">
        <f t="shared" si="1422"/>
        <v>-0.37049597286986002</v>
      </c>
    </row>
    <row r="210" spans="2:40">
      <c r="B210" s="242"/>
      <c r="C210" s="242"/>
      <c r="D210" s="59" t="str">
        <f t="shared" si="1389"/>
        <v>HI</v>
      </c>
      <c r="E210" s="242"/>
      <c r="F210" s="63">
        <f t="shared" si="1125"/>
        <v>0.10759657100616454</v>
      </c>
      <c r="G210" s="63">
        <f t="shared" si="1126"/>
        <v>0.57967425871664291</v>
      </c>
      <c r="H210" s="242"/>
      <c r="I210" s="91" t="str">
        <f>IF(I$54,1-$H209/I203,"")</f>
        <v/>
      </c>
      <c r="J210" s="91" t="str">
        <f t="shared" ref="J210" si="1423">IF(J$54,1-$H209/J203,"")</f>
        <v/>
      </c>
      <c r="K210" s="91">
        <f t="shared" ref="K210" si="1424">IF(K$54,1-$H209/K203,"")</f>
        <v>1.4310666666666667</v>
      </c>
      <c r="L210" s="91">
        <f t="shared" ref="L210" si="1425">IF(L$54,1-$H209/L203,"")</f>
        <v>0.41637331889159668</v>
      </c>
      <c r="M210" s="91" t="str">
        <f t="shared" ref="M210" si="1426">IF(M$54,1-$H209/M203,"")</f>
        <v/>
      </c>
      <c r="N210" s="91">
        <f t="shared" ref="N210" si="1427">IF(N$54,1-$H209/N203,"")</f>
        <v>-3.7714652543732852E-2</v>
      </c>
      <c r="O210" s="91">
        <f t="shared" ref="O210" si="1428">IF(O$54,1-$H209/O203,"")</f>
        <v>0.17081302898179018</v>
      </c>
      <c r="P210" s="91" t="str">
        <f t="shared" ref="P210" si="1429">IF(P$54,1-$H209/P203,"")</f>
        <v/>
      </c>
      <c r="Q210" s="91">
        <f t="shared" ref="Q210" si="1430">IF(Q$54,1-$H209/Q203,"")</f>
        <v>0.12051142546245919</v>
      </c>
      <c r="R210" s="91">
        <f t="shared" ref="R210" si="1431">IF(R$54,1-$H209/R203,"")</f>
        <v>-2.3101265822784711E-2</v>
      </c>
      <c r="S210" s="91">
        <f t="shared" ref="S210" si="1432">IF(S$54,1-$H209/S203,"")</f>
        <v>-0.36097663649757949</v>
      </c>
      <c r="T210" s="91">
        <f t="shared" ref="T210" si="1433">IF(T$54,1-$H209/T203,"")</f>
        <v>-0.15546819156540392</v>
      </c>
      <c r="U210" s="91">
        <f t="shared" ref="U210" si="1434">IF(U$54,1-$H209/U203,"")</f>
        <v>-0.39654427645788326</v>
      </c>
      <c r="V210" s="91">
        <f t="shared" ref="V210" si="1435">IF(V$54,1-$H209/V203,"")</f>
        <v>-0.2952724358974359</v>
      </c>
      <c r="W210" s="91">
        <f t="shared" ref="W210" si="1436">IF(W$54,1-$H209/W203,"")</f>
        <v>-0.26141240733515403</v>
      </c>
      <c r="X210" s="91">
        <f t="shared" ref="X210" si="1437">IF(X$54,1-$H209/X203,"")</f>
        <v>-0.61811811811811812</v>
      </c>
      <c r="Y210" s="91">
        <f t="shared" ref="Y210" si="1438">IF(Y$54,1-$H209/Y203,"")</f>
        <v>-2.8798727128082735E-2</v>
      </c>
      <c r="Z210" s="91">
        <f t="shared" ref="Z210" si="1439">IF(Z$54,1-$H209/Z203,"")</f>
        <v>0.14943435937911076</v>
      </c>
      <c r="AA210" s="91">
        <f t="shared" ref="AA210" si="1440">IF(AA$54,1-$H209/AA203,"")</f>
        <v>7.6417654620768438E-2</v>
      </c>
      <c r="AB210" s="91">
        <f t="shared" ref="AB210" si="1441">IF(AB$54,1-$H209/AB203,"")</f>
        <v>0.49282296650717705</v>
      </c>
      <c r="AC210" s="91">
        <f t="shared" ref="AC210" si="1442">IF(AC$54,1-$H209/AC203,"")</f>
        <v>-0.10378968931375887</v>
      </c>
      <c r="AD210" s="91">
        <f t="shared" ref="AD210" si="1443">IF(AD$54,1-$H209/AD203,"")</f>
        <v>-0.20320059545962033</v>
      </c>
      <c r="AE210" s="91">
        <f t="shared" ref="AE210" si="1444">IF(AE$54,1-$H209/AE203,"")</f>
        <v>0.53958986043862145</v>
      </c>
      <c r="AF210" s="91">
        <f t="shared" ref="AF210" si="1445">IF(AF$54,1-$H209/AF203,"")</f>
        <v>0.22143287176399762</v>
      </c>
      <c r="AG210" s="91">
        <f t="shared" ref="AG210" si="1446">IF(AG$54,1-$H209/AG203,"")</f>
        <v>1.4310666666666667</v>
      </c>
      <c r="AH210" s="91">
        <f t="shared" ref="AH210" si="1447">IF(AH$54,1-$H209/AH203,"")</f>
        <v>1.4310666666666667</v>
      </c>
      <c r="AI210" s="91" t="str">
        <f t="shared" ref="AI210" si="1448">IF(AI$54,1-$H209/AI203,"")</f>
        <v/>
      </c>
      <c r="AJ210" s="91">
        <f t="shared" ref="AJ210" si="1449">IF(AJ$54,1-$H209/AJ203,"")</f>
        <v>-0.39383487820650998</v>
      </c>
      <c r="AK210" s="91">
        <f t="shared" ref="AK210" si="1450">IF(AK$54,1-$H209/AK203,"")</f>
        <v>0.49563182527301097</v>
      </c>
      <c r="AL210" s="91">
        <f t="shared" ref="AL210" si="1451">IF(AL$54,1-$H209/AL203,"")</f>
        <v>-0.78668140370268036</v>
      </c>
      <c r="AM210" s="91">
        <f t="shared" ref="AM210" si="1452">IF(AM$54,1-$H209/AM203,"")</f>
        <v>-1.5070643642072223E-2</v>
      </c>
      <c r="AN210" s="91">
        <f t="shared" ref="AN210" si="1453">IF(AN$54,1-$H209/AN203,"")</f>
        <v>-0.39113597246127374</v>
      </c>
    </row>
    <row r="211" spans="2:40">
      <c r="B211" s="242"/>
      <c r="C211" s="242"/>
      <c r="D211" s="64" t="str">
        <f t="shared" si="1389"/>
        <v>LO</v>
      </c>
      <c r="E211" s="242" t="s">
        <v>85</v>
      </c>
      <c r="F211" s="63">
        <f t="shared" ref="F211:F212" si="1454">AVERAGE(I211:AN211)</f>
        <v>-3.8997357502006471E-4</v>
      </c>
      <c r="G211" s="63">
        <f t="shared" ref="G211:G212" si="1455">STDEV(I211:AN211)</f>
        <v>0.2098747846506448</v>
      </c>
      <c r="H211" s="64">
        <f>H192</f>
        <v>848.5</v>
      </c>
      <c r="I211" s="91" t="str">
        <f>IF(I$54,1-$H211/I192,"")</f>
        <v/>
      </c>
      <c r="J211" s="91" t="str">
        <f t="shared" ref="J211:AN211" si="1456">IF(J$54,1-$H211/J192,"")</f>
        <v/>
      </c>
      <c r="K211" s="91">
        <f t="shared" si="1456"/>
        <v>-0.41820823127336859</v>
      </c>
      <c r="L211" s="91">
        <f t="shared" si="1456"/>
        <v>-0.11176165909485891</v>
      </c>
      <c r="M211" s="91" t="str">
        <f t="shared" si="1456"/>
        <v/>
      </c>
      <c r="N211" s="91">
        <f t="shared" si="1456"/>
        <v>0.10032011393579154</v>
      </c>
      <c r="O211" s="91">
        <f t="shared" si="1456"/>
        <v>-1.1766734320142636E-2</v>
      </c>
      <c r="P211" s="91" t="str">
        <f t="shared" si="1456"/>
        <v/>
      </c>
      <c r="Q211" s="91">
        <f t="shared" si="1456"/>
        <v>-6.6801997352069709E-2</v>
      </c>
      <c r="R211" s="91">
        <f t="shared" si="1456"/>
        <v>-3.1484706226461601E-2</v>
      </c>
      <c r="S211" s="91">
        <f t="shared" si="1456"/>
        <v>0.12003118136245428</v>
      </c>
      <c r="T211" s="91">
        <f t="shared" si="1456"/>
        <v>6.3537939498619411E-2</v>
      </c>
      <c r="U211" s="91">
        <f t="shared" si="1456"/>
        <v>0.14362354099271091</v>
      </c>
      <c r="V211" s="91">
        <f t="shared" si="1456"/>
        <v>0.17026386724351084</v>
      </c>
      <c r="W211" s="91">
        <f t="shared" si="1456"/>
        <v>0.16148322317578301</v>
      </c>
      <c r="X211" s="91">
        <f t="shared" si="1456"/>
        <v>0.2814754674877733</v>
      </c>
      <c r="Y211" s="91">
        <f t="shared" si="1456"/>
        <v>1.1132854745268594E-2</v>
      </c>
      <c r="Z211" s="91">
        <f t="shared" si="1456"/>
        <v>2.4897946062020893E-2</v>
      </c>
      <c r="AA211" s="91">
        <f t="shared" si="1456"/>
        <v>5.0109194093135745E-2</v>
      </c>
      <c r="AB211" s="91">
        <f t="shared" si="1456"/>
        <v>-0.16598397967669865</v>
      </c>
      <c r="AC211" s="91">
        <f t="shared" si="1456"/>
        <v>0.22401601841452989</v>
      </c>
      <c r="AD211" s="91">
        <f t="shared" si="1456"/>
        <v>7.2345055377046275E-2</v>
      </c>
      <c r="AE211" s="91">
        <f t="shared" si="1456"/>
        <v>-0.41032032983880584</v>
      </c>
      <c r="AF211" s="91">
        <f t="shared" si="1456"/>
        <v>-4.0163627015870063E-2</v>
      </c>
      <c r="AG211" s="91">
        <f t="shared" si="1456"/>
        <v>-0.22475001571395437</v>
      </c>
      <c r="AH211" s="91">
        <f t="shared" si="1456"/>
        <v>-0.51349759822550256</v>
      </c>
      <c r="AI211" s="91" t="str">
        <f t="shared" si="1456"/>
        <v/>
      </c>
      <c r="AJ211" s="91">
        <f t="shared" si="1456"/>
        <v>0.15613661494841091</v>
      </c>
      <c r="AK211" s="91">
        <f t="shared" si="1456"/>
        <v>-0.17161504271099948</v>
      </c>
      <c r="AL211" s="91">
        <f t="shared" si="1456"/>
        <v>0.33966422657254114</v>
      </c>
      <c r="AM211" s="91">
        <f t="shared" si="1456"/>
        <v>9.3922388779135724E-2</v>
      </c>
      <c r="AN211" s="91">
        <f t="shared" si="1456"/>
        <v>0.14286500223445819</v>
      </c>
    </row>
    <row r="212" spans="2:40">
      <c r="B212" s="242"/>
      <c r="C212" s="242"/>
      <c r="D212" s="64" t="str">
        <f t="shared" si="1389"/>
        <v>HI</v>
      </c>
      <c r="E212" s="242"/>
      <c r="F212" s="63">
        <f t="shared" si="1454"/>
        <v>-5.7495365036486631E-3</v>
      </c>
      <c r="G212" s="63">
        <f t="shared" si="1455"/>
        <v>0.1979897144334698</v>
      </c>
      <c r="H212" s="75">
        <f>H211/O$20</f>
        <v>907.28322759148125</v>
      </c>
      <c r="I212" s="91" t="str">
        <f>IF(I$54,1-$H212/I195,"")</f>
        <v/>
      </c>
      <c r="J212" s="91" t="str">
        <f t="shared" ref="J212:AN212" si="1457">IF(J$54,1-$H212/J195,"")</f>
        <v/>
      </c>
      <c r="K212" s="91">
        <f t="shared" si="1457"/>
        <v>-0.46344148412646713</v>
      </c>
      <c r="L212" s="91">
        <f t="shared" si="1457"/>
        <v>-0.12659101565517372</v>
      </c>
      <c r="M212" s="91" t="str">
        <f t="shared" si="1457"/>
        <v/>
      </c>
      <c r="N212" s="91">
        <f t="shared" si="1457"/>
        <v>8.2664101024713776E-2</v>
      </c>
      <c r="O212" s="91">
        <f t="shared" si="1457"/>
        <v>-5.0995288937195848E-2</v>
      </c>
      <c r="P212" s="91" t="str">
        <f t="shared" si="1457"/>
        <v/>
      </c>
      <c r="Q212" s="91">
        <f t="shared" si="1457"/>
        <v>-7.0270431779244635E-3</v>
      </c>
      <c r="R212" s="91">
        <f t="shared" si="1457"/>
        <v>3.4014085310930531E-2</v>
      </c>
      <c r="S212" s="91">
        <f t="shared" si="1457"/>
        <v>0.15934265757109745</v>
      </c>
      <c r="T212" s="91">
        <f t="shared" si="1457"/>
        <v>2.120485265305283E-2</v>
      </c>
      <c r="U212" s="91">
        <f t="shared" si="1457"/>
        <v>0.11356545521845141</v>
      </c>
      <c r="V212" s="91">
        <f t="shared" si="1457"/>
        <v>0.17316595207722885</v>
      </c>
      <c r="W212" s="91">
        <f t="shared" si="1457"/>
        <v>0.12595790945192464</v>
      </c>
      <c r="X212" s="91">
        <f t="shared" si="1457"/>
        <v>0.26187813967631268</v>
      </c>
      <c r="Y212" s="91">
        <f t="shared" si="1457"/>
        <v>-7.4485198639167027E-3</v>
      </c>
      <c r="Z212" s="91">
        <f t="shared" si="1457"/>
        <v>5.5139954573130145E-3</v>
      </c>
      <c r="AA212" s="91">
        <f t="shared" si="1457"/>
        <v>-5.2988148800610313E-2</v>
      </c>
      <c r="AB212" s="91">
        <f t="shared" si="1457"/>
        <v>-3.7104512907060405E-2</v>
      </c>
      <c r="AC212" s="91">
        <f t="shared" si="1457"/>
        <v>0.17579956782115125</v>
      </c>
      <c r="AD212" s="91">
        <f t="shared" si="1457"/>
        <v>8.2796205241512988E-2</v>
      </c>
      <c r="AE212" s="91">
        <f t="shared" si="1457"/>
        <v>-0.3733492102631446</v>
      </c>
      <c r="AF212" s="91">
        <f t="shared" si="1457"/>
        <v>-7.476877037139773E-2</v>
      </c>
      <c r="AG212" s="91">
        <f t="shared" si="1457"/>
        <v>-0.28085212447294383</v>
      </c>
      <c r="AH212" s="91">
        <f t="shared" si="1457"/>
        <v>-0.44037405454230916</v>
      </c>
      <c r="AI212" s="91" t="str">
        <f t="shared" si="1457"/>
        <v/>
      </c>
      <c r="AJ212" s="91">
        <f t="shared" si="1457"/>
        <v>0.13370559169483875</v>
      </c>
      <c r="AK212" s="91">
        <f t="shared" si="1457"/>
        <v>-0.14649918452010091</v>
      </c>
      <c r="AL212" s="91">
        <f t="shared" si="1457"/>
        <v>0.31332169611654226</v>
      </c>
      <c r="AM212" s="91">
        <f t="shared" si="1457"/>
        <v>7.1478636861802225E-2</v>
      </c>
      <c r="AN212" s="91">
        <f t="shared" si="1457"/>
        <v>0.15179302586285826</v>
      </c>
    </row>
    <row r="213" spans="2:40">
      <c r="B213" s="74"/>
      <c r="C213" s="74"/>
      <c r="D213" s="74"/>
      <c r="F213" s="75"/>
      <c r="G213" s="75"/>
    </row>
    <row r="214" spans="2:40">
      <c r="B214" s="74"/>
      <c r="C214" s="74"/>
      <c r="D214" s="74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</row>
    <row r="215" spans="2:40">
      <c r="B215" s="74"/>
      <c r="C215" s="74"/>
      <c r="D215" s="74"/>
      <c r="F215" s="60"/>
      <c r="G215" s="60"/>
      <c r="H215" s="60"/>
      <c r="I215" s="60"/>
      <c r="J215" s="60"/>
      <c r="K215" s="60"/>
      <c r="L215" s="60"/>
      <c r="M215" s="60"/>
      <c r="N215" s="60"/>
      <c r="O215" s="60"/>
      <c r="P215" s="60"/>
      <c r="Q215" s="60"/>
      <c r="R215" s="60"/>
      <c r="S215" s="60"/>
      <c r="T215" s="60"/>
      <c r="U215" s="60"/>
      <c r="V215" s="60"/>
      <c r="W215" s="60"/>
      <c r="X215" s="60"/>
      <c r="Y215" s="60"/>
      <c r="Z215" s="60"/>
      <c r="AA215" s="60"/>
      <c r="AB215" s="60"/>
      <c r="AC215" s="60"/>
      <c r="AD215" s="60"/>
      <c r="AE215" s="60"/>
      <c r="AF215" s="60"/>
      <c r="AG215" s="60"/>
      <c r="AH215" s="60"/>
      <c r="AI215" s="60"/>
      <c r="AJ215" s="60"/>
      <c r="AK215" s="60"/>
      <c r="AL215" s="60"/>
      <c r="AM215" s="60"/>
    </row>
    <row r="216" spans="2:40">
      <c r="B216" s="74"/>
      <c r="C216" s="74"/>
      <c r="D216" s="74"/>
      <c r="F216" s="60"/>
      <c r="G216" s="60"/>
      <c r="H216" s="60"/>
      <c r="I216" s="60"/>
      <c r="J216" s="60"/>
      <c r="K216" s="60"/>
      <c r="L216" s="60"/>
      <c r="M216" s="60"/>
      <c r="N216" s="60"/>
      <c r="O216" s="60"/>
      <c r="P216" s="60"/>
      <c r="Q216" s="60"/>
      <c r="R216" s="60"/>
      <c r="S216" s="60"/>
      <c r="T216" s="60"/>
      <c r="U216" s="60"/>
      <c r="V216" s="60"/>
      <c r="W216" s="60"/>
      <c r="X216" s="60"/>
      <c r="Y216" s="60"/>
      <c r="Z216" s="60"/>
      <c r="AA216" s="60"/>
      <c r="AB216" s="60"/>
      <c r="AC216" s="60"/>
      <c r="AD216" s="60"/>
      <c r="AE216" s="60"/>
      <c r="AF216" s="60"/>
      <c r="AG216" s="60"/>
      <c r="AH216" s="60"/>
      <c r="AI216" s="60"/>
      <c r="AJ216" s="60"/>
      <c r="AK216" s="60"/>
      <c r="AL216" s="60"/>
      <c r="AM216" s="60"/>
    </row>
    <row r="217" spans="2:40">
      <c r="B217" s="74"/>
      <c r="C217" s="74"/>
      <c r="D217" s="74"/>
      <c r="F217" s="75"/>
      <c r="G217" s="75"/>
    </row>
    <row r="218" spans="2:40">
      <c r="B218" s="74"/>
      <c r="C218" s="74"/>
      <c r="D218" s="74"/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</row>
    <row r="219" spans="2:40">
      <c r="B219" s="74"/>
      <c r="C219" s="74"/>
      <c r="E219" s="74"/>
      <c r="F219" s="60"/>
      <c r="G219" s="60"/>
      <c r="H219" s="60"/>
      <c r="I219" s="60"/>
      <c r="J219" s="60"/>
      <c r="K219" s="60"/>
      <c r="L219" s="60"/>
      <c r="M219" s="60"/>
      <c r="N219" s="60"/>
      <c r="O219" s="60"/>
      <c r="P219" s="60"/>
      <c r="Q219" s="60"/>
      <c r="R219" s="60"/>
      <c r="S219" s="60"/>
      <c r="T219" s="60"/>
      <c r="U219" s="60"/>
      <c r="V219" s="60"/>
      <c r="W219" s="60"/>
      <c r="X219" s="60"/>
      <c r="Y219" s="60"/>
      <c r="Z219" s="60"/>
      <c r="AA219" s="60"/>
      <c r="AB219" s="60"/>
      <c r="AC219" s="60"/>
      <c r="AD219" s="60"/>
      <c r="AE219" s="60"/>
      <c r="AF219" s="60"/>
      <c r="AG219" s="60"/>
      <c r="AH219" s="60"/>
      <c r="AI219" s="60"/>
      <c r="AJ219" s="60"/>
      <c r="AK219" s="60"/>
      <c r="AL219" s="60"/>
      <c r="AM219" s="60"/>
    </row>
    <row r="220" spans="2:40">
      <c r="B220" s="74"/>
      <c r="C220" s="74"/>
      <c r="E220" s="74"/>
      <c r="F220" s="60"/>
      <c r="G220" s="60"/>
      <c r="H220" s="60"/>
      <c r="I220" s="60"/>
      <c r="J220" s="60"/>
      <c r="K220" s="60"/>
      <c r="L220" s="60"/>
      <c r="M220" s="60"/>
      <c r="N220" s="60"/>
      <c r="O220" s="60"/>
      <c r="P220" s="60"/>
      <c r="Q220" s="60"/>
      <c r="R220" s="60"/>
      <c r="S220" s="60"/>
      <c r="T220" s="60"/>
      <c r="U220" s="60"/>
      <c r="V220" s="60"/>
      <c r="W220" s="60"/>
      <c r="X220" s="60"/>
      <c r="Y220" s="60"/>
      <c r="Z220" s="60"/>
      <c r="AA220" s="60"/>
      <c r="AB220" s="60"/>
      <c r="AC220" s="60"/>
      <c r="AD220" s="60"/>
      <c r="AE220" s="60"/>
      <c r="AF220" s="60"/>
      <c r="AG220" s="60"/>
      <c r="AH220" s="60"/>
      <c r="AI220" s="60"/>
      <c r="AJ220" s="60"/>
      <c r="AK220" s="60"/>
      <c r="AL220" s="60"/>
      <c r="AM220" s="60"/>
    </row>
    <row r="221" spans="2:40">
      <c r="B221" s="74"/>
      <c r="C221" s="74"/>
      <c r="E221" s="74"/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</row>
    <row r="222" spans="2:40">
      <c r="B222" s="74"/>
      <c r="C222" s="74"/>
      <c r="E222" s="74"/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</row>
    <row r="223" spans="2:40">
      <c r="B223" s="74"/>
      <c r="C223" s="74"/>
      <c r="E223" s="74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</row>
    <row r="224" spans="2:40">
      <c r="B224" s="74"/>
      <c r="C224" s="74"/>
      <c r="E224" s="74"/>
      <c r="F224" s="63"/>
      <c r="G224" s="63"/>
      <c r="H224" s="63"/>
      <c r="I224" s="63"/>
      <c r="J224" s="63"/>
      <c r="K224" s="63"/>
      <c r="L224" s="63"/>
      <c r="M224" s="63"/>
      <c r="N224" s="63"/>
      <c r="O224" s="63"/>
      <c r="P224" s="63"/>
      <c r="Q224" s="63"/>
      <c r="R224" s="63"/>
      <c r="S224" s="63"/>
      <c r="T224" s="63"/>
      <c r="U224" s="63"/>
      <c r="V224" s="63"/>
      <c r="W224" s="63"/>
      <c r="X224" s="63"/>
      <c r="Y224" s="6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</row>
  </sheetData>
  <mergeCells count="201">
    <mergeCell ref="B25:B26"/>
    <mergeCell ref="AC39:AE39"/>
    <mergeCell ref="L44:L45"/>
    <mergeCell ref="L46:L47"/>
    <mergeCell ref="L48:L49"/>
    <mergeCell ref="L50:L51"/>
    <mergeCell ref="Q48:Q49"/>
    <mergeCell ref="K40:K51"/>
    <mergeCell ref="AI24:AI26"/>
    <mergeCell ref="AI27:AM27"/>
    <mergeCell ref="AI28:AI30"/>
    <mergeCell ref="AI31:AM31"/>
    <mergeCell ref="AI32:AI34"/>
    <mergeCell ref="AG37:AG38"/>
    <mergeCell ref="AH37:AH38"/>
    <mergeCell ref="B37:AF38"/>
    <mergeCell ref="AC24:AC26"/>
    <mergeCell ref="AC28:AC30"/>
    <mergeCell ref="AC27:AF27"/>
    <mergeCell ref="AC31:AF31"/>
    <mergeCell ref="AC32:AC34"/>
    <mergeCell ref="P27:T27"/>
    <mergeCell ref="P31:T31"/>
    <mergeCell ref="P32:P34"/>
    <mergeCell ref="N9:Q9"/>
    <mergeCell ref="J9:M9"/>
    <mergeCell ref="Z40:Z41"/>
    <mergeCell ref="Z42:Z43"/>
    <mergeCell ref="Z44:Z45"/>
    <mergeCell ref="Z46:Z47"/>
    <mergeCell ref="Z48:Z49"/>
    <mergeCell ref="Z50:Z51"/>
    <mergeCell ref="X31:X32"/>
    <mergeCell ref="X33:X34"/>
    <mergeCell ref="W23:W36"/>
    <mergeCell ref="P28:P30"/>
    <mergeCell ref="X23:X24"/>
    <mergeCell ref="P24:P26"/>
    <mergeCell ref="Y9:AA9"/>
    <mergeCell ref="X29:X30"/>
    <mergeCell ref="H128:H138"/>
    <mergeCell ref="E145:E146"/>
    <mergeCell ref="C139:C146"/>
    <mergeCell ref="I40:I41"/>
    <mergeCell ref="R40:R41"/>
    <mergeCell ref="AA40:AA41"/>
    <mergeCell ref="AA42:AA51"/>
    <mergeCell ref="B39:D39"/>
    <mergeCell ref="K39:M39"/>
    <mergeCell ref="T39:V39"/>
    <mergeCell ref="U40:U41"/>
    <mergeCell ref="U42:U43"/>
    <mergeCell ref="U44:U45"/>
    <mergeCell ref="U46:U47"/>
    <mergeCell ref="U48:U49"/>
    <mergeCell ref="U50:U51"/>
    <mergeCell ref="I42:I43"/>
    <mergeCell ref="I44:I51"/>
    <mergeCell ref="R42:R43"/>
    <mergeCell ref="R44:R51"/>
    <mergeCell ref="Q50:Q51"/>
    <mergeCell ref="T40:T51"/>
    <mergeCell ref="Q40:Q41"/>
    <mergeCell ref="Q42:Q43"/>
    <mergeCell ref="B103:B124"/>
    <mergeCell ref="B81:B102"/>
    <mergeCell ref="B125:B146"/>
    <mergeCell ref="E95:E96"/>
    <mergeCell ref="C87:D90"/>
    <mergeCell ref="C91:D94"/>
    <mergeCell ref="C81:D83"/>
    <mergeCell ref="C84:D86"/>
    <mergeCell ref="C103:D105"/>
    <mergeCell ref="C109:D112"/>
    <mergeCell ref="C113:D116"/>
    <mergeCell ref="C147:D149"/>
    <mergeCell ref="C106:D108"/>
    <mergeCell ref="C125:D127"/>
    <mergeCell ref="C128:D130"/>
    <mergeCell ref="C135:D138"/>
    <mergeCell ref="B147:B168"/>
    <mergeCell ref="H57:H62"/>
    <mergeCell ref="H63:H68"/>
    <mergeCell ref="H97:H98"/>
    <mergeCell ref="E97:E98"/>
    <mergeCell ref="E99:E100"/>
    <mergeCell ref="H119:H120"/>
    <mergeCell ref="C153:D156"/>
    <mergeCell ref="C157:D160"/>
    <mergeCell ref="E117:E118"/>
    <mergeCell ref="E119:E120"/>
    <mergeCell ref="E121:E122"/>
    <mergeCell ref="C131:D134"/>
    <mergeCell ref="C150:D152"/>
    <mergeCell ref="H99:H100"/>
    <mergeCell ref="H84:H94"/>
    <mergeCell ref="H106:H116"/>
    <mergeCell ref="C117:C124"/>
    <mergeCell ref="C95:C102"/>
    <mergeCell ref="B169:B190"/>
    <mergeCell ref="E165:E166"/>
    <mergeCell ref="C175:D178"/>
    <mergeCell ref="C179:D182"/>
    <mergeCell ref="E185:E186"/>
    <mergeCell ref="E187:E188"/>
    <mergeCell ref="B191:B212"/>
    <mergeCell ref="E211:E212"/>
    <mergeCell ref="C205:C212"/>
    <mergeCell ref="C197:D200"/>
    <mergeCell ref="C169:D171"/>
    <mergeCell ref="C172:D174"/>
    <mergeCell ref="C161:C168"/>
    <mergeCell ref="C201:D204"/>
    <mergeCell ref="E207:E208"/>
    <mergeCell ref="E209:E210"/>
    <mergeCell ref="C194:D196"/>
    <mergeCell ref="C191:D193"/>
    <mergeCell ref="E161:E162"/>
    <mergeCell ref="E163:E164"/>
    <mergeCell ref="E167:E168"/>
    <mergeCell ref="E189:E190"/>
    <mergeCell ref="C183:C190"/>
    <mergeCell ref="J8:Y8"/>
    <mergeCell ref="E123:E124"/>
    <mergeCell ref="E101:E102"/>
    <mergeCell ref="C69:C74"/>
    <mergeCell ref="C75:C80"/>
    <mergeCell ref="B69:B80"/>
    <mergeCell ref="H69:H74"/>
    <mergeCell ref="H75:H80"/>
    <mergeCell ref="F74:G75"/>
    <mergeCell ref="F69:F73"/>
    <mergeCell ref="H40:H41"/>
    <mergeCell ref="H42:H43"/>
    <mergeCell ref="H44:H45"/>
    <mergeCell ref="H46:H47"/>
    <mergeCell ref="H48:H49"/>
    <mergeCell ref="H50:H51"/>
    <mergeCell ref="X25:X26"/>
    <mergeCell ref="X27:X28"/>
    <mergeCell ref="L40:L41"/>
    <mergeCell ref="H121:H122"/>
    <mergeCell ref="Q44:Q45"/>
    <mergeCell ref="Q46:Q47"/>
    <mergeCell ref="B8:I8"/>
    <mergeCell ref="B40:B51"/>
    <mergeCell ref="C57:C62"/>
    <mergeCell ref="B57:B68"/>
    <mergeCell ref="F57:F61"/>
    <mergeCell ref="G57:G61"/>
    <mergeCell ref="F62:G63"/>
    <mergeCell ref="F64:F68"/>
    <mergeCell ref="C46:C47"/>
    <mergeCell ref="G64:G68"/>
    <mergeCell ref="C48:C49"/>
    <mergeCell ref="C50:C51"/>
    <mergeCell ref="B23:B24"/>
    <mergeCell ref="H194:H204"/>
    <mergeCell ref="H207:H208"/>
    <mergeCell ref="H209:H210"/>
    <mergeCell ref="E139:E140"/>
    <mergeCell ref="E183:E184"/>
    <mergeCell ref="E205:E206"/>
    <mergeCell ref="H163:H164"/>
    <mergeCell ref="H165:H166"/>
    <mergeCell ref="H172:H182"/>
    <mergeCell ref="H185:H186"/>
    <mergeCell ref="H187:H188"/>
    <mergeCell ref="E141:E142"/>
    <mergeCell ref="E143:E144"/>
    <mergeCell ref="H141:H142"/>
    <mergeCell ref="H143:H144"/>
    <mergeCell ref="H150:H160"/>
    <mergeCell ref="C40:C41"/>
    <mergeCell ref="C42:C43"/>
    <mergeCell ref="C44:C45"/>
    <mergeCell ref="G69:G73"/>
    <mergeCell ref="F76:F80"/>
    <mergeCell ref="G76:G80"/>
    <mergeCell ref="C63:C68"/>
    <mergeCell ref="AO55:AO56"/>
    <mergeCell ref="AP55:AP56"/>
    <mergeCell ref="AJ37:AP37"/>
    <mergeCell ref="AJ38:AP38"/>
    <mergeCell ref="AJ39:AP39"/>
    <mergeCell ref="AJ40:AM40"/>
    <mergeCell ref="AJ41:AM41"/>
    <mergeCell ref="B27:B28"/>
    <mergeCell ref="B29:B30"/>
    <mergeCell ref="B31:B32"/>
    <mergeCell ref="B33:B34"/>
    <mergeCell ref="L42:L43"/>
    <mergeCell ref="AH40:AH51"/>
    <mergeCell ref="AC40:AC51"/>
    <mergeCell ref="AD40:AD45"/>
    <mergeCell ref="AF40:AF44"/>
    <mergeCell ref="AG40:AG44"/>
    <mergeCell ref="AF45:AG46"/>
    <mergeCell ref="AD46:AD51"/>
    <mergeCell ref="AF47:AF51"/>
    <mergeCell ref="AG47:AG51"/>
  </mergeCells>
  <conditionalFormatting sqref="I62:AN62">
    <cfRule type="top10" dxfId="217" priority="59" percent="1" bottom="1" rank="10"/>
    <cfRule type="top10" dxfId="216" priority="60" percent="1" rank="10"/>
  </conditionalFormatting>
  <conditionalFormatting sqref="I61:AN61">
    <cfRule type="top10" dxfId="215" priority="57" percent="1" bottom="1" rank="10"/>
    <cfRule type="top10" dxfId="214" priority="58" percent="1" rank="10"/>
  </conditionalFormatting>
  <conditionalFormatting sqref="I60:AN60">
    <cfRule type="top10" dxfId="213" priority="55" percent="1" bottom="1" rank="10"/>
    <cfRule type="top10" dxfId="212" priority="56" percent="1" rank="10"/>
  </conditionalFormatting>
  <conditionalFormatting sqref="I59:AN59">
    <cfRule type="top10" dxfId="211" priority="53" percent="1" bottom="1" rank="10"/>
    <cfRule type="top10" dxfId="210" priority="54" percent="1" rank="10"/>
  </conditionalFormatting>
  <conditionalFormatting sqref="I58:AN58">
    <cfRule type="top10" dxfId="209" priority="51" percent="1" bottom="1" rank="10"/>
    <cfRule type="top10" dxfId="208" priority="52" percent="1" rank="10"/>
  </conditionalFormatting>
  <conditionalFormatting sqref="I57:AN61">
    <cfRule type="top10" dxfId="207" priority="49" percent="1" bottom="1" rank="10"/>
    <cfRule type="top10" dxfId="206" priority="50" percent="1" rank="10"/>
  </conditionalFormatting>
  <conditionalFormatting sqref="I68:AN68">
    <cfRule type="top10" dxfId="205" priority="47" percent="1" bottom="1" rank="10"/>
    <cfRule type="top10" dxfId="204" priority="48" percent="1" rank="10"/>
  </conditionalFormatting>
  <conditionalFormatting sqref="I67:AN67">
    <cfRule type="top10" dxfId="203" priority="45" percent="1" bottom="1" rank="10"/>
    <cfRule type="top10" dxfId="202" priority="46" percent="1" rank="10"/>
  </conditionalFormatting>
  <conditionalFormatting sqref="I66:AN66">
    <cfRule type="top10" dxfId="201" priority="43" percent="1" bottom="1" rank="10"/>
    <cfRule type="top10" dxfId="200" priority="44" percent="1" rank="10"/>
  </conditionalFormatting>
  <conditionalFormatting sqref="I65:AN65">
    <cfRule type="top10" dxfId="199" priority="41" percent="1" bottom="1" rank="10"/>
    <cfRule type="top10" dxfId="198" priority="42" percent="1" rank="10"/>
  </conditionalFormatting>
  <conditionalFormatting sqref="I64:AN64">
    <cfRule type="top10" dxfId="197" priority="39" percent="1" bottom="1" rank="10"/>
    <cfRule type="top10" dxfId="196" priority="40" percent="1" rank="10"/>
  </conditionalFormatting>
  <conditionalFormatting sqref="I63:AN67">
    <cfRule type="top10" dxfId="195" priority="37" percent="1" bottom="1" rank="10"/>
    <cfRule type="top10" dxfId="194" priority="38" percent="1" rank="10"/>
  </conditionalFormatting>
  <conditionalFormatting sqref="I74:AN74">
    <cfRule type="top10" dxfId="193" priority="35" percent="1" bottom="1" rank="10"/>
    <cfRule type="top10" dxfId="192" priority="36" percent="1" rank="10"/>
  </conditionalFormatting>
  <conditionalFormatting sqref="I73:AN73">
    <cfRule type="top10" dxfId="191" priority="33" percent="1" bottom="1" rank="10"/>
    <cfRule type="top10" dxfId="190" priority="34" percent="1" rank="10"/>
  </conditionalFormatting>
  <conditionalFormatting sqref="I72:AN72">
    <cfRule type="top10" dxfId="189" priority="31" percent="1" bottom="1" rank="10"/>
    <cfRule type="top10" dxfId="188" priority="32" percent="1" rank="10"/>
  </conditionalFormatting>
  <conditionalFormatting sqref="I71:AN71">
    <cfRule type="top10" dxfId="187" priority="29" percent="1" bottom="1" rank="10"/>
    <cfRule type="top10" dxfId="186" priority="30" percent="1" rank="10"/>
  </conditionalFormatting>
  <conditionalFormatting sqref="I70:AN70">
    <cfRule type="top10" dxfId="185" priority="27" percent="1" bottom="1" rank="10"/>
    <cfRule type="top10" dxfId="184" priority="28" percent="1" rank="10"/>
  </conditionalFormatting>
  <conditionalFormatting sqref="I69:AN69">
    <cfRule type="top10" dxfId="183" priority="25" percent="1" bottom="1" rank="10"/>
    <cfRule type="top10" dxfId="182" priority="26" percent="1" rank="10"/>
  </conditionalFormatting>
  <conditionalFormatting sqref="I80:AN80">
    <cfRule type="top10" dxfId="181" priority="23" percent="1" bottom="1" rank="10"/>
    <cfRule type="top10" dxfId="180" priority="24" percent="1" rank="10"/>
  </conditionalFormatting>
  <conditionalFormatting sqref="I79:AN79">
    <cfRule type="top10" dxfId="179" priority="21" percent="1" bottom="1" rank="10"/>
    <cfRule type="top10" dxfId="178" priority="22" percent="1" rank="10"/>
  </conditionalFormatting>
  <conditionalFormatting sqref="I78:AN78">
    <cfRule type="top10" dxfId="177" priority="19" percent="1" bottom="1" rank="10"/>
    <cfRule type="top10" dxfId="176" priority="20" percent="1" rank="10"/>
  </conditionalFormatting>
  <conditionalFormatting sqref="I77:AN77">
    <cfRule type="top10" dxfId="175" priority="17" percent="1" bottom="1" rank="10"/>
    <cfRule type="top10" dxfId="174" priority="18" percent="1" rank="10"/>
  </conditionalFormatting>
  <conditionalFormatting sqref="I76:AN76">
    <cfRule type="top10" dxfId="173" priority="15" percent="1" bottom="1" rank="10"/>
    <cfRule type="top10" dxfId="172" priority="16" percent="1" rank="10"/>
  </conditionalFormatting>
  <conditionalFormatting sqref="I75:AN75">
    <cfRule type="top10" dxfId="171" priority="13" percent="1" bottom="1" rank="10"/>
    <cfRule type="top10" dxfId="170" priority="14" percent="1" rank="10"/>
  </conditionalFormatting>
  <conditionalFormatting sqref="I55:AN55">
    <cfRule type="top10" dxfId="169" priority="7" percent="1" bottom="1" rank="10"/>
    <cfRule type="top10" dxfId="168" priority="8" percent="1" rank="10"/>
  </conditionalFormatting>
  <conditionalFormatting sqref="I56:AN56">
    <cfRule type="top10" dxfId="167" priority="5" percent="1" bottom="1" rank="10"/>
    <cfRule type="top10" dxfId="166" priority="6" percent="1" rank="10"/>
  </conditionalFormatting>
  <conditionalFormatting sqref="I205:AK205">
    <cfRule type="top10" dxfId="165" priority="3" percent="1" bottom="1" rank="10"/>
    <cfRule type="top10" dxfId="164" priority="4" percent="1" rank="10"/>
  </conditionalFormatting>
  <conditionalFormatting sqref="I206:AK206">
    <cfRule type="top10" dxfId="163" priority="1" percent="1" bottom="1" rank="10"/>
    <cfRule type="top10" dxfId="162" priority="2" percent="1" rank="10"/>
  </conditionalFormatting>
  <dataValidations count="1">
    <dataValidation type="list" allowBlank="1" showInputMessage="1" showErrorMessage="1" sqref="AH37:AH38 B55">
      <formula1>$I$53:$J$53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S464"/>
  <sheetViews>
    <sheetView topLeftCell="A257" zoomScale="70" zoomScaleNormal="70" workbookViewId="0">
      <selection activeCell="AJ233" sqref="AJ233"/>
    </sheetView>
  </sheetViews>
  <sheetFormatPr defaultRowHeight="15"/>
  <cols>
    <col min="3" max="3" width="6.42578125" style="46" bestFit="1" customWidth="1"/>
    <col min="4" max="4" width="6.42578125" style="46" customWidth="1"/>
    <col min="5" max="5" width="10.28515625" style="42" bestFit="1" customWidth="1"/>
    <col min="6" max="37" width="8" customWidth="1"/>
    <col min="38" max="38" width="9.7109375" customWidth="1"/>
    <col min="39" max="39" width="7.7109375" style="5" bestFit="1" customWidth="1"/>
    <col min="40" max="40" width="8.85546875" style="5" bestFit="1" customWidth="1"/>
    <col min="41" max="41" width="7.85546875" style="5" bestFit="1" customWidth="1"/>
    <col min="42" max="42" width="6.42578125" style="5" bestFit="1" customWidth="1"/>
  </cols>
  <sheetData>
    <row r="1" spans="1:45">
      <c r="A1" s="45" t="s">
        <v>63</v>
      </c>
      <c r="B1" s="43">
        <f>COUNT(F3:AK3)</f>
        <v>32</v>
      </c>
      <c r="E1" t="s">
        <v>50</v>
      </c>
      <c r="F1" s="5">
        <v>0</v>
      </c>
      <c r="G1" s="5">
        <f>F1+1</f>
        <v>1</v>
      </c>
      <c r="H1" s="5">
        <f t="shared" ref="H1:AK1" si="0">G1+1</f>
        <v>2</v>
      </c>
      <c r="I1" s="5">
        <f t="shared" si="0"/>
        <v>3</v>
      </c>
      <c r="J1" s="5">
        <f t="shared" si="0"/>
        <v>4</v>
      </c>
      <c r="K1" s="5">
        <f t="shared" si="0"/>
        <v>5</v>
      </c>
      <c r="L1" s="5">
        <f t="shared" si="0"/>
        <v>6</v>
      </c>
      <c r="M1" s="5">
        <f t="shared" si="0"/>
        <v>7</v>
      </c>
      <c r="N1" s="5">
        <f t="shared" si="0"/>
        <v>8</v>
      </c>
      <c r="O1" s="5">
        <f t="shared" si="0"/>
        <v>9</v>
      </c>
      <c r="P1" s="5">
        <f t="shared" si="0"/>
        <v>10</v>
      </c>
      <c r="Q1" s="5">
        <f t="shared" si="0"/>
        <v>11</v>
      </c>
      <c r="R1" s="5">
        <f t="shared" si="0"/>
        <v>12</v>
      </c>
      <c r="S1" s="5">
        <f t="shared" si="0"/>
        <v>13</v>
      </c>
      <c r="T1" s="5">
        <f t="shared" si="0"/>
        <v>14</v>
      </c>
      <c r="U1" s="5">
        <f t="shared" si="0"/>
        <v>15</v>
      </c>
      <c r="V1" s="5">
        <f t="shared" si="0"/>
        <v>16</v>
      </c>
      <c r="W1" s="5">
        <f t="shared" si="0"/>
        <v>17</v>
      </c>
      <c r="X1" s="5">
        <f t="shared" si="0"/>
        <v>18</v>
      </c>
      <c r="Y1" s="5">
        <f t="shared" si="0"/>
        <v>19</v>
      </c>
      <c r="Z1" s="5">
        <f t="shared" si="0"/>
        <v>20</v>
      </c>
      <c r="AA1" s="5">
        <f t="shared" si="0"/>
        <v>21</v>
      </c>
      <c r="AB1" s="5">
        <f t="shared" si="0"/>
        <v>22</v>
      </c>
      <c r="AC1" s="5">
        <f t="shared" si="0"/>
        <v>23</v>
      </c>
      <c r="AD1" s="5">
        <f t="shared" si="0"/>
        <v>24</v>
      </c>
      <c r="AE1" s="5">
        <f t="shared" si="0"/>
        <v>25</v>
      </c>
      <c r="AF1" s="5">
        <f t="shared" si="0"/>
        <v>26</v>
      </c>
      <c r="AG1" s="5">
        <f t="shared" si="0"/>
        <v>27</v>
      </c>
      <c r="AH1" s="5">
        <f t="shared" si="0"/>
        <v>28</v>
      </c>
      <c r="AI1" s="5">
        <f t="shared" si="0"/>
        <v>29</v>
      </c>
      <c r="AJ1" s="5">
        <f t="shared" si="0"/>
        <v>30</v>
      </c>
      <c r="AK1" s="5">
        <f t="shared" si="0"/>
        <v>31</v>
      </c>
      <c r="AL1" s="242" t="s">
        <v>40</v>
      </c>
      <c r="AM1" s="242" t="s">
        <v>41</v>
      </c>
      <c r="AN1" s="242" t="s">
        <v>42</v>
      </c>
      <c r="AO1" s="17"/>
    </row>
    <row r="2" spans="1:45">
      <c r="D2" s="46" t="s">
        <v>87</v>
      </c>
      <c r="E2" s="42" t="s">
        <v>51</v>
      </c>
      <c r="F2" s="153">
        <f>COLUMN(F2)-1</f>
        <v>5</v>
      </c>
      <c r="G2" s="42">
        <f t="shared" ref="G2:AK2" si="1">COLUMN(G2)-1</f>
        <v>6</v>
      </c>
      <c r="H2" s="42">
        <f t="shared" si="1"/>
        <v>7</v>
      </c>
      <c r="I2" s="42">
        <f t="shared" si="1"/>
        <v>8</v>
      </c>
      <c r="J2" s="42">
        <f t="shared" si="1"/>
        <v>9</v>
      </c>
      <c r="K2" s="42">
        <f t="shared" si="1"/>
        <v>10</v>
      </c>
      <c r="L2" s="153">
        <f t="shared" si="1"/>
        <v>11</v>
      </c>
      <c r="M2" s="42">
        <f t="shared" si="1"/>
        <v>12</v>
      </c>
      <c r="N2" s="42">
        <f t="shared" si="1"/>
        <v>13</v>
      </c>
      <c r="O2" s="42">
        <f t="shared" si="1"/>
        <v>14</v>
      </c>
      <c r="P2" s="42">
        <f t="shared" si="1"/>
        <v>15</v>
      </c>
      <c r="Q2" s="42">
        <f t="shared" si="1"/>
        <v>16</v>
      </c>
      <c r="R2" s="153">
        <f t="shared" si="1"/>
        <v>17</v>
      </c>
      <c r="S2" s="42">
        <f t="shared" si="1"/>
        <v>18</v>
      </c>
      <c r="T2" s="42">
        <f t="shared" si="1"/>
        <v>19</v>
      </c>
      <c r="U2" s="42">
        <f t="shared" si="1"/>
        <v>20</v>
      </c>
      <c r="V2" s="42">
        <f t="shared" si="1"/>
        <v>21</v>
      </c>
      <c r="W2" s="42">
        <f t="shared" si="1"/>
        <v>22</v>
      </c>
      <c r="X2" s="153">
        <f t="shared" si="1"/>
        <v>23</v>
      </c>
      <c r="Y2" s="42">
        <f t="shared" si="1"/>
        <v>24</v>
      </c>
      <c r="Z2" s="42">
        <f t="shared" si="1"/>
        <v>25</v>
      </c>
      <c r="AA2" s="42">
        <f t="shared" si="1"/>
        <v>26</v>
      </c>
      <c r="AB2" s="42">
        <f t="shared" si="1"/>
        <v>27</v>
      </c>
      <c r="AC2" s="42">
        <f t="shared" si="1"/>
        <v>28</v>
      </c>
      <c r="AD2" s="153">
        <f t="shared" si="1"/>
        <v>29</v>
      </c>
      <c r="AE2" s="42">
        <f t="shared" si="1"/>
        <v>30</v>
      </c>
      <c r="AF2" s="42">
        <f t="shared" si="1"/>
        <v>31</v>
      </c>
      <c r="AG2" s="42">
        <f t="shared" si="1"/>
        <v>32</v>
      </c>
      <c r="AH2" s="42">
        <f t="shared" si="1"/>
        <v>33</v>
      </c>
      <c r="AI2" s="42">
        <f t="shared" si="1"/>
        <v>34</v>
      </c>
      <c r="AJ2" s="42">
        <f t="shared" si="1"/>
        <v>35</v>
      </c>
      <c r="AK2" s="42">
        <f t="shared" si="1"/>
        <v>36</v>
      </c>
      <c r="AL2" s="286"/>
      <c r="AM2" s="286"/>
      <c r="AN2" s="286"/>
      <c r="AO2" s="42"/>
      <c r="AP2" s="42"/>
    </row>
    <row r="3" spans="1:45">
      <c r="A3" s="307" t="s">
        <v>49</v>
      </c>
      <c r="B3" s="307" t="s">
        <v>43</v>
      </c>
      <c r="C3" s="86" t="s">
        <v>67</v>
      </c>
      <c r="D3" s="62">
        <v>0</v>
      </c>
      <c r="E3" s="92">
        <f>ROW(E3)-1</f>
        <v>2</v>
      </c>
      <c r="F3" s="216">
        <v>40.117874145507813</v>
      </c>
      <c r="G3" s="216">
        <v>37.285419464111328</v>
      </c>
      <c r="H3" s="216">
        <v>34.555961608886719</v>
      </c>
      <c r="I3" s="216">
        <v>41.388191223144531</v>
      </c>
      <c r="J3" s="216">
        <v>40.524147033691406</v>
      </c>
      <c r="K3" s="216">
        <v>38.229572296142578</v>
      </c>
      <c r="L3" s="216">
        <v>40.981918334960937</v>
      </c>
      <c r="M3" s="216">
        <v>38.487068176269531</v>
      </c>
      <c r="N3" s="216">
        <v>41.227970123291016</v>
      </c>
      <c r="O3" s="216">
        <v>36.541542053222656</v>
      </c>
      <c r="P3" s="216">
        <v>41.531242370605469</v>
      </c>
      <c r="Q3" s="216">
        <v>42.263675689697266</v>
      </c>
      <c r="R3" s="216">
        <v>41.348133087158203</v>
      </c>
      <c r="S3" s="218">
        <v>41.016250610351562</v>
      </c>
      <c r="T3" s="216">
        <v>41.451133728027344</v>
      </c>
      <c r="U3" s="216">
        <v>42.355228424072266</v>
      </c>
      <c r="V3" s="216">
        <v>40.438316345214844</v>
      </c>
      <c r="W3" s="216">
        <v>39.013504028320313</v>
      </c>
      <c r="X3" s="216">
        <v>38.916229248046875</v>
      </c>
      <c r="Y3" s="216">
        <v>39.740215301513672</v>
      </c>
      <c r="Z3" s="216">
        <v>49.032958984375</v>
      </c>
      <c r="AA3" s="216">
        <v>40.106430053710938</v>
      </c>
      <c r="AB3" s="216">
        <v>36.535820007324219</v>
      </c>
      <c r="AC3" s="216">
        <v>38.372623443603516</v>
      </c>
      <c r="AD3" s="216">
        <v>45.382240295410156</v>
      </c>
      <c r="AE3" s="216">
        <v>44.432365417480469</v>
      </c>
      <c r="AF3" s="216">
        <v>36.673152923583984</v>
      </c>
      <c r="AG3" s="216">
        <v>39.476997375488281</v>
      </c>
      <c r="AH3" s="216">
        <v>45.988784790039063</v>
      </c>
      <c r="AI3" s="216">
        <v>45.92584228515625</v>
      </c>
      <c r="AJ3" s="216">
        <v>41.788738250732422</v>
      </c>
      <c r="AK3" s="216">
        <v>38.258182525634766</v>
      </c>
      <c r="AL3" s="53">
        <f>AVERAGE(F3:AK3)</f>
        <v>40.605866551399231</v>
      </c>
      <c r="AM3" s="53">
        <f>STDEV(F3:AK3)</f>
        <v>3.116742771599101</v>
      </c>
      <c r="AN3" s="54">
        <f>AM3/AL3</f>
        <v>7.675597238280589E-2</v>
      </c>
      <c r="AO3" s="53"/>
      <c r="AP3" s="53" t="s">
        <v>46</v>
      </c>
      <c r="AQ3" s="44">
        <f>Calibration!D27</f>
        <v>1005</v>
      </c>
      <c r="AR3" s="44" t="s">
        <v>57</v>
      </c>
      <c r="AS3" s="55">
        <f>AQ3/SUM(AQ3:AQ5)</f>
        <v>0.49617378425080227</v>
      </c>
    </row>
    <row r="4" spans="1:45">
      <c r="A4" s="286"/>
      <c r="B4" s="286"/>
      <c r="C4" s="87" t="s">
        <v>68</v>
      </c>
      <c r="D4" s="50">
        <f>D3</f>
        <v>0</v>
      </c>
      <c r="E4" s="50">
        <f t="shared" ref="E4:E72" si="2">ROW(E4)-1</f>
        <v>3</v>
      </c>
      <c r="F4" s="215">
        <v>31.843671798706055</v>
      </c>
      <c r="G4" s="215">
        <v>29.537651062011719</v>
      </c>
      <c r="H4" s="215">
        <v>27.666513442993164</v>
      </c>
      <c r="I4" s="215">
        <v>32.204166412353516</v>
      </c>
      <c r="J4" s="215">
        <v>32.158390045166016</v>
      </c>
      <c r="K4" s="215">
        <v>33.617530822753906</v>
      </c>
      <c r="L4" s="215">
        <v>31.683450698852539</v>
      </c>
      <c r="M4" s="215">
        <v>30.384527206420898</v>
      </c>
      <c r="N4" s="215">
        <v>29.554817199707031</v>
      </c>
      <c r="O4" s="215">
        <v>28.925382614135742</v>
      </c>
      <c r="P4" s="215">
        <v>29.509040832519531</v>
      </c>
      <c r="Q4" s="215">
        <v>31.094072341918945</v>
      </c>
      <c r="R4" s="215">
        <v>29.92103385925293</v>
      </c>
      <c r="S4" s="219">
        <v>31.872282028198242</v>
      </c>
      <c r="T4" s="215">
        <v>31.334402084350586</v>
      </c>
      <c r="U4" s="215">
        <v>33.623252868652344</v>
      </c>
      <c r="V4" s="215">
        <v>31.0311279296875</v>
      </c>
      <c r="W4" s="215">
        <v>30.973907470703125</v>
      </c>
      <c r="X4" s="215">
        <v>31.414510726928711</v>
      </c>
      <c r="Y4" s="215">
        <v>33.360034942626953</v>
      </c>
      <c r="Z4" s="215">
        <v>37.022201538085938</v>
      </c>
      <c r="AA4" s="215">
        <v>31.895170211791992</v>
      </c>
      <c r="AB4" s="215">
        <v>28.610666275024414</v>
      </c>
      <c r="AC4" s="215">
        <v>30.579080581665039</v>
      </c>
      <c r="AD4" s="215">
        <v>33.148319244384766</v>
      </c>
      <c r="AE4" s="215">
        <v>30.310138702392578</v>
      </c>
      <c r="AF4" s="215">
        <v>29.800868988037109</v>
      </c>
      <c r="AG4" s="215">
        <v>31.059738159179688</v>
      </c>
      <c r="AH4" s="215">
        <v>31.969558715820312</v>
      </c>
      <c r="AI4" s="215">
        <v>34.401466369628906</v>
      </c>
      <c r="AJ4" s="215">
        <v>31.631952285766602</v>
      </c>
      <c r="AK4" s="215">
        <v>29.989700317382813</v>
      </c>
      <c r="AL4" s="47">
        <f t="shared" ref="AL4:AL5" si="3">AVERAGE(F4:AK4)</f>
        <v>31.316519618034363</v>
      </c>
      <c r="AM4" s="47">
        <f t="shared" ref="AM4:AM5" si="4">STDEV(F4:AK4)</f>
        <v>1.8660703524761482</v>
      </c>
      <c r="AN4" s="56">
        <f t="shared" ref="AN4:AN5" si="5">AM4/AL4</f>
        <v>5.9587411859187797E-2</v>
      </c>
      <c r="AO4" s="47"/>
      <c r="AP4" s="47" t="s">
        <v>47</v>
      </c>
      <c r="AQ4" s="15">
        <f>Calibration!E27</f>
        <v>844.5</v>
      </c>
      <c r="AR4" s="15" t="s">
        <v>58</v>
      </c>
      <c r="AS4" s="51">
        <f>AQ4/SUM(AQ3:AQ5)</f>
        <v>0.41693409034806223</v>
      </c>
    </row>
    <row r="5" spans="1:45">
      <c r="A5" s="286"/>
      <c r="B5" s="286"/>
      <c r="C5" s="88" t="s">
        <v>69</v>
      </c>
      <c r="D5" s="15">
        <f>D4</f>
        <v>0</v>
      </c>
      <c r="E5" s="50">
        <f t="shared" si="2"/>
        <v>4</v>
      </c>
      <c r="F5" s="215">
        <v>37.708858489990234</v>
      </c>
      <c r="G5" s="215">
        <v>35.191120147705078</v>
      </c>
      <c r="H5" s="215">
        <v>32.553215026855469</v>
      </c>
      <c r="I5" s="215">
        <v>39.402610778808594</v>
      </c>
      <c r="J5" s="215">
        <v>37.685970306396484</v>
      </c>
      <c r="K5" s="215">
        <v>35.952163696289063</v>
      </c>
      <c r="L5" s="215">
        <v>38.538566589355469</v>
      </c>
      <c r="M5" s="215">
        <v>36.158161163330078</v>
      </c>
      <c r="N5" s="215">
        <v>38.710231781005859</v>
      </c>
      <c r="O5" s="215">
        <v>34.161136627197266</v>
      </c>
      <c r="P5" s="215">
        <v>38.681621551513672</v>
      </c>
      <c r="Q5" s="215">
        <v>39.848934173583984</v>
      </c>
      <c r="R5" s="215">
        <v>38.441291809082031</v>
      </c>
      <c r="S5" s="219">
        <v>38.675899505615234</v>
      </c>
      <c r="T5" s="215">
        <v>39.099334716796875</v>
      </c>
      <c r="U5" s="215">
        <v>39.991989135742188</v>
      </c>
      <c r="V5" s="215">
        <v>37.874797821044922</v>
      </c>
      <c r="W5" s="215">
        <v>36.707485198974609</v>
      </c>
      <c r="X5" s="215">
        <v>37.027923583984375</v>
      </c>
      <c r="Y5" s="215">
        <v>37.783245086669922</v>
      </c>
      <c r="Z5" s="215">
        <v>45.737010955810547</v>
      </c>
      <c r="AA5" s="215">
        <v>37.926300048828125</v>
      </c>
      <c r="AB5" s="215">
        <v>34.338520050048828</v>
      </c>
      <c r="AC5" s="215">
        <v>36.232547760009766</v>
      </c>
      <c r="AD5" s="215">
        <v>42.88739013671875</v>
      </c>
      <c r="AE5" s="215">
        <v>41.800182342529297</v>
      </c>
      <c r="AF5" s="215">
        <v>34.229801177978516</v>
      </c>
      <c r="AG5" s="215">
        <v>37.022201538085938</v>
      </c>
      <c r="AH5" s="215">
        <v>42.692836761474609</v>
      </c>
      <c r="AI5" s="215">
        <v>43.030441284179688</v>
      </c>
      <c r="AJ5" s="215">
        <v>39.047836303710937</v>
      </c>
      <c r="AK5" s="215">
        <v>36.724651336669922</v>
      </c>
      <c r="AL5" s="47">
        <f t="shared" si="3"/>
        <v>38.183258652687073</v>
      </c>
      <c r="AM5" s="47">
        <f t="shared" si="4"/>
        <v>2.8629345188715192</v>
      </c>
      <c r="AN5" s="56">
        <f t="shared" si="5"/>
        <v>7.4978789655241893E-2</v>
      </c>
      <c r="AO5" s="15"/>
      <c r="AP5" s="15" t="s">
        <v>48</v>
      </c>
      <c r="AQ5" s="15">
        <f>Calibration!F27</f>
        <v>176</v>
      </c>
      <c r="AR5" s="15" t="s">
        <v>56</v>
      </c>
      <c r="AS5" s="52">
        <f>getCCTfromXY(AS3,AS4,0)</f>
        <v>2308</v>
      </c>
    </row>
    <row r="6" spans="1:45">
      <c r="A6" s="286"/>
      <c r="B6" s="286"/>
      <c r="C6" s="312" t="str">
        <f>C4</f>
        <v>G</v>
      </c>
      <c r="D6" s="15">
        <v>63</v>
      </c>
      <c r="E6" s="50">
        <f t="shared" si="2"/>
        <v>5</v>
      </c>
      <c r="F6" s="215">
        <v>0.80109864473342896</v>
      </c>
      <c r="G6" s="215">
        <v>0</v>
      </c>
      <c r="H6" s="215">
        <v>0</v>
      </c>
      <c r="I6" s="215">
        <v>0</v>
      </c>
      <c r="J6" s="215">
        <v>0.54932481050491333</v>
      </c>
      <c r="K6" s="215">
        <v>3.1185626983642578</v>
      </c>
      <c r="L6" s="215">
        <v>0.74959945678710938</v>
      </c>
      <c r="M6" s="215">
        <v>0</v>
      </c>
      <c r="N6" s="215">
        <v>0.12588693201541901</v>
      </c>
      <c r="O6" s="215">
        <v>2.2945754528045654</v>
      </c>
      <c r="P6" s="215">
        <v>4.5319294929504395</v>
      </c>
      <c r="Q6" s="215">
        <v>0.94987410306930542</v>
      </c>
      <c r="R6" s="215">
        <v>4.6520943641662598</v>
      </c>
      <c r="S6" s="219">
        <v>5.5333027839660645</v>
      </c>
      <c r="T6" s="215">
        <v>4.2229342460632324</v>
      </c>
      <c r="U6" s="215">
        <v>8.5946445465087891</v>
      </c>
      <c r="V6" s="215">
        <v>0.56076908111572266</v>
      </c>
      <c r="W6" s="215">
        <v>0</v>
      </c>
      <c r="X6" s="215">
        <v>0.17166399955749512</v>
      </c>
      <c r="Y6" s="215">
        <v>0</v>
      </c>
      <c r="Z6" s="215">
        <v>2.9297323226928711</v>
      </c>
      <c r="AA6" s="215">
        <v>4.1828794479370117</v>
      </c>
      <c r="AB6" s="215">
        <v>0</v>
      </c>
      <c r="AC6" s="215">
        <v>0</v>
      </c>
      <c r="AD6" s="215">
        <v>0</v>
      </c>
      <c r="AE6" s="215">
        <v>0</v>
      </c>
      <c r="AF6" s="215">
        <v>2.6894025802612305</v>
      </c>
      <c r="AG6" s="215">
        <v>6.2256808280944824</v>
      </c>
      <c r="AH6" s="215">
        <v>0</v>
      </c>
      <c r="AI6" s="215">
        <v>11.799038887023926</v>
      </c>
      <c r="AJ6" s="215">
        <v>1.2989242076873779</v>
      </c>
      <c r="AK6" s="215">
        <v>6.6376743316650391</v>
      </c>
      <c r="AL6" s="47">
        <f t="shared" ref="AL6:AL8" si="6">AVERAGE(F6:AK6)</f>
        <v>2.2693622880615294</v>
      </c>
      <c r="AM6" s="47">
        <f t="shared" ref="AM6:AM8" si="7">STDEV(F6:AK6)</f>
        <v>2.975663314127635</v>
      </c>
      <c r="AN6" s="56">
        <f t="shared" ref="AN6:AN8" si="8">AM6/AL6</f>
        <v>1.3112332613359068</v>
      </c>
      <c r="AO6" s="15"/>
      <c r="AP6" s="15"/>
      <c r="AQ6" s="15"/>
      <c r="AR6" s="15"/>
      <c r="AS6" s="52"/>
    </row>
    <row r="7" spans="1:45">
      <c r="A7" s="286"/>
      <c r="B7" s="286"/>
      <c r="C7" s="312"/>
      <c r="D7" s="15">
        <v>64</v>
      </c>
      <c r="E7" s="50">
        <f t="shared" si="2"/>
        <v>6</v>
      </c>
      <c r="F7" s="215">
        <v>0</v>
      </c>
      <c r="G7" s="215">
        <v>0</v>
      </c>
      <c r="H7" s="215">
        <v>0</v>
      </c>
      <c r="I7" s="215">
        <v>0</v>
      </c>
      <c r="J7" s="215">
        <v>0</v>
      </c>
      <c r="K7" s="215">
        <v>0</v>
      </c>
      <c r="L7" s="215">
        <v>0</v>
      </c>
      <c r="M7" s="215">
        <v>0</v>
      </c>
      <c r="N7" s="215">
        <v>0</v>
      </c>
      <c r="O7" s="215">
        <v>0</v>
      </c>
      <c r="P7" s="215">
        <v>0</v>
      </c>
      <c r="Q7" s="215">
        <v>0</v>
      </c>
      <c r="R7" s="215">
        <v>0</v>
      </c>
      <c r="S7" s="219">
        <v>0</v>
      </c>
      <c r="T7" s="215">
        <v>0</v>
      </c>
      <c r="U7" s="215">
        <v>0</v>
      </c>
      <c r="V7" s="215">
        <v>0</v>
      </c>
      <c r="W7" s="215">
        <v>0</v>
      </c>
      <c r="X7" s="215">
        <v>0</v>
      </c>
      <c r="Y7" s="215">
        <v>0</v>
      </c>
      <c r="Z7" s="215">
        <v>0</v>
      </c>
      <c r="AA7" s="215">
        <v>0</v>
      </c>
      <c r="AB7" s="215">
        <v>0</v>
      </c>
      <c r="AC7" s="215">
        <v>0</v>
      </c>
      <c r="AD7" s="215">
        <v>0</v>
      </c>
      <c r="AE7" s="215">
        <v>0</v>
      </c>
      <c r="AF7" s="215">
        <v>0</v>
      </c>
      <c r="AG7" s="215">
        <v>0</v>
      </c>
      <c r="AH7" s="215">
        <v>0</v>
      </c>
      <c r="AI7" s="215">
        <v>0</v>
      </c>
      <c r="AJ7" s="215">
        <v>0</v>
      </c>
      <c r="AK7" s="215">
        <v>0</v>
      </c>
      <c r="AL7" s="47">
        <f t="shared" si="6"/>
        <v>0</v>
      </c>
      <c r="AM7" s="47">
        <f t="shared" si="7"/>
        <v>0</v>
      </c>
      <c r="AN7" s="56" t="e">
        <f t="shared" si="8"/>
        <v>#DIV/0!</v>
      </c>
      <c r="AO7" s="15"/>
      <c r="AP7" s="15"/>
      <c r="AQ7" s="15"/>
      <c r="AR7" s="15"/>
      <c r="AS7" s="52"/>
    </row>
    <row r="8" spans="1:45">
      <c r="A8" s="286"/>
      <c r="B8" s="286"/>
      <c r="C8" s="312"/>
      <c r="D8" s="15">
        <f>comp38</f>
        <v>50</v>
      </c>
      <c r="E8" s="50">
        <f t="shared" si="2"/>
        <v>7</v>
      </c>
      <c r="F8" s="215">
        <v>7.1011672019958496</v>
      </c>
      <c r="G8" s="215">
        <v>4.4460973739624023</v>
      </c>
      <c r="H8" s="215">
        <v>4.2343788146972656</v>
      </c>
      <c r="I8" s="215">
        <v>5.0125885009765625</v>
      </c>
      <c r="J8" s="215">
        <v>7.1927213668823242</v>
      </c>
      <c r="K8" s="215">
        <v>9.7562370300292969</v>
      </c>
      <c r="L8" s="215">
        <v>7.3586630821228027</v>
      </c>
      <c r="M8" s="215">
        <v>5.9796290397644043</v>
      </c>
      <c r="N8" s="215">
        <v>6.2829022407531738</v>
      </c>
      <c r="O8" s="215">
        <v>7.7077136039733887</v>
      </c>
      <c r="P8" s="215">
        <v>9.693293571472168</v>
      </c>
      <c r="Q8" s="215">
        <v>7.2957196235656738</v>
      </c>
      <c r="R8" s="215">
        <v>9.8306245803833008</v>
      </c>
      <c r="S8" s="219">
        <v>10.88349723815918</v>
      </c>
      <c r="T8" s="215">
        <v>9.979400634765625</v>
      </c>
      <c r="U8" s="215">
        <v>14.940489768981934</v>
      </c>
      <c r="V8" s="215">
        <v>6.9581141471862793</v>
      </c>
      <c r="W8" s="215">
        <v>5.7679104804992676</v>
      </c>
      <c r="X8" s="215">
        <v>6.4831767082214355</v>
      </c>
      <c r="Y8" s="215">
        <v>6.6147861480712891</v>
      </c>
      <c r="Z8" s="215">
        <v>9.9450674057006836</v>
      </c>
      <c r="AA8" s="215">
        <v>10.053788185119629</v>
      </c>
      <c r="AB8" s="215">
        <v>4.5033187866210937</v>
      </c>
      <c r="AC8" s="215">
        <v>6.0311284065246582</v>
      </c>
      <c r="AD8" s="215">
        <v>5.4131379127502441</v>
      </c>
      <c r="AE8" s="215">
        <v>2.6493477821350098</v>
      </c>
      <c r="AF8" s="215">
        <v>8.1940946578979492</v>
      </c>
      <c r="AG8" s="215">
        <v>11.552987098693848</v>
      </c>
      <c r="AH8" s="215">
        <v>4.8237581253051758</v>
      </c>
      <c r="AI8" s="215">
        <v>16.474021911621094</v>
      </c>
      <c r="AJ8" s="215">
        <v>7.6562142372131348</v>
      </c>
      <c r="AK8" s="215">
        <v>11.633096694946289</v>
      </c>
      <c r="AL8" s="47">
        <f t="shared" si="6"/>
        <v>7.8890335112810135</v>
      </c>
      <c r="AM8" s="47">
        <f t="shared" si="7"/>
        <v>3.0697216980708038</v>
      </c>
      <c r="AN8" s="56">
        <f t="shared" si="8"/>
        <v>0.38911251849560791</v>
      </c>
      <c r="AO8" s="15"/>
      <c r="AP8" s="15"/>
      <c r="AQ8" s="15"/>
      <c r="AR8" s="15"/>
      <c r="AS8" s="52"/>
    </row>
    <row r="9" spans="1:45">
      <c r="A9" s="286"/>
      <c r="B9" s="286" t="s">
        <v>44</v>
      </c>
      <c r="C9" s="89" t="str">
        <f>C3</f>
        <v>R</v>
      </c>
      <c r="D9" s="50">
        <f>D3</f>
        <v>0</v>
      </c>
      <c r="E9" s="90">
        <f t="shared" si="2"/>
        <v>8</v>
      </c>
      <c r="F9" s="215">
        <v>44.106201171875</v>
      </c>
      <c r="G9" s="215">
        <v>39.726863861083984</v>
      </c>
      <c r="H9" s="215">
        <v>37.537193298339844</v>
      </c>
      <c r="I9" s="215">
        <v>43.324176788330078</v>
      </c>
      <c r="J9" s="215">
        <v>44.419013977050781</v>
      </c>
      <c r="K9" s="215">
        <v>40.352481842041016</v>
      </c>
      <c r="L9" s="215">
        <v>42.542152404785156</v>
      </c>
      <c r="M9" s="215">
        <v>42.542152404785156</v>
      </c>
      <c r="N9" s="215">
        <v>46.452278137207031</v>
      </c>
      <c r="O9" s="215">
        <v>41.603721618652344</v>
      </c>
      <c r="P9" s="215">
        <v>45.201038360595703</v>
      </c>
      <c r="Q9" s="215">
        <v>41.760128021240234</v>
      </c>
      <c r="R9" s="215">
        <v>42.07293701171875</v>
      </c>
      <c r="S9" s="219">
        <v>44.575416564941406</v>
      </c>
      <c r="T9" s="215">
        <v>43.949798583984375</v>
      </c>
      <c r="U9" s="215">
        <v>43.793392181396484</v>
      </c>
      <c r="V9" s="215">
        <v>41.603721618652344</v>
      </c>
      <c r="W9" s="215">
        <v>42.07293701171875</v>
      </c>
      <c r="X9" s="215">
        <v>37.537193298339844</v>
      </c>
      <c r="Y9" s="215">
        <v>47.234302520751953</v>
      </c>
      <c r="Z9" s="215">
        <v>49.267566680908203</v>
      </c>
      <c r="AA9" s="215">
        <v>42.385749816894531</v>
      </c>
      <c r="AB9" s="215">
        <v>38.944839477539063</v>
      </c>
      <c r="AC9" s="215">
        <v>40.0396728515625</v>
      </c>
      <c r="AD9" s="215">
        <v>47.703517913818359</v>
      </c>
      <c r="AE9" s="215">
        <v>50.362400054931641</v>
      </c>
      <c r="AF9" s="215">
        <v>39.414054870605469</v>
      </c>
      <c r="AG9" s="215">
        <v>41.916534423828125</v>
      </c>
      <c r="AH9" s="215">
        <v>51.144428253173828</v>
      </c>
      <c r="AI9" s="215">
        <v>47.390708923339844</v>
      </c>
      <c r="AJ9" s="215">
        <v>44.575416564941406</v>
      </c>
      <c r="AK9" s="215">
        <v>40.821697235107422</v>
      </c>
      <c r="AL9" s="47">
        <f>AVERAGE(F9:AK9)</f>
        <v>43.324177742004395</v>
      </c>
      <c r="AM9" s="47">
        <f>STDEV(F9:AK9)</f>
        <v>3.4628556136511981</v>
      </c>
      <c r="AN9" s="56">
        <f>AM9/AL9</f>
        <v>7.9928940239154991E-2</v>
      </c>
      <c r="AO9" s="15"/>
      <c r="AP9" s="15"/>
      <c r="AQ9" s="48" t="s">
        <v>39</v>
      </c>
      <c r="AR9" s="57" t="s">
        <v>59</v>
      </c>
      <c r="AS9" s="58">
        <f>AQ4/AL4</f>
        <v>26.966598150123765</v>
      </c>
    </row>
    <row r="10" spans="1:45">
      <c r="A10" s="286"/>
      <c r="B10" s="286"/>
      <c r="C10" s="87" t="str">
        <f>C4</f>
        <v>G</v>
      </c>
      <c r="D10" s="50">
        <f t="shared" ref="D10:D17" si="9">D4</f>
        <v>0</v>
      </c>
      <c r="E10" s="50">
        <f t="shared" si="2"/>
        <v>9</v>
      </c>
      <c r="F10" s="215">
        <v>35.034713745117187</v>
      </c>
      <c r="G10" s="215">
        <v>31.437398910522461</v>
      </c>
      <c r="H10" s="215">
        <v>30.029754638671875</v>
      </c>
      <c r="I10" s="215">
        <v>33.783473968505859</v>
      </c>
      <c r="J10" s="215">
        <v>35.347522735595703</v>
      </c>
      <c r="K10" s="215">
        <v>35.503929138183594</v>
      </c>
      <c r="L10" s="215">
        <v>33.001449584960938</v>
      </c>
      <c r="M10" s="215">
        <v>33.470664978027344</v>
      </c>
      <c r="N10" s="215">
        <v>33.470664978027344</v>
      </c>
      <c r="O10" s="215">
        <v>33.001449584960938</v>
      </c>
      <c r="P10" s="215">
        <v>32.219425201416016</v>
      </c>
      <c r="Q10" s="215">
        <v>30.811779022216797</v>
      </c>
      <c r="R10" s="215">
        <v>30.655374526977539</v>
      </c>
      <c r="S10" s="219">
        <v>34.721904754638672</v>
      </c>
      <c r="T10" s="215">
        <v>33.157855987548828</v>
      </c>
      <c r="U10" s="215">
        <v>34.878311157226562</v>
      </c>
      <c r="V10" s="215">
        <v>31.906614303588867</v>
      </c>
      <c r="W10" s="215">
        <v>33.314258575439453</v>
      </c>
      <c r="X10" s="215">
        <v>30.342565536499023</v>
      </c>
      <c r="Y10" s="215">
        <v>39.726863861083984</v>
      </c>
      <c r="Z10" s="215">
        <v>37.537193298339844</v>
      </c>
      <c r="AA10" s="215">
        <v>33.627071380615234</v>
      </c>
      <c r="AB10" s="215">
        <v>30.498970031738281</v>
      </c>
      <c r="AC10" s="215">
        <v>31.906614303588867</v>
      </c>
      <c r="AD10" s="215">
        <v>35.034713745117187</v>
      </c>
      <c r="AE10" s="215">
        <v>34.409095764160156</v>
      </c>
      <c r="AF10" s="215">
        <v>32.063018798828125</v>
      </c>
      <c r="AG10" s="215">
        <v>33.157855987548828</v>
      </c>
      <c r="AH10" s="215">
        <v>35.97314453125</v>
      </c>
      <c r="AI10" s="215">
        <v>35.660335540771484</v>
      </c>
      <c r="AJ10" s="215">
        <v>33.93988037109375</v>
      </c>
      <c r="AK10" s="215">
        <v>32.063018798828125</v>
      </c>
      <c r="AL10" s="47">
        <f t="shared" ref="AL10:AL11" si="10">AVERAGE(F10:AK10)</f>
        <v>33.490215241909027</v>
      </c>
      <c r="AM10" s="47">
        <f t="shared" ref="AM10:AM11" si="11">STDEV(F10:AK10)</f>
        <v>2.1605557788464052</v>
      </c>
      <c r="AN10" s="56">
        <f t="shared" ref="AN10:AN11" si="12">AM10/AL10</f>
        <v>6.4513045474330843E-2</v>
      </c>
      <c r="AO10" s="15"/>
      <c r="AP10" s="15"/>
      <c r="AQ10" s="49">
        <f>MAX(F3:AK5)</f>
        <v>49.032958984375</v>
      </c>
      <c r="AR10" s="57" t="s">
        <v>60</v>
      </c>
      <c r="AS10" s="58">
        <f>AQ4/AL10</f>
        <v>25.216320465543276</v>
      </c>
    </row>
    <row r="11" spans="1:45">
      <c r="A11" s="286"/>
      <c r="B11" s="286"/>
      <c r="C11" s="88" t="str">
        <f>C5</f>
        <v>B</v>
      </c>
      <c r="D11" s="50">
        <f t="shared" si="9"/>
        <v>0</v>
      </c>
      <c r="E11" s="50">
        <f t="shared" si="2"/>
        <v>10</v>
      </c>
      <c r="F11" s="215">
        <v>41.447319030761719</v>
      </c>
      <c r="G11" s="215">
        <v>37.537193298339844</v>
      </c>
      <c r="H11" s="215">
        <v>35.347522735595703</v>
      </c>
      <c r="I11" s="215">
        <v>41.290912628173828</v>
      </c>
      <c r="J11" s="215">
        <v>41.447319030761719</v>
      </c>
      <c r="K11" s="215">
        <v>38.00640869140625</v>
      </c>
      <c r="L11" s="215">
        <v>40.0396728515625</v>
      </c>
      <c r="M11" s="215">
        <v>39.883270263671875</v>
      </c>
      <c r="N11" s="215">
        <v>43.793392181396484</v>
      </c>
      <c r="O11" s="215">
        <v>38.944839477539063</v>
      </c>
      <c r="P11" s="215">
        <v>42.229343414306641</v>
      </c>
      <c r="Q11" s="215">
        <v>39.414054870605469</v>
      </c>
      <c r="R11" s="215">
        <v>39.101242065429688</v>
      </c>
      <c r="S11" s="219">
        <v>42.07293701171875</v>
      </c>
      <c r="T11" s="215">
        <v>41.447319030761719</v>
      </c>
      <c r="U11" s="215">
        <v>41.290912628173828</v>
      </c>
      <c r="V11" s="215">
        <v>39.101242065429688</v>
      </c>
      <c r="W11" s="215">
        <v>39.414054870605469</v>
      </c>
      <c r="X11" s="215">
        <v>35.660335540771484</v>
      </c>
      <c r="Y11" s="215">
        <v>45.044631958007813</v>
      </c>
      <c r="Z11" s="215">
        <v>46.139469146728516</v>
      </c>
      <c r="AA11" s="215">
        <v>40.0396728515625</v>
      </c>
      <c r="AB11" s="215">
        <v>36.755168914794922</v>
      </c>
      <c r="AC11" s="215">
        <v>37.850002288818359</v>
      </c>
      <c r="AD11" s="215">
        <v>45.201038360595703</v>
      </c>
      <c r="AE11" s="215">
        <v>47.390708923339844</v>
      </c>
      <c r="AF11" s="215">
        <v>36.755168914794922</v>
      </c>
      <c r="AG11" s="215">
        <v>39.414054870605469</v>
      </c>
      <c r="AH11" s="215">
        <v>47.703517913818359</v>
      </c>
      <c r="AI11" s="215">
        <v>44.419013977050781</v>
      </c>
      <c r="AJ11" s="215">
        <v>41.760128021240234</v>
      </c>
      <c r="AK11" s="215">
        <v>39.257648468017578</v>
      </c>
      <c r="AL11" s="47">
        <f t="shared" si="10"/>
        <v>40.787484884262085</v>
      </c>
      <c r="AM11" s="47">
        <f t="shared" si="11"/>
        <v>3.2165879633897108</v>
      </c>
      <c r="AN11" s="56">
        <f t="shared" si="12"/>
        <v>7.8862130688299351E-2</v>
      </c>
      <c r="AO11" s="15"/>
      <c r="AP11" s="15"/>
      <c r="AQ11" s="6"/>
      <c r="AR11" s="57" t="s">
        <v>62</v>
      </c>
      <c r="AS11" s="58">
        <f>AS9/AS10</f>
        <v>1.0694105108226297</v>
      </c>
    </row>
    <row r="12" spans="1:45">
      <c r="A12" s="286"/>
      <c r="B12" s="286"/>
      <c r="C12" s="312" t="str">
        <f>C10</f>
        <v>G</v>
      </c>
      <c r="D12" s="50">
        <f t="shared" si="9"/>
        <v>63</v>
      </c>
      <c r="E12" s="50">
        <f t="shared" si="2"/>
        <v>11</v>
      </c>
      <c r="F12" s="215">
        <v>0.93842983245849609</v>
      </c>
      <c r="G12" s="215">
        <v>0</v>
      </c>
      <c r="H12" s="215">
        <v>0</v>
      </c>
      <c r="I12" s="215">
        <v>0</v>
      </c>
      <c r="J12" s="215">
        <v>0.62561988830566406</v>
      </c>
      <c r="K12" s="215">
        <v>3.2845044136047363</v>
      </c>
      <c r="L12" s="215">
        <v>0.93842983245849609</v>
      </c>
      <c r="M12" s="215">
        <v>0</v>
      </c>
      <c r="N12" s="215">
        <v>0.15640497207641602</v>
      </c>
      <c r="O12" s="215">
        <v>2.6588845252990723</v>
      </c>
      <c r="P12" s="215">
        <v>5.1613640785217285</v>
      </c>
      <c r="Q12" s="215">
        <v>0.93842983245849609</v>
      </c>
      <c r="R12" s="215">
        <v>4.8485541343688965</v>
      </c>
      <c r="S12" s="219">
        <v>6.0997939109802246</v>
      </c>
      <c r="T12" s="215">
        <v>4.5357441902160645</v>
      </c>
      <c r="U12" s="215">
        <v>10.479133605957031</v>
      </c>
      <c r="V12" s="215">
        <v>0.62561988830566406</v>
      </c>
      <c r="W12" s="215">
        <v>0.15640497207641602</v>
      </c>
      <c r="X12" s="215">
        <v>0.31280994415283203</v>
      </c>
      <c r="Y12" s="215">
        <v>0</v>
      </c>
      <c r="Z12" s="215">
        <v>2.9716944694519043</v>
      </c>
      <c r="AA12" s="215">
        <v>4.3793392181396484</v>
      </c>
      <c r="AB12" s="215">
        <v>0</v>
      </c>
      <c r="AC12" s="215">
        <v>0</v>
      </c>
      <c r="AD12" s="215">
        <v>0</v>
      </c>
      <c r="AE12" s="215">
        <v>0.15640497207641602</v>
      </c>
      <c r="AF12" s="215">
        <v>2.9716944694519043</v>
      </c>
      <c r="AG12" s="215">
        <v>6.5690088272094727</v>
      </c>
      <c r="AH12" s="215">
        <v>0</v>
      </c>
      <c r="AI12" s="215">
        <v>12.355993270874023</v>
      </c>
      <c r="AJ12" s="215">
        <v>1.4076447486877441</v>
      </c>
      <c r="AK12" s="215">
        <v>7.0382237434387207</v>
      </c>
      <c r="AL12" s="47">
        <f t="shared" ref="AL12:AL14" si="13">AVERAGE(F12:AK12)</f>
        <v>2.4878166168928146</v>
      </c>
      <c r="AM12" s="47">
        <f t="shared" ref="AM12:AM14" si="14">STDEV(F12:AK12)</f>
        <v>3.2394749066457385</v>
      </c>
      <c r="AN12" s="56">
        <f t="shared" ref="AN12:AN14" si="15">AM12/AL12</f>
        <v>1.3021357300409528</v>
      </c>
      <c r="AO12" s="15"/>
      <c r="AP12" s="15"/>
      <c r="AQ12" s="6"/>
      <c r="AR12" s="57"/>
      <c r="AS12" s="58"/>
    </row>
    <row r="13" spans="1:45">
      <c r="A13" s="286"/>
      <c r="B13" s="286"/>
      <c r="C13" s="312"/>
      <c r="D13" s="50">
        <f t="shared" si="9"/>
        <v>64</v>
      </c>
      <c r="E13" s="50">
        <f t="shared" si="2"/>
        <v>12</v>
      </c>
      <c r="F13" s="215">
        <v>0</v>
      </c>
      <c r="G13" s="215">
        <v>0</v>
      </c>
      <c r="H13" s="215">
        <v>0</v>
      </c>
      <c r="I13" s="215">
        <v>0</v>
      </c>
      <c r="J13" s="215">
        <v>0</v>
      </c>
      <c r="K13" s="215">
        <v>0</v>
      </c>
      <c r="L13" s="215">
        <v>0.15640497207641602</v>
      </c>
      <c r="M13" s="215">
        <v>0</v>
      </c>
      <c r="N13" s="215">
        <v>0</v>
      </c>
      <c r="O13" s="215">
        <v>0</v>
      </c>
      <c r="P13" s="215">
        <v>0.15640497207641602</v>
      </c>
      <c r="Q13" s="215">
        <v>0</v>
      </c>
      <c r="R13" s="215">
        <v>0</v>
      </c>
      <c r="S13" s="219">
        <v>0</v>
      </c>
      <c r="T13" s="215">
        <v>0</v>
      </c>
      <c r="U13" s="215">
        <v>0</v>
      </c>
      <c r="V13" s="215">
        <v>0.15640497207641602</v>
      </c>
      <c r="W13" s="215">
        <v>0</v>
      </c>
      <c r="X13" s="215">
        <v>0.15640497207641602</v>
      </c>
      <c r="Y13" s="215">
        <v>0</v>
      </c>
      <c r="Z13" s="215">
        <v>0</v>
      </c>
      <c r="AA13" s="215">
        <v>0</v>
      </c>
      <c r="AB13" s="215">
        <v>0</v>
      </c>
      <c r="AC13" s="215">
        <v>0</v>
      </c>
      <c r="AD13" s="215">
        <v>0</v>
      </c>
      <c r="AE13" s="215">
        <v>0.15640497207641602</v>
      </c>
      <c r="AF13" s="215">
        <v>0</v>
      </c>
      <c r="AG13" s="215">
        <v>0</v>
      </c>
      <c r="AH13" s="215">
        <v>0</v>
      </c>
      <c r="AI13" s="215">
        <v>0</v>
      </c>
      <c r="AJ13" s="215">
        <v>0</v>
      </c>
      <c r="AK13" s="215">
        <v>0.15640497207641602</v>
      </c>
      <c r="AL13" s="47">
        <f t="shared" si="13"/>
        <v>2.9325932264328003E-2</v>
      </c>
      <c r="AM13" s="47">
        <f t="shared" si="14"/>
        <v>6.2023606858493112E-2</v>
      </c>
      <c r="AN13" s="56">
        <f t="shared" si="15"/>
        <v>2.114974770433419</v>
      </c>
      <c r="AO13" s="15"/>
      <c r="AP13" s="15"/>
      <c r="AQ13" s="6"/>
      <c r="AR13" s="57"/>
      <c r="AS13" s="58"/>
    </row>
    <row r="14" spans="1:45">
      <c r="A14" s="313"/>
      <c r="B14" s="313"/>
      <c r="C14" s="314"/>
      <c r="D14" s="79">
        <f t="shared" si="9"/>
        <v>50</v>
      </c>
      <c r="E14" s="79">
        <f t="shared" si="2"/>
        <v>13</v>
      </c>
      <c r="F14" s="217">
        <v>7.8202486038208008</v>
      </c>
      <c r="G14" s="217">
        <v>4.6921491622924805</v>
      </c>
      <c r="H14" s="217">
        <v>4.5357441902160645</v>
      </c>
      <c r="I14" s="217">
        <v>5.3177690505981445</v>
      </c>
      <c r="J14" s="217">
        <v>7.9766535758972168</v>
      </c>
      <c r="K14" s="217">
        <v>10.322728157043457</v>
      </c>
      <c r="L14" s="217">
        <v>7.6638436317443848</v>
      </c>
      <c r="M14" s="217">
        <v>6.5690088272094727</v>
      </c>
      <c r="N14" s="217">
        <v>7.1946287155151367</v>
      </c>
      <c r="O14" s="217">
        <v>8.7586784362792969</v>
      </c>
      <c r="P14" s="217">
        <v>10.635538101196289</v>
      </c>
      <c r="Q14" s="217">
        <v>7.1946287155151367</v>
      </c>
      <c r="R14" s="217">
        <v>10.009918212890625</v>
      </c>
      <c r="S14" s="220">
        <v>11.730373382568359</v>
      </c>
      <c r="T14" s="217">
        <v>10.635538101196289</v>
      </c>
      <c r="U14" s="217">
        <v>15.484092712402344</v>
      </c>
      <c r="V14" s="217">
        <v>7.1946287155151367</v>
      </c>
      <c r="W14" s="217">
        <v>6.2561988830566406</v>
      </c>
      <c r="X14" s="217">
        <v>6.2561988830566406</v>
      </c>
      <c r="Y14" s="217">
        <v>7.8202486038208008</v>
      </c>
      <c r="Z14" s="217">
        <v>10.166323661804199</v>
      </c>
      <c r="AA14" s="217">
        <v>10.479133605957031</v>
      </c>
      <c r="AB14" s="217">
        <v>4.8485541343688965</v>
      </c>
      <c r="AC14" s="217">
        <v>6.2561988830566406</v>
      </c>
      <c r="AD14" s="217">
        <v>5.7869839668273926</v>
      </c>
      <c r="AE14" s="217">
        <v>3.1280994415283203</v>
      </c>
      <c r="AF14" s="217">
        <v>8.7586784362792969</v>
      </c>
      <c r="AG14" s="217">
        <v>12.199587821960449</v>
      </c>
      <c r="AH14" s="217">
        <v>5.4741740226745605</v>
      </c>
      <c r="AI14" s="217">
        <v>17.048141479492188</v>
      </c>
      <c r="AJ14" s="217">
        <v>8.289463996887207</v>
      </c>
      <c r="AK14" s="217">
        <v>12.512397766113281</v>
      </c>
      <c r="AL14" s="80">
        <f t="shared" si="13"/>
        <v>8.4067673087120056</v>
      </c>
      <c r="AM14" s="80">
        <f t="shared" si="14"/>
        <v>3.1534754146148503</v>
      </c>
      <c r="AN14" s="81">
        <f t="shared" si="15"/>
        <v>0.37511153798046443</v>
      </c>
      <c r="AO14" s="82"/>
      <c r="AP14" s="82"/>
      <c r="AQ14" s="83"/>
      <c r="AR14" s="84"/>
      <c r="AS14" s="85"/>
    </row>
    <row r="15" spans="1:45">
      <c r="A15" s="286" t="s">
        <v>45</v>
      </c>
      <c r="B15" s="286" t="str">
        <f>B3</f>
        <v>LO</v>
      </c>
      <c r="C15" s="86" t="str">
        <f>C9</f>
        <v>R</v>
      </c>
      <c r="D15" s="50">
        <f>D9</f>
        <v>0</v>
      </c>
      <c r="E15" s="93">
        <f>ROW(E15)-1</f>
        <v>14</v>
      </c>
      <c r="F15" s="215">
        <v>30.848020553588867</v>
      </c>
      <c r="G15" s="215">
        <v>28.490501403808594</v>
      </c>
      <c r="H15" s="215">
        <v>26.596475601196289</v>
      </c>
      <c r="I15" s="215">
        <v>31.380178451538086</v>
      </c>
      <c r="J15" s="215">
        <v>30.659189224243164</v>
      </c>
      <c r="K15" s="215">
        <v>28.959716796875</v>
      </c>
      <c r="L15" s="215">
        <v>31.311511993408203</v>
      </c>
      <c r="M15" s="215">
        <v>29.257266998291016</v>
      </c>
      <c r="N15" s="215">
        <v>30.916685104370117</v>
      </c>
      <c r="O15" s="215">
        <v>27.935453414916992</v>
      </c>
      <c r="P15" s="215">
        <v>31.071184158325195</v>
      </c>
      <c r="Q15" s="215">
        <v>31.517509460449219</v>
      </c>
      <c r="R15" s="215">
        <v>30.876630783081055</v>
      </c>
      <c r="S15" s="219">
        <v>31.002517700195313</v>
      </c>
      <c r="T15" s="215">
        <v>30.973907470703125</v>
      </c>
      <c r="U15" s="215">
        <v>31.97528076171875</v>
      </c>
      <c r="V15" s="215">
        <v>30.292972564697266</v>
      </c>
      <c r="W15" s="215">
        <v>29.308765411376953</v>
      </c>
      <c r="X15" s="215">
        <v>29.12565803527832</v>
      </c>
      <c r="Y15" s="215">
        <v>30.109865188598633</v>
      </c>
      <c r="Z15" s="215">
        <v>36.587318420410156</v>
      </c>
      <c r="AA15" s="215">
        <v>30.287250518798828</v>
      </c>
      <c r="AB15" s="215">
        <v>27.729457855224609</v>
      </c>
      <c r="AC15" s="215">
        <v>29.022659301757813</v>
      </c>
      <c r="AD15" s="215">
        <v>33.182651519775391</v>
      </c>
      <c r="AE15" s="215">
        <v>32.547492980957031</v>
      </c>
      <c r="AF15" s="215">
        <v>27.546348571777344</v>
      </c>
      <c r="AG15" s="215">
        <v>29.343099594116211</v>
      </c>
      <c r="AH15" s="215">
        <v>33.491645812988281</v>
      </c>
      <c r="AI15" s="215">
        <v>33.943695068359375</v>
      </c>
      <c r="AJ15" s="215">
        <v>30.84229850769043</v>
      </c>
      <c r="AK15" s="215">
        <v>28.301670074462891</v>
      </c>
      <c r="AL15" s="47">
        <f>AVERAGE(F15:AK15)</f>
        <v>30.482339978218079</v>
      </c>
      <c r="AM15" s="47">
        <f>STDEV(F15:AK15)</f>
        <v>2.0739700338334126</v>
      </c>
      <c r="AN15" s="56">
        <f>AM15/AL15</f>
        <v>6.8038412907782675E-2</v>
      </c>
      <c r="AO15" s="47"/>
      <c r="AP15" s="47" t="s">
        <v>46</v>
      </c>
      <c r="AQ15" s="44">
        <f>Calibration!D28</f>
        <v>1505</v>
      </c>
      <c r="AR15" s="44" t="s">
        <v>57</v>
      </c>
      <c r="AS15" s="55">
        <f>AQ15/SUM(AQ15:AQ17)</f>
        <v>0.45127436281859068</v>
      </c>
    </row>
    <row r="16" spans="1:45">
      <c r="A16" s="286"/>
      <c r="B16" s="286"/>
      <c r="C16" s="87" t="str">
        <f>C10</f>
        <v>G</v>
      </c>
      <c r="D16" s="50">
        <f t="shared" si="9"/>
        <v>0</v>
      </c>
      <c r="E16" s="50">
        <f t="shared" si="2"/>
        <v>15</v>
      </c>
      <c r="F16" s="215">
        <v>30.258640289306641</v>
      </c>
      <c r="G16" s="215">
        <v>28.650720596313477</v>
      </c>
      <c r="H16" s="215">
        <v>26.768138885498047</v>
      </c>
      <c r="I16" s="215">
        <v>31.162736892700195</v>
      </c>
      <c r="J16" s="215">
        <v>30.390249252319336</v>
      </c>
      <c r="K16" s="215">
        <v>31.540397644042969</v>
      </c>
      <c r="L16" s="215">
        <v>30.298694610595703</v>
      </c>
      <c r="M16" s="215">
        <v>28.976882934570312</v>
      </c>
      <c r="N16" s="215">
        <v>28.164339065551758</v>
      </c>
      <c r="O16" s="215">
        <v>27.391851425170898</v>
      </c>
      <c r="P16" s="215">
        <v>27.368963241577148</v>
      </c>
      <c r="Q16" s="215">
        <v>29.314489364624023</v>
      </c>
      <c r="R16" s="215">
        <v>27.706569671630859</v>
      </c>
      <c r="S16" s="219">
        <v>29.543373107910156</v>
      </c>
      <c r="T16" s="215">
        <v>28.976882934570312</v>
      </c>
      <c r="U16" s="215">
        <v>30.390249252319336</v>
      </c>
      <c r="V16" s="215">
        <v>29.371709823608398</v>
      </c>
      <c r="W16" s="215">
        <v>29.760814666748047</v>
      </c>
      <c r="X16" s="215">
        <v>30.09269905090332</v>
      </c>
      <c r="Y16" s="215">
        <v>31.706340789794922</v>
      </c>
      <c r="Z16" s="215">
        <v>34.830623626708984</v>
      </c>
      <c r="AA16" s="215">
        <v>29.491874694824219</v>
      </c>
      <c r="AB16" s="215">
        <v>27.523460388183594</v>
      </c>
      <c r="AC16" s="215">
        <v>29.468986511230469</v>
      </c>
      <c r="AD16" s="215">
        <v>31.111238479614258</v>
      </c>
      <c r="AE16" s="215">
        <v>28.86244010925293</v>
      </c>
      <c r="AF16" s="215">
        <v>27.798122406005859</v>
      </c>
      <c r="AG16" s="215">
        <v>28.341726303100586</v>
      </c>
      <c r="AH16" s="215">
        <v>30.527580261230469</v>
      </c>
      <c r="AI16" s="215">
        <v>30.418859481811523</v>
      </c>
      <c r="AJ16" s="215">
        <v>29.795146942138672</v>
      </c>
      <c r="AK16" s="215">
        <v>27.471961975097656</v>
      </c>
      <c r="AL16" s="47">
        <f t="shared" ref="AL16:AL20" si="16">AVERAGE(F16:AK16)</f>
        <v>29.483648896217346</v>
      </c>
      <c r="AM16" s="47">
        <f t="shared" ref="AM16:AM20" si="17">STDEV(F16:AK16)</f>
        <v>1.6406102024522742</v>
      </c>
      <c r="AN16" s="56">
        <f t="shared" ref="AN16:AN20" si="18">AM16/AL16</f>
        <v>5.5644747643930834E-2</v>
      </c>
      <c r="AO16" s="47"/>
      <c r="AP16" s="47" t="s">
        <v>47</v>
      </c>
      <c r="AQ16" s="15">
        <f>Calibration!E28</f>
        <v>1373</v>
      </c>
      <c r="AR16" s="15" t="s">
        <v>58</v>
      </c>
      <c r="AS16" s="51">
        <f>AQ16/SUM(AQ15:AQ17)</f>
        <v>0.41169415292353823</v>
      </c>
    </row>
    <row r="17" spans="1:45">
      <c r="A17" s="286"/>
      <c r="B17" s="286"/>
      <c r="C17" s="88" t="str">
        <f>C11</f>
        <v>B</v>
      </c>
      <c r="D17" s="50">
        <f t="shared" si="9"/>
        <v>0</v>
      </c>
      <c r="E17" s="50">
        <f t="shared" si="2"/>
        <v>16</v>
      </c>
      <c r="F17" s="215">
        <v>31.231403350830078</v>
      </c>
      <c r="G17" s="215">
        <v>29.234378814697266</v>
      </c>
      <c r="H17" s="215">
        <v>27.414739608764648</v>
      </c>
      <c r="I17" s="215">
        <v>32.513160705566406</v>
      </c>
      <c r="J17" s="215">
        <v>31.013961791992188</v>
      </c>
      <c r="K17" s="215">
        <v>29.514762878417969</v>
      </c>
      <c r="L17" s="215">
        <v>31.792171478271484</v>
      </c>
      <c r="M17" s="215">
        <v>29.531929016113281</v>
      </c>
      <c r="N17" s="215">
        <v>31.340124130249023</v>
      </c>
      <c r="O17" s="215">
        <v>28.11284065246582</v>
      </c>
      <c r="P17" s="215">
        <v>30.779354095458984</v>
      </c>
      <c r="Q17" s="215">
        <v>31.769283294677734</v>
      </c>
      <c r="R17" s="215">
        <v>30.447471618652344</v>
      </c>
      <c r="S17" s="219">
        <v>31.122682571411133</v>
      </c>
      <c r="T17" s="215">
        <v>31.145570755004883</v>
      </c>
      <c r="U17" s="215">
        <v>31.763561248779297</v>
      </c>
      <c r="V17" s="215">
        <v>30.544746398925781</v>
      </c>
      <c r="W17" s="215">
        <v>29.869535446166992</v>
      </c>
      <c r="X17" s="215">
        <v>30.144197463989258</v>
      </c>
      <c r="Y17" s="215">
        <v>31.408788681030273</v>
      </c>
      <c r="Z17" s="215">
        <v>36.587318420410156</v>
      </c>
      <c r="AA17" s="215">
        <v>30.413137435913086</v>
      </c>
      <c r="AB17" s="215">
        <v>28.467613220214844</v>
      </c>
      <c r="AC17" s="215">
        <v>29.634927749633789</v>
      </c>
      <c r="AD17" s="215">
        <v>33.989471435546875</v>
      </c>
      <c r="AE17" s="215">
        <v>33.154041290283203</v>
      </c>
      <c r="AF17" s="215">
        <v>27.843900680541992</v>
      </c>
      <c r="AG17" s="215">
        <v>29.182878494262695</v>
      </c>
      <c r="AH17" s="215">
        <v>33.777751922607422</v>
      </c>
      <c r="AI17" s="215">
        <v>33.142597198486328</v>
      </c>
      <c r="AJ17" s="215">
        <v>31.08262825012207</v>
      </c>
      <c r="AK17" s="215">
        <v>28.93110466003418</v>
      </c>
      <c r="AL17" s="47">
        <f t="shared" si="16"/>
        <v>30.840688586235046</v>
      </c>
      <c r="AM17" s="47">
        <f t="shared" si="17"/>
        <v>1.9523766670360012</v>
      </c>
      <c r="AN17" s="56">
        <f t="shared" si="18"/>
        <v>6.3305222954956802E-2</v>
      </c>
      <c r="AO17" s="15"/>
      <c r="AP17" s="15" t="s">
        <v>48</v>
      </c>
      <c r="AQ17" s="15">
        <f>Calibration!F28</f>
        <v>457</v>
      </c>
      <c r="AR17" s="15" t="s">
        <v>56</v>
      </c>
      <c r="AS17" s="52">
        <f>getCCTfromXY(AS15,AS16,0)</f>
        <v>2838</v>
      </c>
    </row>
    <row r="18" spans="1:45">
      <c r="A18" s="286"/>
      <c r="B18" s="286"/>
      <c r="C18" s="312" t="str">
        <f>C16</f>
        <v>G</v>
      </c>
      <c r="D18" s="50">
        <f t="shared" ref="D18:D20" si="19">D12</f>
        <v>63</v>
      </c>
      <c r="E18" s="50">
        <f t="shared" si="2"/>
        <v>17</v>
      </c>
      <c r="F18" s="215">
        <v>4.7035937309265137</v>
      </c>
      <c r="G18" s="215">
        <v>2.0943007469177246</v>
      </c>
      <c r="H18" s="215">
        <v>2.4891278743743896</v>
      </c>
      <c r="I18" s="215">
        <v>2.9755091667175293</v>
      </c>
      <c r="J18" s="215">
        <v>4.5090408325195313</v>
      </c>
      <c r="K18" s="215">
        <v>6.6834516525268555</v>
      </c>
      <c r="L18" s="215">
        <v>5.0125885009765625</v>
      </c>
      <c r="M18" s="215">
        <v>3.7251086235046387</v>
      </c>
      <c r="N18" s="215">
        <v>4.2572669982910156</v>
      </c>
      <c r="O18" s="215">
        <v>5.7621879577636719</v>
      </c>
      <c r="P18" s="215">
        <v>7.0325016975402832</v>
      </c>
      <c r="Q18" s="215">
        <v>4.8638134002685547</v>
      </c>
      <c r="R18" s="215">
        <v>7.2785534858703613</v>
      </c>
      <c r="S18" s="219">
        <v>8.1826505661010742</v>
      </c>
      <c r="T18" s="215">
        <v>7.169832706451416</v>
      </c>
      <c r="U18" s="215">
        <v>11.392766952514648</v>
      </c>
      <c r="V18" s="215">
        <v>4.5490961074829102</v>
      </c>
      <c r="W18" s="215">
        <v>3.6335546970367432</v>
      </c>
      <c r="X18" s="215">
        <v>4.6692605018615723</v>
      </c>
      <c r="Y18" s="215">
        <v>4.165712833404541</v>
      </c>
      <c r="Z18" s="215">
        <v>7.0840010643005371</v>
      </c>
      <c r="AA18" s="215">
        <v>7.1240558624267578</v>
      </c>
      <c r="AB18" s="215">
        <v>2.6207370758056641</v>
      </c>
      <c r="AC18" s="215">
        <v>4.2629890441894531</v>
      </c>
      <c r="AD18" s="215">
        <v>2.9068436622619629</v>
      </c>
      <c r="AE18" s="215">
        <v>0.65232318639755249</v>
      </c>
      <c r="AF18" s="215">
        <v>5.9338521957397461</v>
      </c>
      <c r="AG18" s="215">
        <v>8.319981575012207</v>
      </c>
      <c r="AH18" s="215">
        <v>2.6035706996917725</v>
      </c>
      <c r="AI18" s="215">
        <v>12.336918830871582</v>
      </c>
      <c r="AJ18" s="215">
        <v>5.4932479858398437</v>
      </c>
      <c r="AK18" s="215">
        <v>8.5946445465087891</v>
      </c>
      <c r="AL18" s="47">
        <f t="shared" si="16"/>
        <v>5.4088463988155127</v>
      </c>
      <c r="AM18" s="47">
        <f t="shared" si="17"/>
        <v>2.6046800865609185</v>
      </c>
      <c r="AN18" s="56">
        <f t="shared" si="18"/>
        <v>0.48155926319729092</v>
      </c>
      <c r="AO18" s="15"/>
      <c r="AP18" s="15"/>
      <c r="AQ18" s="15"/>
      <c r="AR18" s="15"/>
      <c r="AS18" s="52"/>
    </row>
    <row r="19" spans="1:45">
      <c r="A19" s="286"/>
      <c r="B19" s="286"/>
      <c r="C19" s="312"/>
      <c r="D19" s="50">
        <f t="shared" si="19"/>
        <v>64</v>
      </c>
      <c r="E19" s="50">
        <f t="shared" si="2"/>
        <v>18</v>
      </c>
      <c r="F19" s="215">
        <v>0</v>
      </c>
      <c r="G19" s="215">
        <v>0</v>
      </c>
      <c r="H19" s="215">
        <v>0</v>
      </c>
      <c r="I19" s="215">
        <v>0</v>
      </c>
      <c r="J19" s="215">
        <v>0</v>
      </c>
      <c r="K19" s="215">
        <v>0</v>
      </c>
      <c r="L19" s="215">
        <v>0</v>
      </c>
      <c r="M19" s="215">
        <v>0</v>
      </c>
      <c r="N19" s="215">
        <v>0</v>
      </c>
      <c r="O19" s="215">
        <v>0</v>
      </c>
      <c r="P19" s="215">
        <v>0</v>
      </c>
      <c r="Q19" s="215">
        <v>0</v>
      </c>
      <c r="R19" s="215">
        <v>0</v>
      </c>
      <c r="S19" s="219">
        <v>0</v>
      </c>
      <c r="T19" s="215">
        <v>0</v>
      </c>
      <c r="U19" s="215">
        <v>0</v>
      </c>
      <c r="V19" s="215">
        <v>0</v>
      </c>
      <c r="W19" s="215">
        <v>0</v>
      </c>
      <c r="X19" s="215">
        <v>0</v>
      </c>
      <c r="Y19" s="215">
        <v>0</v>
      </c>
      <c r="Z19" s="215">
        <v>0</v>
      </c>
      <c r="AA19" s="215">
        <v>0</v>
      </c>
      <c r="AB19" s="215">
        <v>0</v>
      </c>
      <c r="AC19" s="215">
        <v>0</v>
      </c>
      <c r="AD19" s="215">
        <v>0</v>
      </c>
      <c r="AE19" s="215">
        <v>0</v>
      </c>
      <c r="AF19" s="215">
        <v>0</v>
      </c>
      <c r="AG19" s="215">
        <v>0</v>
      </c>
      <c r="AH19" s="215">
        <v>0</v>
      </c>
      <c r="AI19" s="215">
        <v>0</v>
      </c>
      <c r="AJ19" s="215">
        <v>0</v>
      </c>
      <c r="AK19" s="215">
        <v>0</v>
      </c>
      <c r="AL19" s="47">
        <f t="shared" si="16"/>
        <v>0</v>
      </c>
      <c r="AM19" s="47">
        <f t="shared" si="17"/>
        <v>0</v>
      </c>
      <c r="AN19" s="56" t="e">
        <f t="shared" si="18"/>
        <v>#DIV/0!</v>
      </c>
      <c r="AO19" s="15"/>
      <c r="AP19" s="15"/>
      <c r="AQ19" s="15"/>
      <c r="AR19" s="15"/>
      <c r="AS19" s="52"/>
    </row>
    <row r="20" spans="1:45">
      <c r="A20" s="286"/>
      <c r="B20" s="286"/>
      <c r="C20" s="312"/>
      <c r="D20" s="50">
        <f t="shared" si="19"/>
        <v>50</v>
      </c>
      <c r="E20" s="50">
        <f t="shared" si="2"/>
        <v>19</v>
      </c>
      <c r="F20" s="215">
        <v>9.8649578094482422</v>
      </c>
      <c r="G20" s="215">
        <v>8.0739297866821289</v>
      </c>
      <c r="H20" s="215">
        <v>7.467383861541748</v>
      </c>
      <c r="I20" s="215">
        <v>8.8921947479248047</v>
      </c>
      <c r="J20" s="215">
        <v>9.9679555892944336</v>
      </c>
      <c r="K20" s="215">
        <v>12.085144996643066</v>
      </c>
      <c r="L20" s="215">
        <v>10.397115707397461</v>
      </c>
      <c r="M20" s="215">
        <v>9.0581369400024414</v>
      </c>
      <c r="N20" s="215">
        <v>9.2412452697753906</v>
      </c>
      <c r="O20" s="215">
        <v>10.151063919067383</v>
      </c>
      <c r="P20" s="215">
        <v>11.243991851806641</v>
      </c>
      <c r="Q20" s="215">
        <v>10.002288818359375</v>
      </c>
      <c r="R20" s="215">
        <v>11.461432456970215</v>
      </c>
      <c r="S20" s="219">
        <v>12.514305114746094</v>
      </c>
      <c r="T20" s="215">
        <v>11.793316841125488</v>
      </c>
      <c r="U20" s="215">
        <v>15.369649887084961</v>
      </c>
      <c r="V20" s="215">
        <v>9.8477916717529297</v>
      </c>
      <c r="W20" s="215">
        <v>9.2698554992675781</v>
      </c>
      <c r="X20" s="215">
        <v>9.8477916717529297</v>
      </c>
      <c r="Y20" s="215">
        <v>10.008010864257812</v>
      </c>
      <c r="Z20" s="215">
        <v>12.766078948974609</v>
      </c>
      <c r="AA20" s="215">
        <v>11.879148483276367</v>
      </c>
      <c r="AB20" s="215">
        <v>8.022430419921875</v>
      </c>
      <c r="AC20" s="215">
        <v>9.5674066543579102</v>
      </c>
      <c r="AD20" s="215">
        <v>8.8635845184326172</v>
      </c>
      <c r="AE20" s="215">
        <v>6.5346760749816895</v>
      </c>
      <c r="AF20" s="215">
        <v>10.357061386108398</v>
      </c>
      <c r="AG20" s="215">
        <v>12.58297061920166</v>
      </c>
      <c r="AH20" s="215">
        <v>8.4973678588867187</v>
      </c>
      <c r="AI20" s="215">
        <v>16.07347297668457</v>
      </c>
      <c r="AJ20" s="215">
        <v>10.626001358032227</v>
      </c>
      <c r="AK20" s="215">
        <v>12.605859756469727</v>
      </c>
      <c r="AL20" s="47">
        <f t="shared" si="16"/>
        <v>10.466675698757172</v>
      </c>
      <c r="AM20" s="47">
        <f t="shared" si="17"/>
        <v>2.0847594060734225</v>
      </c>
      <c r="AN20" s="56">
        <f t="shared" si="18"/>
        <v>0.19918066309448854</v>
      </c>
      <c r="AO20" s="15"/>
      <c r="AP20" s="15"/>
      <c r="AQ20" s="15"/>
      <c r="AR20" s="15"/>
      <c r="AS20" s="52"/>
    </row>
    <row r="21" spans="1:45">
      <c r="A21" s="286"/>
      <c r="B21" s="286" t="str">
        <f>B9</f>
        <v>HI</v>
      </c>
      <c r="C21" s="89" t="str">
        <f>C15</f>
        <v>R</v>
      </c>
      <c r="D21" s="50">
        <f>D15</f>
        <v>0</v>
      </c>
      <c r="E21" s="90">
        <f t="shared" si="2"/>
        <v>20</v>
      </c>
      <c r="F21" s="215">
        <v>33.783473968505859</v>
      </c>
      <c r="G21" s="215">
        <v>30.186159133911133</v>
      </c>
      <c r="H21" s="215">
        <v>28.778514862060547</v>
      </c>
      <c r="I21" s="215">
        <v>33.001449584960938</v>
      </c>
      <c r="J21" s="215">
        <v>33.783473968505859</v>
      </c>
      <c r="K21" s="215">
        <v>30.655374526977539</v>
      </c>
      <c r="L21" s="215">
        <v>32.532234191894531</v>
      </c>
      <c r="M21" s="215">
        <v>32.219425201416016</v>
      </c>
      <c r="N21" s="215">
        <v>35.034713745117187</v>
      </c>
      <c r="O21" s="215">
        <v>31.593805313110352</v>
      </c>
      <c r="P21" s="215">
        <v>33.93988037109375</v>
      </c>
      <c r="Q21" s="215">
        <v>31.280994415283203</v>
      </c>
      <c r="R21" s="215">
        <v>31.593805313110352</v>
      </c>
      <c r="S21" s="219">
        <v>33.627071380615234</v>
      </c>
      <c r="T21" s="215">
        <v>32.845043182373047</v>
      </c>
      <c r="U21" s="215">
        <v>33.157855987548828</v>
      </c>
      <c r="V21" s="215">
        <v>31.280994415283203</v>
      </c>
      <c r="W21" s="215">
        <v>31.593805313110352</v>
      </c>
      <c r="X21" s="215">
        <v>28.152894973754883</v>
      </c>
      <c r="Y21" s="215">
        <v>35.816738128662109</v>
      </c>
      <c r="Z21" s="215">
        <v>37.224384307861328</v>
      </c>
      <c r="AA21" s="215">
        <v>31.906614303588867</v>
      </c>
      <c r="AB21" s="215">
        <v>29.560539245605469</v>
      </c>
      <c r="AC21" s="215">
        <v>30.342565536499023</v>
      </c>
      <c r="AD21" s="215">
        <v>35.034713745117187</v>
      </c>
      <c r="AE21" s="215">
        <v>36.911575317382813</v>
      </c>
      <c r="AF21" s="215">
        <v>29.716945648193359</v>
      </c>
      <c r="AG21" s="215">
        <v>31.280994415283203</v>
      </c>
      <c r="AH21" s="215">
        <v>37.537193298339844</v>
      </c>
      <c r="AI21" s="215">
        <v>35.347522735595703</v>
      </c>
      <c r="AJ21" s="215">
        <v>33.157855987548828</v>
      </c>
      <c r="AK21" s="215">
        <v>30.186159133911133</v>
      </c>
      <c r="AL21" s="47">
        <f>AVERAGE(F21:AK21)</f>
        <v>32.595774114131927</v>
      </c>
      <c r="AM21" s="47">
        <f>STDEV(F21:AK21)</f>
        <v>2.4226440489918102</v>
      </c>
      <c r="AN21" s="56">
        <f>AM21/AL21</f>
        <v>7.4323869115949931E-2</v>
      </c>
      <c r="AO21" s="15"/>
      <c r="AP21" s="15"/>
      <c r="AQ21" s="48" t="s">
        <v>39</v>
      </c>
      <c r="AR21" s="57" t="s">
        <v>59</v>
      </c>
      <c r="AS21" s="58">
        <f>AQ16/AL16</f>
        <v>46.568184448029811</v>
      </c>
    </row>
    <row r="22" spans="1:45">
      <c r="A22" s="286"/>
      <c r="B22" s="286"/>
      <c r="C22" s="87" t="str">
        <f>C16</f>
        <v>G</v>
      </c>
      <c r="D22" s="50">
        <f t="shared" ref="D22:D23" si="20">D16</f>
        <v>0</v>
      </c>
      <c r="E22" s="50">
        <f t="shared" si="2"/>
        <v>21</v>
      </c>
      <c r="F22" s="215">
        <v>33.157855987548828</v>
      </c>
      <c r="G22" s="215">
        <v>30.498970031738281</v>
      </c>
      <c r="H22" s="215">
        <v>28.934919357299805</v>
      </c>
      <c r="I22" s="215">
        <v>32.688640594482422</v>
      </c>
      <c r="J22" s="215">
        <v>33.470664978027344</v>
      </c>
      <c r="K22" s="215">
        <v>33.314258575439453</v>
      </c>
      <c r="L22" s="215">
        <v>31.593805313110352</v>
      </c>
      <c r="M22" s="215">
        <v>31.906614303588867</v>
      </c>
      <c r="N22" s="215">
        <v>31.906614303588867</v>
      </c>
      <c r="O22" s="215">
        <v>31.124589920043945</v>
      </c>
      <c r="P22" s="215">
        <v>29.873350143432617</v>
      </c>
      <c r="Q22" s="215">
        <v>29.091325759887695</v>
      </c>
      <c r="R22" s="215">
        <v>28.465705871582031</v>
      </c>
      <c r="S22" s="219">
        <v>32.063018798828125</v>
      </c>
      <c r="T22" s="215">
        <v>30.811779022216797</v>
      </c>
      <c r="U22" s="215">
        <v>31.750209808349609</v>
      </c>
      <c r="V22" s="215">
        <v>30.342565536499023</v>
      </c>
      <c r="W22" s="215">
        <v>32.063018798828125</v>
      </c>
      <c r="X22" s="215">
        <v>29.091325759887695</v>
      </c>
      <c r="Y22" s="215">
        <v>37.693599700927734</v>
      </c>
      <c r="Z22" s="215">
        <v>35.347522735595703</v>
      </c>
      <c r="AA22" s="215">
        <v>31.124589920043945</v>
      </c>
      <c r="AB22" s="215">
        <v>29.247730255126953</v>
      </c>
      <c r="AC22" s="215">
        <v>30.811779022216797</v>
      </c>
      <c r="AD22" s="215">
        <v>33.001449584960938</v>
      </c>
      <c r="AE22" s="215">
        <v>32.845043182373047</v>
      </c>
      <c r="AF22" s="215">
        <v>30.029754638671875</v>
      </c>
      <c r="AG22" s="215">
        <v>30.186159133911133</v>
      </c>
      <c r="AH22" s="215">
        <v>34.252689361572266</v>
      </c>
      <c r="AI22" s="215">
        <v>31.593805313110352</v>
      </c>
      <c r="AJ22" s="215">
        <v>32.063018798828125</v>
      </c>
      <c r="AK22" s="215">
        <v>29.404134750366211</v>
      </c>
      <c r="AL22" s="47">
        <f t="shared" ref="AL22:AL26" si="21">AVERAGE(F22:AK22)</f>
        <v>31.554703414440155</v>
      </c>
      <c r="AM22" s="47">
        <f t="shared" ref="AM22:AM26" si="22">STDEV(F22:AK22)</f>
        <v>2.0029609675453881</v>
      </c>
      <c r="AN22" s="56">
        <f t="shared" ref="AN22:AN26" si="23">AM22/AL22</f>
        <v>6.3475829299944789E-2</v>
      </c>
      <c r="AO22" s="15"/>
      <c r="AP22" s="15"/>
      <c r="AQ22" s="49">
        <f>MAX(F15:AK17)</f>
        <v>36.587318420410156</v>
      </c>
      <c r="AR22" s="57" t="s">
        <v>60</v>
      </c>
      <c r="AS22" s="58">
        <f>AQ16/AL22</f>
        <v>43.511738391801323</v>
      </c>
    </row>
    <row r="23" spans="1:45">
      <c r="A23" s="286"/>
      <c r="B23" s="286"/>
      <c r="C23" s="88" t="str">
        <f>C17</f>
        <v>B</v>
      </c>
      <c r="D23" s="50">
        <f t="shared" si="20"/>
        <v>0</v>
      </c>
      <c r="E23" s="50">
        <f t="shared" si="2"/>
        <v>22</v>
      </c>
      <c r="F23" s="215">
        <v>34.252689361572266</v>
      </c>
      <c r="G23" s="215">
        <v>31.124589920043945</v>
      </c>
      <c r="H23" s="215">
        <v>29.716945648193359</v>
      </c>
      <c r="I23" s="215">
        <v>34.096282958984375</v>
      </c>
      <c r="J23" s="215">
        <v>34.252689361572266</v>
      </c>
      <c r="K23" s="215">
        <v>31.124589920043945</v>
      </c>
      <c r="L23" s="215">
        <v>33.157855987548828</v>
      </c>
      <c r="M23" s="215">
        <v>32.532234191894531</v>
      </c>
      <c r="N23" s="215">
        <v>35.503929138183594</v>
      </c>
      <c r="O23" s="215">
        <v>32.063018798828125</v>
      </c>
      <c r="P23" s="215">
        <v>33.627071380615234</v>
      </c>
      <c r="Q23" s="215">
        <v>31.593805313110352</v>
      </c>
      <c r="R23" s="215">
        <v>31.280994415283203</v>
      </c>
      <c r="S23" s="219">
        <v>33.783473968505859</v>
      </c>
      <c r="T23" s="215">
        <v>33.001449584960938</v>
      </c>
      <c r="U23" s="215">
        <v>33.001449584960938</v>
      </c>
      <c r="V23" s="215">
        <v>31.593805313110352</v>
      </c>
      <c r="W23" s="215">
        <v>32.219425201416016</v>
      </c>
      <c r="X23" s="215">
        <v>29.247730255126953</v>
      </c>
      <c r="Y23" s="215">
        <v>37.380790710449219</v>
      </c>
      <c r="Z23" s="215">
        <v>37.067977905273438</v>
      </c>
      <c r="AA23" s="215">
        <v>32.063018798828125</v>
      </c>
      <c r="AB23" s="215">
        <v>30.342565536499023</v>
      </c>
      <c r="AC23" s="215">
        <v>30.968185424804688</v>
      </c>
      <c r="AD23" s="215">
        <v>35.97314453125</v>
      </c>
      <c r="AE23" s="215">
        <v>37.693599700927734</v>
      </c>
      <c r="AF23" s="215">
        <v>30.029754638671875</v>
      </c>
      <c r="AG23" s="215">
        <v>31.124589920043945</v>
      </c>
      <c r="AH23" s="215">
        <v>37.850002288818359</v>
      </c>
      <c r="AI23" s="215">
        <v>34.409095764160156</v>
      </c>
      <c r="AJ23" s="215">
        <v>33.314258575439453</v>
      </c>
      <c r="AK23" s="215">
        <v>30.968185424804688</v>
      </c>
      <c r="AL23" s="47">
        <f t="shared" si="21"/>
        <v>33.011224985122681</v>
      </c>
      <c r="AM23" s="47">
        <f t="shared" si="22"/>
        <v>2.3616424367723527</v>
      </c>
      <c r="AN23" s="56">
        <f t="shared" si="23"/>
        <v>7.154058771937985E-2</v>
      </c>
      <c r="AO23" s="15"/>
      <c r="AP23" s="15"/>
      <c r="AQ23" s="6"/>
      <c r="AR23" s="57" t="s">
        <v>62</v>
      </c>
      <c r="AS23" s="58">
        <f>AS21/AS22</f>
        <v>1.0702441724737983</v>
      </c>
    </row>
    <row r="24" spans="1:45">
      <c r="A24" s="286"/>
      <c r="B24" s="286"/>
      <c r="C24" s="312" t="str">
        <f>C22</f>
        <v>G</v>
      </c>
      <c r="D24" s="50">
        <f t="shared" ref="D24:D26" si="24">D18</f>
        <v>63</v>
      </c>
      <c r="E24" s="50">
        <f t="shared" si="2"/>
        <v>23</v>
      </c>
      <c r="F24" s="215">
        <v>5.1613640785217285</v>
      </c>
      <c r="G24" s="215">
        <v>2.3460745811462402</v>
      </c>
      <c r="H24" s="215">
        <v>2.6588845252990723</v>
      </c>
      <c r="I24" s="215">
        <v>3.1280994415283203</v>
      </c>
      <c r="J24" s="215">
        <v>5.0049591064453125</v>
      </c>
      <c r="K24" s="215">
        <v>7.0382237434387207</v>
      </c>
      <c r="L24" s="215">
        <v>5.3177690505981445</v>
      </c>
      <c r="M24" s="215">
        <v>4.2229342460632324</v>
      </c>
      <c r="N24" s="215">
        <v>4.8485541343688965</v>
      </c>
      <c r="O24" s="215">
        <v>6.5690088272094727</v>
      </c>
      <c r="P24" s="215">
        <v>7.8202486038208008</v>
      </c>
      <c r="Q24" s="215">
        <v>4.8485541343688965</v>
      </c>
      <c r="R24" s="215">
        <v>7.5074386596679687</v>
      </c>
      <c r="S24" s="219">
        <v>8.9150838851928711</v>
      </c>
      <c r="T24" s="215">
        <v>7.6638436317443848</v>
      </c>
      <c r="U24" s="215">
        <v>11.886777877807617</v>
      </c>
      <c r="V24" s="215">
        <v>4.6921491622924805</v>
      </c>
      <c r="W24" s="215">
        <v>3.9101243019104004</v>
      </c>
      <c r="X24" s="215">
        <v>4.5357441902160645</v>
      </c>
      <c r="Y24" s="215">
        <v>5.0049591064453125</v>
      </c>
      <c r="Z24" s="215">
        <v>7.1946287155151367</v>
      </c>
      <c r="AA24" s="215">
        <v>7.5074386596679687</v>
      </c>
      <c r="AB24" s="215">
        <v>2.8152894973754883</v>
      </c>
      <c r="AC24" s="215">
        <v>4.5357441902160645</v>
      </c>
      <c r="AD24" s="215">
        <v>3.1280994415283203</v>
      </c>
      <c r="AE24" s="215">
        <v>0.78202486038208008</v>
      </c>
      <c r="AF24" s="215">
        <v>6.4126038551330566</v>
      </c>
      <c r="AG24" s="215">
        <v>8.9150838851928711</v>
      </c>
      <c r="AH24" s="215">
        <v>2.9716944694519043</v>
      </c>
      <c r="AI24" s="215">
        <v>12.825207710266113</v>
      </c>
      <c r="AJ24" s="215">
        <v>5.9433889389038086</v>
      </c>
      <c r="AK24" s="215">
        <v>9.2278938293457031</v>
      </c>
      <c r="AL24" s="47">
        <f t="shared" si="21"/>
        <v>5.7918716669082642</v>
      </c>
      <c r="AM24" s="47">
        <f t="shared" si="22"/>
        <v>2.7106107194694138</v>
      </c>
      <c r="AN24" s="56">
        <f t="shared" si="23"/>
        <v>0.46800255174099087</v>
      </c>
      <c r="AO24" s="15"/>
      <c r="AP24" s="15"/>
      <c r="AQ24" s="6"/>
      <c r="AR24" s="57"/>
      <c r="AS24" s="58"/>
    </row>
    <row r="25" spans="1:45">
      <c r="A25" s="286"/>
      <c r="B25" s="286"/>
      <c r="C25" s="312"/>
      <c r="D25" s="50">
        <f t="shared" si="24"/>
        <v>64</v>
      </c>
      <c r="E25" s="50">
        <f t="shared" si="2"/>
        <v>24</v>
      </c>
      <c r="F25" s="215">
        <v>0</v>
      </c>
      <c r="G25" s="215">
        <v>0</v>
      </c>
      <c r="H25" s="215">
        <v>0</v>
      </c>
      <c r="I25" s="215">
        <v>0</v>
      </c>
      <c r="J25" s="215">
        <v>0</v>
      </c>
      <c r="K25" s="215">
        <v>0</v>
      </c>
      <c r="L25" s="215">
        <v>0.15640497207641602</v>
      </c>
      <c r="M25" s="215">
        <v>0</v>
      </c>
      <c r="N25" s="215">
        <v>0</v>
      </c>
      <c r="O25" s="215">
        <v>0</v>
      </c>
      <c r="P25" s="215">
        <v>0.15640497207641602</v>
      </c>
      <c r="Q25" s="215">
        <v>0</v>
      </c>
      <c r="R25" s="215">
        <v>0</v>
      </c>
      <c r="S25" s="219">
        <v>0</v>
      </c>
      <c r="T25" s="215">
        <v>0</v>
      </c>
      <c r="U25" s="215">
        <v>0</v>
      </c>
      <c r="V25" s="215">
        <v>0.15640497207641602</v>
      </c>
      <c r="W25" s="215">
        <v>0</v>
      </c>
      <c r="X25" s="215">
        <v>0.15640497207641602</v>
      </c>
      <c r="Y25" s="215">
        <v>0</v>
      </c>
      <c r="Z25" s="215">
        <v>0</v>
      </c>
      <c r="AA25" s="215">
        <v>0</v>
      </c>
      <c r="AB25" s="215">
        <v>0</v>
      </c>
      <c r="AC25" s="215">
        <v>0</v>
      </c>
      <c r="AD25" s="215">
        <v>0</v>
      </c>
      <c r="AE25" s="215">
        <v>0.15640497207641602</v>
      </c>
      <c r="AF25" s="215">
        <v>0</v>
      </c>
      <c r="AG25" s="215">
        <v>0</v>
      </c>
      <c r="AH25" s="215">
        <v>0</v>
      </c>
      <c r="AI25" s="215">
        <v>0</v>
      </c>
      <c r="AJ25" s="215">
        <v>0</v>
      </c>
      <c r="AK25" s="215">
        <v>0.15640497207641602</v>
      </c>
      <c r="AL25" s="47">
        <f t="shared" si="21"/>
        <v>2.9325932264328003E-2</v>
      </c>
      <c r="AM25" s="47">
        <f t="shared" si="22"/>
        <v>6.2023606858493112E-2</v>
      </c>
      <c r="AN25" s="56">
        <f t="shared" si="23"/>
        <v>2.114974770433419</v>
      </c>
      <c r="AO25" s="15"/>
      <c r="AP25" s="15"/>
      <c r="AQ25" s="6"/>
      <c r="AR25" s="57"/>
      <c r="AS25" s="58"/>
    </row>
    <row r="26" spans="1:45">
      <c r="A26" s="313"/>
      <c r="B26" s="313"/>
      <c r="C26" s="314"/>
      <c r="D26" s="79">
        <f t="shared" si="24"/>
        <v>50</v>
      </c>
      <c r="E26" s="79">
        <f t="shared" si="2"/>
        <v>25</v>
      </c>
      <c r="F26" s="217">
        <v>10.948348045349121</v>
      </c>
      <c r="G26" s="217">
        <v>8.6022739410400391</v>
      </c>
      <c r="H26" s="217">
        <v>8.1330585479736328</v>
      </c>
      <c r="I26" s="217">
        <v>9.3842983245849609</v>
      </c>
      <c r="J26" s="217">
        <v>10.948348045349121</v>
      </c>
      <c r="K26" s="217">
        <v>12.825207710266113</v>
      </c>
      <c r="L26" s="217">
        <v>10.791943550109863</v>
      </c>
      <c r="M26" s="217">
        <v>10.009918212890625</v>
      </c>
      <c r="N26" s="217">
        <v>10.479133605957031</v>
      </c>
      <c r="O26" s="217">
        <v>11.573967933654785</v>
      </c>
      <c r="P26" s="217">
        <v>12.355993270874023</v>
      </c>
      <c r="Q26" s="217">
        <v>10.009918212890625</v>
      </c>
      <c r="R26" s="217">
        <v>11.730373382568359</v>
      </c>
      <c r="S26" s="220">
        <v>13.450827598571777</v>
      </c>
      <c r="T26" s="217">
        <v>12.512397766113281</v>
      </c>
      <c r="U26" s="217">
        <v>15.953307151794434</v>
      </c>
      <c r="V26" s="217">
        <v>10.166323661804199</v>
      </c>
      <c r="W26" s="217">
        <v>10.009918212890625</v>
      </c>
      <c r="X26" s="217">
        <v>9.5407037734985352</v>
      </c>
      <c r="Y26" s="217">
        <v>11.886777877807617</v>
      </c>
      <c r="Z26" s="217">
        <v>12.981613159179687</v>
      </c>
      <c r="AA26" s="217">
        <v>12.512397766113281</v>
      </c>
      <c r="AB26" s="217">
        <v>8.6022739410400391</v>
      </c>
      <c r="AC26" s="217">
        <v>10.009918212890625</v>
      </c>
      <c r="AD26" s="217">
        <v>9.3842983245849609</v>
      </c>
      <c r="AE26" s="217">
        <v>7.5074386596679687</v>
      </c>
      <c r="AF26" s="217">
        <v>11.104753494262695</v>
      </c>
      <c r="AG26" s="217">
        <v>13.450827598571777</v>
      </c>
      <c r="AH26" s="217">
        <v>9.5407037734985352</v>
      </c>
      <c r="AI26" s="217">
        <v>16.735332489013672</v>
      </c>
      <c r="AJ26" s="217">
        <v>11.417563438415527</v>
      </c>
      <c r="AK26" s="217">
        <v>13.450827598571777</v>
      </c>
      <c r="AL26" s="80">
        <f t="shared" si="21"/>
        <v>11.187843352556229</v>
      </c>
      <c r="AM26" s="80">
        <f t="shared" si="22"/>
        <v>2.0957529582570422</v>
      </c>
      <c r="AN26" s="81">
        <f t="shared" si="23"/>
        <v>0.18732412424939779</v>
      </c>
      <c r="AO26" s="82"/>
      <c r="AP26" s="82"/>
      <c r="AQ26" s="83"/>
      <c r="AR26" s="84"/>
      <c r="AS26" s="85"/>
    </row>
    <row r="27" spans="1:45">
      <c r="A27" s="307" t="s">
        <v>54</v>
      </c>
      <c r="B27" s="307" t="str">
        <f>B15</f>
        <v>LO</v>
      </c>
      <c r="C27" s="86" t="str">
        <f>C21</f>
        <v>R</v>
      </c>
      <c r="D27" s="62">
        <f>D21</f>
        <v>0</v>
      </c>
      <c r="E27" s="92">
        <f>ROW(E27)-1</f>
        <v>26</v>
      </c>
      <c r="F27" s="216">
        <v>0.97848474979400635</v>
      </c>
      <c r="G27" s="216">
        <v>1.0185396671295166</v>
      </c>
      <c r="H27" s="216">
        <v>0.93842983245849609</v>
      </c>
      <c r="I27" s="216">
        <v>1.0357061624526978</v>
      </c>
      <c r="J27" s="216">
        <v>0.82970929145812988</v>
      </c>
      <c r="K27" s="216">
        <v>0.97276264429092407</v>
      </c>
      <c r="L27" s="216">
        <v>0.97848474979400635</v>
      </c>
      <c r="M27" s="216">
        <v>0.92698556184768677</v>
      </c>
      <c r="N27" s="216">
        <v>0.80682080984115601</v>
      </c>
      <c r="O27" s="216">
        <v>0.88693064451217651</v>
      </c>
      <c r="P27" s="216">
        <v>0.64087891578674316</v>
      </c>
      <c r="Q27" s="216">
        <v>0.79537653923034668</v>
      </c>
      <c r="R27" s="216">
        <v>0.65804529190063477</v>
      </c>
      <c r="S27" s="218">
        <v>0.81254291534423828</v>
      </c>
      <c r="T27" s="216">
        <v>0.67521172761917114</v>
      </c>
      <c r="U27" s="216">
        <v>0.69810026884078979</v>
      </c>
      <c r="V27" s="216">
        <v>0.90409702062606812</v>
      </c>
      <c r="W27" s="216">
        <v>1.0357061624526978</v>
      </c>
      <c r="X27" s="216">
        <v>0.97848474979400635</v>
      </c>
      <c r="Y27" s="216">
        <v>1.1272602081298828</v>
      </c>
      <c r="Z27" s="216">
        <v>1.0814831256866455</v>
      </c>
      <c r="AA27" s="216">
        <v>0.88120853900909424</v>
      </c>
      <c r="AB27" s="216">
        <v>1.0643167495727539</v>
      </c>
      <c r="AC27" s="216">
        <v>1.1043716669082642</v>
      </c>
      <c r="AD27" s="216">
        <v>0.86976426839828491</v>
      </c>
      <c r="AE27" s="216">
        <v>0.82970929145812988</v>
      </c>
      <c r="AF27" s="216">
        <v>0.89265280961990356</v>
      </c>
      <c r="AG27" s="216">
        <v>0.73815518617630005</v>
      </c>
      <c r="AH27" s="216">
        <v>0.88693064451217651</v>
      </c>
      <c r="AI27" s="216">
        <v>0.58365756273269653</v>
      </c>
      <c r="AJ27" s="216">
        <v>0.96131837368011475</v>
      </c>
      <c r="AK27" s="216">
        <v>0.68665599822998047</v>
      </c>
      <c r="AL27" s="53">
        <f>AVERAGE(F27:AK27)</f>
        <v>0.88371194154024124</v>
      </c>
      <c r="AM27" s="53">
        <f>STDEV(F27:AK27)</f>
        <v>0.14514552282957183</v>
      </c>
      <c r="AN27" s="54">
        <f>AM27/AL27</f>
        <v>0.16424528854571599</v>
      </c>
      <c r="AO27" s="53"/>
      <c r="AP27" s="53" t="s">
        <v>46</v>
      </c>
      <c r="AQ27" s="44">
        <f>Calibration!D29</f>
        <v>928.5</v>
      </c>
      <c r="AR27" s="44" t="s">
        <v>57</v>
      </c>
      <c r="AS27" s="55">
        <f>AQ27/SUM(AQ27:AQ29)</f>
        <v>0.45660191787558396</v>
      </c>
    </row>
    <row r="28" spans="1:45">
      <c r="A28" s="286"/>
      <c r="B28" s="286"/>
      <c r="C28" s="87" t="str">
        <f>C22</f>
        <v>G</v>
      </c>
      <c r="D28" s="50">
        <f t="shared" ref="D28:D29" si="25">D22</f>
        <v>0</v>
      </c>
      <c r="E28" s="50">
        <f t="shared" si="2"/>
        <v>27</v>
      </c>
      <c r="F28" s="215">
        <v>4.4289312362670898</v>
      </c>
      <c r="G28" s="215">
        <v>4.7608146667480469</v>
      </c>
      <c r="H28" s="215">
        <v>4.3659877777099609</v>
      </c>
      <c r="I28" s="215">
        <v>5.006866455078125</v>
      </c>
      <c r="J28" s="215">
        <v>4.4975967407226562</v>
      </c>
      <c r="K28" s="215">
        <v>4.474708080291748</v>
      </c>
      <c r="L28" s="215">
        <v>4.5777063369750977</v>
      </c>
      <c r="M28" s="215">
        <v>4.537651538848877</v>
      </c>
      <c r="N28" s="215">
        <v>4.2000455856323242</v>
      </c>
      <c r="O28" s="215">
        <v>4.0569925308227539</v>
      </c>
      <c r="P28" s="215">
        <v>3.610666036605835</v>
      </c>
      <c r="Q28" s="215">
        <v>4.2915997505187988</v>
      </c>
      <c r="R28" s="215">
        <v>3.6793315410614014</v>
      </c>
      <c r="S28" s="219">
        <v>3.9597160816192627</v>
      </c>
      <c r="T28" s="215">
        <v>3.9253833293914795</v>
      </c>
      <c r="U28" s="215">
        <v>3.5076675415039062</v>
      </c>
      <c r="V28" s="215">
        <v>4.4460973739624023</v>
      </c>
      <c r="W28" s="215">
        <v>4.9267568588256836</v>
      </c>
      <c r="X28" s="215">
        <v>4.9153122901916504</v>
      </c>
      <c r="Y28" s="215">
        <v>5.1270313262939453</v>
      </c>
      <c r="Z28" s="215">
        <v>5.1270313262939453</v>
      </c>
      <c r="AA28" s="215">
        <v>4.0169377326965332</v>
      </c>
      <c r="AB28" s="215">
        <v>4.6063170433044434</v>
      </c>
      <c r="AC28" s="215">
        <v>4.8924241065979004</v>
      </c>
      <c r="AD28" s="215">
        <v>4.7837033271789551</v>
      </c>
      <c r="AE28" s="215">
        <v>4.6292057037353516</v>
      </c>
      <c r="AF28" s="215">
        <v>4.1886014938354492</v>
      </c>
      <c r="AG28" s="215">
        <v>3.6278324127197266</v>
      </c>
      <c r="AH28" s="215">
        <v>4.7264819145202637</v>
      </c>
      <c r="AI28" s="215">
        <v>3.227283239364624</v>
      </c>
      <c r="AJ28" s="215">
        <v>4.6292057037353516</v>
      </c>
      <c r="AK28" s="215">
        <v>3.6163880825042725</v>
      </c>
      <c r="AL28" s="47">
        <f t="shared" ref="AL28:AL32" si="26">AVERAGE(F28:AK28)</f>
        <v>4.3552585989236832</v>
      </c>
      <c r="AM28" s="47">
        <f t="shared" ref="AM28:AM32" si="27">STDEV(F28:AK28)</f>
        <v>0.50966220141566909</v>
      </c>
      <c r="AN28" s="56">
        <f t="shared" ref="AN28:AN32" si="28">AM28/AL28</f>
        <v>0.1170222593766584</v>
      </c>
      <c r="AO28" s="47"/>
      <c r="AP28" s="47" t="s">
        <v>47</v>
      </c>
      <c r="AQ28" s="15">
        <f>Calibration!E29</f>
        <v>852.5</v>
      </c>
      <c r="AR28" s="15" t="s">
        <v>58</v>
      </c>
      <c r="AS28" s="51">
        <f>AQ28/SUM(AQ27:AQ29)</f>
        <v>0.41922793213671011</v>
      </c>
    </row>
    <row r="29" spans="1:45">
      <c r="A29" s="286"/>
      <c r="B29" s="286"/>
      <c r="C29" s="88" t="str">
        <f>C23</f>
        <v>B</v>
      </c>
      <c r="D29" s="50">
        <f t="shared" si="25"/>
        <v>0</v>
      </c>
      <c r="E29" s="50">
        <f t="shared" si="2"/>
        <v>28</v>
      </c>
      <c r="F29" s="215">
        <v>2.6607918739318848</v>
      </c>
      <c r="G29" s="215">
        <v>2.8038451671600342</v>
      </c>
      <c r="H29" s="215">
        <v>2.7008469104766846</v>
      </c>
      <c r="I29" s="215">
        <v>3.0441749095916748</v>
      </c>
      <c r="J29" s="215">
        <v>2.758068323135376</v>
      </c>
      <c r="K29" s="215">
        <v>2.7065689563751221</v>
      </c>
      <c r="L29" s="215">
        <v>2.8496222496032715</v>
      </c>
      <c r="M29" s="215">
        <v>2.5692377090454102</v>
      </c>
      <c r="N29" s="215">
        <v>2.5921263694763184</v>
      </c>
      <c r="O29" s="215">
        <v>2.4547951221466064</v>
      </c>
      <c r="P29" s="215">
        <v>2.1858549118041992</v>
      </c>
      <c r="Q29" s="215">
        <v>2.4662394523620605</v>
      </c>
      <c r="R29" s="215">
        <v>2.1229114532470703</v>
      </c>
      <c r="S29" s="219">
        <v>2.397573709487915</v>
      </c>
      <c r="T29" s="215">
        <v>2.3231861591339111</v>
      </c>
      <c r="U29" s="215">
        <v>2.0828564167022705</v>
      </c>
      <c r="V29" s="215">
        <v>2.5692377090454102</v>
      </c>
      <c r="W29" s="215">
        <v>2.8267338275909424</v>
      </c>
      <c r="X29" s="215">
        <v>2.9011216163635254</v>
      </c>
      <c r="Y29" s="215">
        <v>3.227283239364624</v>
      </c>
      <c r="Z29" s="215">
        <v>2.9812314510345459</v>
      </c>
      <c r="AA29" s="215">
        <v>2.4032959938049316</v>
      </c>
      <c r="AB29" s="215">
        <v>2.9011216163635254</v>
      </c>
      <c r="AC29" s="215">
        <v>2.8667886257171631</v>
      </c>
      <c r="AD29" s="215">
        <v>3.004119873046875</v>
      </c>
      <c r="AE29" s="215">
        <v>2.8610665798187256</v>
      </c>
      <c r="AF29" s="215">
        <v>2.6035706996917725</v>
      </c>
      <c r="AG29" s="215">
        <v>2.1057450771331787</v>
      </c>
      <c r="AH29" s="215">
        <v>2.9125657081604004</v>
      </c>
      <c r="AI29" s="215">
        <v>1.8883039951324463</v>
      </c>
      <c r="AJ29" s="215">
        <v>2.683680534362793</v>
      </c>
      <c r="AK29" s="215">
        <v>2.1915769577026367</v>
      </c>
      <c r="AL29" s="47">
        <f t="shared" si="26"/>
        <v>2.6139419749379158</v>
      </c>
      <c r="AM29" s="47">
        <f t="shared" si="27"/>
        <v>0.32654005784931056</v>
      </c>
      <c r="AN29" s="56">
        <f t="shared" si="28"/>
        <v>0.12492245848612087</v>
      </c>
      <c r="AO29" s="15"/>
      <c r="AP29" s="15" t="s">
        <v>48</v>
      </c>
      <c r="AQ29" s="15">
        <f>Calibration!F29</f>
        <v>252.5</v>
      </c>
      <c r="AR29" s="15" t="s">
        <v>56</v>
      </c>
      <c r="AS29" s="52">
        <f>getCCTfromXY(AS27,AS28,0)</f>
        <v>2818</v>
      </c>
    </row>
    <row r="30" spans="1:45">
      <c r="A30" s="286"/>
      <c r="B30" s="286"/>
      <c r="C30" s="312" t="str">
        <f>C28</f>
        <v>G</v>
      </c>
      <c r="D30" s="50">
        <f t="shared" ref="D30:D32" si="29">D24</f>
        <v>63</v>
      </c>
      <c r="E30" s="50">
        <f t="shared" si="2"/>
        <v>29</v>
      </c>
      <c r="F30" s="215">
        <v>4.0112152099609375</v>
      </c>
      <c r="G30" s="215">
        <v>4.3202104568481445</v>
      </c>
      <c r="H30" s="215">
        <v>3.9539940357208252</v>
      </c>
      <c r="I30" s="215">
        <v>4.5319294929504395</v>
      </c>
      <c r="J30" s="215">
        <v>4.0741586685180664</v>
      </c>
      <c r="K30" s="215">
        <v>4.0341038703918457</v>
      </c>
      <c r="L30" s="215">
        <v>4.2114901542663574</v>
      </c>
      <c r="M30" s="215">
        <v>4.1027693748474121</v>
      </c>
      <c r="N30" s="215">
        <v>3.7880520820617676</v>
      </c>
      <c r="O30" s="215">
        <v>3.6678874492645264</v>
      </c>
      <c r="P30" s="215">
        <v>3.2501716613769531</v>
      </c>
      <c r="Q30" s="215">
        <v>3.8910505771636963</v>
      </c>
      <c r="R30" s="215">
        <v>3.313115119934082</v>
      </c>
      <c r="S30" s="219">
        <v>3.5877776145935059</v>
      </c>
      <c r="T30" s="215">
        <v>3.5591669082641602</v>
      </c>
      <c r="U30" s="215">
        <v>3.1586174964904785</v>
      </c>
      <c r="V30" s="215">
        <v>4.0398259162902832</v>
      </c>
      <c r="W30" s="215">
        <v>4.4804301261901855</v>
      </c>
      <c r="X30" s="215">
        <v>4.4975967407226562</v>
      </c>
      <c r="Y30" s="215">
        <v>4.6463723182678223</v>
      </c>
      <c r="Z30" s="215">
        <v>4.6520943641662598</v>
      </c>
      <c r="AA30" s="215">
        <v>3.6335546970367432</v>
      </c>
      <c r="AB30" s="215">
        <v>4.1828794479370117</v>
      </c>
      <c r="AC30" s="215">
        <v>4.4518194198608398</v>
      </c>
      <c r="AD30" s="215">
        <v>4.3202104568481445</v>
      </c>
      <c r="AE30" s="215">
        <v>4.165712833404541</v>
      </c>
      <c r="AF30" s="215">
        <v>3.8052186965942383</v>
      </c>
      <c r="AG30" s="215">
        <v>3.2845044136047363</v>
      </c>
      <c r="AH30" s="215">
        <v>4.2515449523925781</v>
      </c>
      <c r="AI30" s="215">
        <v>2.9068436622619629</v>
      </c>
      <c r="AJ30" s="215">
        <v>4.2229342460632324</v>
      </c>
      <c r="AK30" s="215">
        <v>3.2902266979217529</v>
      </c>
      <c r="AL30" s="47">
        <f t="shared" si="26"/>
        <v>3.9464837238192558</v>
      </c>
      <c r="AM30" s="47">
        <f t="shared" si="27"/>
        <v>0.46896820864286837</v>
      </c>
      <c r="AN30" s="56">
        <f t="shared" si="28"/>
        <v>0.11883191252313563</v>
      </c>
      <c r="AO30" s="15"/>
      <c r="AP30" s="15"/>
      <c r="AQ30" s="15"/>
      <c r="AR30" s="15"/>
      <c r="AS30" s="52"/>
    </row>
    <row r="31" spans="1:45">
      <c r="A31" s="286"/>
      <c r="B31" s="286"/>
      <c r="C31" s="312"/>
      <c r="D31" s="50">
        <f t="shared" si="29"/>
        <v>64</v>
      </c>
      <c r="E31" s="50">
        <f t="shared" si="2"/>
        <v>30</v>
      </c>
      <c r="F31" s="215">
        <v>3.5534446239471436</v>
      </c>
      <c r="G31" s="215">
        <v>3.8338291645050049</v>
      </c>
      <c r="H31" s="215">
        <v>3.5019454956054687</v>
      </c>
      <c r="I31" s="215">
        <v>4.0054931640625</v>
      </c>
      <c r="J31" s="215">
        <v>3.5763332843780518</v>
      </c>
      <c r="K31" s="215">
        <v>3.5763332843780518</v>
      </c>
      <c r="L31" s="215">
        <v>3.7193865776062012</v>
      </c>
      <c r="M31" s="215">
        <v>3.6221103668212891</v>
      </c>
      <c r="N31" s="215">
        <v>3.3417258262634277</v>
      </c>
      <c r="O31" s="215">
        <v>3.2501716613769531</v>
      </c>
      <c r="P31" s="215">
        <v>2.8324558734893799</v>
      </c>
      <c r="Q31" s="215">
        <v>3.4218356609344482</v>
      </c>
      <c r="R31" s="215">
        <v>2.9125657081604004</v>
      </c>
      <c r="S31" s="219">
        <v>3.1872282028198242</v>
      </c>
      <c r="T31" s="215">
        <v>3.1357290744781494</v>
      </c>
      <c r="U31" s="215">
        <v>2.7924010753631592</v>
      </c>
      <c r="V31" s="215">
        <v>3.5763332843780518</v>
      </c>
      <c r="W31" s="215">
        <v>3.9883267879486084</v>
      </c>
      <c r="X31" s="215">
        <v>3.9883267879486084</v>
      </c>
      <c r="Y31" s="215">
        <v>4.1256580352783203</v>
      </c>
      <c r="Z31" s="215">
        <v>4.0913252830505371</v>
      </c>
      <c r="AA31" s="215">
        <v>3.2158389091491699</v>
      </c>
      <c r="AB31" s="215">
        <v>3.6964981555938721</v>
      </c>
      <c r="AC31" s="215">
        <v>3.9482719898223877</v>
      </c>
      <c r="AD31" s="215">
        <v>3.7766079902648926</v>
      </c>
      <c r="AE31" s="215">
        <v>3.6449987888336182</v>
      </c>
      <c r="AF31" s="215">
        <v>3.3703365325927734</v>
      </c>
      <c r="AG31" s="215">
        <v>2.9240100383758545</v>
      </c>
      <c r="AH31" s="215">
        <v>3.6964981555938721</v>
      </c>
      <c r="AI31" s="215">
        <v>2.5520713329315186</v>
      </c>
      <c r="AJ31" s="215">
        <v>3.770885705947876</v>
      </c>
      <c r="AK31" s="215">
        <v>2.8667886257171631</v>
      </c>
      <c r="AL31" s="47">
        <f t="shared" si="26"/>
        <v>3.484242670238018</v>
      </c>
      <c r="AM31" s="47">
        <f t="shared" si="27"/>
        <v>0.41944134868428862</v>
      </c>
      <c r="AN31" s="56">
        <f t="shared" si="28"/>
        <v>0.12038235805648849</v>
      </c>
      <c r="AO31" s="15"/>
      <c r="AP31" s="15"/>
      <c r="AQ31" s="15"/>
      <c r="AR31" s="15"/>
      <c r="AS31" s="52"/>
    </row>
    <row r="32" spans="1:45">
      <c r="A32" s="286"/>
      <c r="B32" s="286"/>
      <c r="C32" s="312"/>
      <c r="D32" s="50">
        <f t="shared" si="29"/>
        <v>50</v>
      </c>
      <c r="E32" s="50">
        <f t="shared" si="2"/>
        <v>31</v>
      </c>
      <c r="F32" s="215">
        <v>4.0913252830505371</v>
      </c>
      <c r="G32" s="215">
        <v>4.4174866676330566</v>
      </c>
      <c r="H32" s="215">
        <v>4.0398259162902832</v>
      </c>
      <c r="I32" s="215">
        <v>4.6234836578369141</v>
      </c>
      <c r="J32" s="215">
        <v>4.1599907875061035</v>
      </c>
      <c r="K32" s="215">
        <v>4.1371021270751953</v>
      </c>
      <c r="L32" s="215">
        <v>4.3087663650512695</v>
      </c>
      <c r="M32" s="215">
        <v>4.1943235397338867</v>
      </c>
      <c r="N32" s="215">
        <v>3.8738842010498047</v>
      </c>
      <c r="O32" s="215">
        <v>3.7365529537200928</v>
      </c>
      <c r="P32" s="215">
        <v>3.3245594501495361</v>
      </c>
      <c r="Q32" s="215">
        <v>3.9711604118347168</v>
      </c>
      <c r="R32" s="215">
        <v>3.3932249546051025</v>
      </c>
      <c r="S32" s="219">
        <v>3.6621651649475098</v>
      </c>
      <c r="T32" s="215">
        <v>3.6392767429351807</v>
      </c>
      <c r="U32" s="215">
        <v>3.238727331161499</v>
      </c>
      <c r="V32" s="215">
        <v>4.1256580352783203</v>
      </c>
      <c r="W32" s="215">
        <v>4.5719842910766602</v>
      </c>
      <c r="X32" s="215">
        <v>4.5777063369750977</v>
      </c>
      <c r="Y32" s="215">
        <v>4.7493705749511719</v>
      </c>
      <c r="Z32" s="215">
        <v>4.7493705749511719</v>
      </c>
      <c r="AA32" s="215">
        <v>3.7136645317077637</v>
      </c>
      <c r="AB32" s="215">
        <v>4.2687115669250488</v>
      </c>
      <c r="AC32" s="215">
        <v>4.5433735847473145</v>
      </c>
      <c r="AD32" s="215">
        <v>4.4174866676330566</v>
      </c>
      <c r="AE32" s="215">
        <v>4.2629890441894531</v>
      </c>
      <c r="AF32" s="215">
        <v>3.8853285312652588</v>
      </c>
      <c r="AG32" s="215">
        <v>3.3646142482757568</v>
      </c>
      <c r="AH32" s="215">
        <v>4.3430991172790527</v>
      </c>
      <c r="AI32" s="215">
        <v>2.9812314510345459</v>
      </c>
      <c r="AJ32" s="215">
        <v>4.3087663650512695</v>
      </c>
      <c r="AK32" s="215">
        <v>3.3531701564788818</v>
      </c>
      <c r="AL32" s="47">
        <f t="shared" si="26"/>
        <v>4.032136894762516</v>
      </c>
      <c r="AM32" s="47">
        <f t="shared" si="27"/>
        <v>0.47622982915877604</v>
      </c>
      <c r="AN32" s="56">
        <f t="shared" si="28"/>
        <v>0.11810854680488841</v>
      </c>
      <c r="AO32" s="15"/>
      <c r="AP32" s="15"/>
      <c r="AQ32" s="15"/>
      <c r="AR32" s="15"/>
      <c r="AS32" s="52"/>
    </row>
    <row r="33" spans="1:45">
      <c r="A33" s="286"/>
      <c r="B33" s="286" t="str">
        <f>B21</f>
        <v>HI</v>
      </c>
      <c r="C33" s="89" t="str">
        <f>C27</f>
        <v>R</v>
      </c>
      <c r="D33" s="50">
        <f>D27</f>
        <v>0</v>
      </c>
      <c r="E33" s="90">
        <f t="shared" si="2"/>
        <v>32</v>
      </c>
      <c r="F33" s="215">
        <v>1.0948348045349121</v>
      </c>
      <c r="G33" s="215">
        <v>1.0948348045349121</v>
      </c>
      <c r="H33" s="215">
        <v>1.0948348045349121</v>
      </c>
      <c r="I33" s="215">
        <v>1.2512397766113281</v>
      </c>
      <c r="J33" s="215">
        <v>0.93842983245849609</v>
      </c>
      <c r="K33" s="215">
        <v>1.0948348045349121</v>
      </c>
      <c r="L33" s="215">
        <v>1.0948348045349121</v>
      </c>
      <c r="M33" s="215">
        <v>1.0948348045349121</v>
      </c>
      <c r="N33" s="215">
        <v>0.93842983245849609</v>
      </c>
      <c r="O33" s="215">
        <v>1.0948348045349121</v>
      </c>
      <c r="P33" s="215">
        <v>0.93842983245849609</v>
      </c>
      <c r="Q33" s="215">
        <v>0.93842983245849609</v>
      </c>
      <c r="R33" s="215">
        <v>0.78202486038208008</v>
      </c>
      <c r="S33" s="219">
        <v>0.93842983245849609</v>
      </c>
      <c r="T33" s="215">
        <v>0.78202486038208008</v>
      </c>
      <c r="U33" s="215">
        <v>0.78202486038208008</v>
      </c>
      <c r="V33" s="215">
        <v>1.0948348045349121</v>
      </c>
      <c r="W33" s="215">
        <v>1.2512397766113281</v>
      </c>
      <c r="X33" s="215">
        <v>1.0948348045349121</v>
      </c>
      <c r="Y33" s="215">
        <v>1.4076447486877441</v>
      </c>
      <c r="Z33" s="215">
        <v>1.2512397766113281</v>
      </c>
      <c r="AA33" s="215">
        <v>0.93842983245849609</v>
      </c>
      <c r="AB33" s="215">
        <v>1.2512397766113281</v>
      </c>
      <c r="AC33" s="215">
        <v>1.2512397766113281</v>
      </c>
      <c r="AD33" s="215">
        <v>0.93842983245849609</v>
      </c>
      <c r="AE33" s="215">
        <v>1.0948348045349121</v>
      </c>
      <c r="AF33" s="215">
        <v>0.93842983245849609</v>
      </c>
      <c r="AG33" s="215">
        <v>0.78202486038208008</v>
      </c>
      <c r="AH33" s="215">
        <v>1.0948348045349121</v>
      </c>
      <c r="AI33" s="215">
        <v>0.62561988830566406</v>
      </c>
      <c r="AJ33" s="215">
        <v>1.0948348045349121</v>
      </c>
      <c r="AK33" s="215">
        <v>0.78202486038208008</v>
      </c>
      <c r="AL33" s="47">
        <f>AVERAGE(F33:AK33)</f>
        <v>1.0264076292514801</v>
      </c>
      <c r="AM33" s="47">
        <f>STDEV(F33:AK33)</f>
        <v>0.17738629226576896</v>
      </c>
      <c r="AN33" s="56">
        <f>AM33/AL33</f>
        <v>0.17282246079477218</v>
      </c>
      <c r="AO33" s="15"/>
      <c r="AP33" s="15"/>
      <c r="AQ33" s="48" t="s">
        <v>39</v>
      </c>
      <c r="AR33" s="57" t="s">
        <v>59</v>
      </c>
      <c r="AS33" s="58">
        <f>AQ28/AL28</f>
        <v>195.7403861645962</v>
      </c>
    </row>
    <row r="34" spans="1:45">
      <c r="A34" s="286"/>
      <c r="B34" s="286"/>
      <c r="C34" s="87" t="str">
        <f>C28</f>
        <v>G</v>
      </c>
      <c r="D34" s="50">
        <f t="shared" ref="D34:D35" si="30">D28</f>
        <v>0</v>
      </c>
      <c r="E34" s="50">
        <f t="shared" si="2"/>
        <v>33</v>
      </c>
      <c r="F34" s="215">
        <v>4.8485541343688965</v>
      </c>
      <c r="G34" s="215">
        <v>5.1613640785217285</v>
      </c>
      <c r="H34" s="215">
        <v>4.6921491622924805</v>
      </c>
      <c r="I34" s="215">
        <v>5.3177690505981445</v>
      </c>
      <c r="J34" s="215">
        <v>5.0049591064453125</v>
      </c>
      <c r="K34" s="215">
        <v>4.8485541343688965</v>
      </c>
      <c r="L34" s="215">
        <v>4.8485541343688965</v>
      </c>
      <c r="M34" s="215">
        <v>5.0049591064453125</v>
      </c>
      <c r="N34" s="215">
        <v>4.8485541343688965</v>
      </c>
      <c r="O34" s="215">
        <v>4.6921491622924805</v>
      </c>
      <c r="P34" s="215">
        <v>4.0665292739868164</v>
      </c>
      <c r="Q34" s="215">
        <v>4.3793392181396484</v>
      </c>
      <c r="R34" s="215">
        <v>3.7537193298339844</v>
      </c>
      <c r="S34" s="219">
        <v>4.3793392181396484</v>
      </c>
      <c r="T34" s="215">
        <v>4.2229342460632324</v>
      </c>
      <c r="U34" s="215">
        <v>3.7537193298339844</v>
      </c>
      <c r="V34" s="215">
        <v>4.6921491622924805</v>
      </c>
      <c r="W34" s="215">
        <v>5.3177690505981445</v>
      </c>
      <c r="X34" s="215">
        <v>4.8485541343688965</v>
      </c>
      <c r="Y34" s="215">
        <v>6.0997939109802246</v>
      </c>
      <c r="Z34" s="215">
        <v>5.3177690505981445</v>
      </c>
      <c r="AA34" s="215">
        <v>4.2229342460632324</v>
      </c>
      <c r="AB34" s="215">
        <v>5.0049591064453125</v>
      </c>
      <c r="AC34" s="215">
        <v>5.1613640785217285</v>
      </c>
      <c r="AD34" s="215">
        <v>5.1613640785217285</v>
      </c>
      <c r="AE34" s="215">
        <v>5.3177690505981445</v>
      </c>
      <c r="AF34" s="215">
        <v>4.5357441902160645</v>
      </c>
      <c r="AG34" s="215">
        <v>3.9101243019104004</v>
      </c>
      <c r="AH34" s="215">
        <v>5.3177690505981445</v>
      </c>
      <c r="AI34" s="215">
        <v>3.4409093856811523</v>
      </c>
      <c r="AJ34" s="215">
        <v>5.0049591064453125</v>
      </c>
      <c r="AK34" s="215">
        <v>3.9101243019104004</v>
      </c>
      <c r="AL34" s="47">
        <f t="shared" ref="AL34:AL38" si="31">AVERAGE(F34:AK34)</f>
        <v>4.7214750945568085</v>
      </c>
      <c r="AM34" s="47">
        <f t="shared" ref="AM34:AM38" si="32">STDEV(F34:AK34)</f>
        <v>0.58714897179332837</v>
      </c>
      <c r="AN34" s="56">
        <f t="shared" ref="AN34:AN38" si="33">AM34/AL34</f>
        <v>0.12435710451384736</v>
      </c>
      <c r="AO34" s="15"/>
      <c r="AP34" s="15"/>
      <c r="AQ34" s="49">
        <f>MAX(F27:AK29)</f>
        <v>5.1270313262939453</v>
      </c>
      <c r="AR34" s="57" t="s">
        <v>60</v>
      </c>
      <c r="AS34" s="58">
        <f>AQ28/AL34</f>
        <v>180.55797879412975</v>
      </c>
    </row>
    <row r="35" spans="1:45">
      <c r="A35" s="286"/>
      <c r="B35" s="286"/>
      <c r="C35" s="88" t="str">
        <f>C29</f>
        <v>B</v>
      </c>
      <c r="D35" s="50">
        <f t="shared" si="30"/>
        <v>0</v>
      </c>
      <c r="E35" s="50">
        <f t="shared" si="2"/>
        <v>34</v>
      </c>
      <c r="F35" s="215">
        <v>2.9716944694519043</v>
      </c>
      <c r="G35" s="215">
        <v>2.9716944694519043</v>
      </c>
      <c r="H35" s="215">
        <v>2.9716944694519043</v>
      </c>
      <c r="I35" s="215">
        <v>3.2845044136047363</v>
      </c>
      <c r="J35" s="215">
        <v>3.1280994415283203</v>
      </c>
      <c r="K35" s="215">
        <v>2.9716944694519043</v>
      </c>
      <c r="L35" s="215">
        <v>2.9716944694519043</v>
      </c>
      <c r="M35" s="215">
        <v>2.9716944694519043</v>
      </c>
      <c r="N35" s="215">
        <v>2.9716944694519043</v>
      </c>
      <c r="O35" s="215">
        <v>2.8152894973754883</v>
      </c>
      <c r="P35" s="215">
        <v>2.5024795532226563</v>
      </c>
      <c r="Q35" s="215">
        <v>2.5024795532226563</v>
      </c>
      <c r="R35" s="215">
        <v>2.1896696090698242</v>
      </c>
      <c r="S35" s="219">
        <v>2.6588845252990723</v>
      </c>
      <c r="T35" s="215">
        <v>2.5024795532226563</v>
      </c>
      <c r="U35" s="215">
        <v>2.1896696090698242</v>
      </c>
      <c r="V35" s="215">
        <v>2.6588845252990723</v>
      </c>
      <c r="W35" s="215">
        <v>3.1280994415283203</v>
      </c>
      <c r="X35" s="215">
        <v>2.9716944694519043</v>
      </c>
      <c r="Y35" s="215">
        <v>3.9101243019104004</v>
      </c>
      <c r="Z35" s="215">
        <v>3.1280994415283203</v>
      </c>
      <c r="AA35" s="215">
        <v>2.6588845252990723</v>
      </c>
      <c r="AB35" s="215">
        <v>3.1280994415283203</v>
      </c>
      <c r="AC35" s="215">
        <v>3.1280994415283203</v>
      </c>
      <c r="AD35" s="215">
        <v>3.2845044136047363</v>
      </c>
      <c r="AE35" s="215">
        <v>3.2845044136047363</v>
      </c>
      <c r="AF35" s="215">
        <v>2.8152894973754883</v>
      </c>
      <c r="AG35" s="215">
        <v>2.3460745811462402</v>
      </c>
      <c r="AH35" s="215">
        <v>3.2845044136047363</v>
      </c>
      <c r="AI35" s="215">
        <v>2.0332646369934082</v>
      </c>
      <c r="AJ35" s="215">
        <v>2.9716944694519043</v>
      </c>
      <c r="AK35" s="215">
        <v>2.5024795532226563</v>
      </c>
      <c r="AL35" s="47">
        <f t="shared" si="31"/>
        <v>2.8690537065267563</v>
      </c>
      <c r="AM35" s="47">
        <f t="shared" si="32"/>
        <v>0.39249169528150801</v>
      </c>
      <c r="AN35" s="56">
        <f t="shared" si="33"/>
        <v>0.1368017943995388</v>
      </c>
      <c r="AO35" s="15"/>
      <c r="AP35" s="15"/>
      <c r="AQ35" s="47"/>
      <c r="AR35" s="57" t="s">
        <v>62</v>
      </c>
      <c r="AS35" s="58">
        <f>AS33/AS34</f>
        <v>1.0840860507625492</v>
      </c>
    </row>
    <row r="36" spans="1:45">
      <c r="A36" s="286"/>
      <c r="B36" s="286"/>
      <c r="C36" s="312" t="str">
        <f>C34</f>
        <v>G</v>
      </c>
      <c r="D36" s="50">
        <f t="shared" ref="D36:D38" si="34">D30</f>
        <v>63</v>
      </c>
      <c r="E36" s="50">
        <f t="shared" si="2"/>
        <v>35</v>
      </c>
      <c r="F36" s="215">
        <v>4.5357441902160645</v>
      </c>
      <c r="G36" s="215">
        <v>4.6921491622924805</v>
      </c>
      <c r="H36" s="215">
        <v>4.3793392181396484</v>
      </c>
      <c r="I36" s="215">
        <v>4.8485541343688965</v>
      </c>
      <c r="J36" s="215">
        <v>4.5357441902160645</v>
      </c>
      <c r="K36" s="215">
        <v>4.3793392181396484</v>
      </c>
      <c r="L36" s="215">
        <v>4.3793392181396484</v>
      </c>
      <c r="M36" s="215">
        <v>4.5357441902160645</v>
      </c>
      <c r="N36" s="215">
        <v>4.3793392181396484</v>
      </c>
      <c r="O36" s="215">
        <v>4.2229342460632324</v>
      </c>
      <c r="P36" s="215">
        <v>3.7537193298339844</v>
      </c>
      <c r="Q36" s="215">
        <v>3.9101243019104004</v>
      </c>
      <c r="R36" s="215">
        <v>3.4409093856811523</v>
      </c>
      <c r="S36" s="219">
        <v>3.9101243019104004</v>
      </c>
      <c r="T36" s="215">
        <v>3.9101243019104004</v>
      </c>
      <c r="U36" s="215">
        <v>3.2845044136047363</v>
      </c>
      <c r="V36" s="215">
        <v>4.2229342460632324</v>
      </c>
      <c r="W36" s="215">
        <v>4.8485541343688965</v>
      </c>
      <c r="X36" s="215">
        <v>4.3793392181396484</v>
      </c>
      <c r="Y36" s="215">
        <v>5.6305789947509766</v>
      </c>
      <c r="Z36" s="215">
        <v>4.8485541343688965</v>
      </c>
      <c r="AA36" s="215">
        <v>3.9101243019104004</v>
      </c>
      <c r="AB36" s="215">
        <v>4.5357441902160645</v>
      </c>
      <c r="AC36" s="215">
        <v>4.6921491622924805</v>
      </c>
      <c r="AD36" s="215">
        <v>4.5357441902160645</v>
      </c>
      <c r="AE36" s="215">
        <v>4.8485541343688965</v>
      </c>
      <c r="AF36" s="215">
        <v>4.0665292739868164</v>
      </c>
      <c r="AG36" s="215">
        <v>3.5973143577575684</v>
      </c>
      <c r="AH36" s="215">
        <v>4.8485541343688965</v>
      </c>
      <c r="AI36" s="215">
        <v>3.1280994415283203</v>
      </c>
      <c r="AJ36" s="215">
        <v>4.5357441902160645</v>
      </c>
      <c r="AK36" s="215">
        <v>3.5973143577575684</v>
      </c>
      <c r="AL36" s="47">
        <f t="shared" si="31"/>
        <v>4.2913614213466644</v>
      </c>
      <c r="AM36" s="47">
        <f t="shared" si="32"/>
        <v>0.54025301249990232</v>
      </c>
      <c r="AN36" s="56">
        <f t="shared" si="33"/>
        <v>0.12589315125323713</v>
      </c>
      <c r="AO36" s="15"/>
      <c r="AP36" s="15"/>
      <c r="AQ36" s="47"/>
      <c r="AR36" s="57"/>
      <c r="AS36" s="58"/>
    </row>
    <row r="37" spans="1:45">
      <c r="A37" s="286"/>
      <c r="B37" s="286"/>
      <c r="C37" s="312"/>
      <c r="D37" s="50">
        <f t="shared" si="34"/>
        <v>64</v>
      </c>
      <c r="E37" s="50">
        <f t="shared" si="2"/>
        <v>36</v>
      </c>
      <c r="F37" s="215">
        <v>3.9101243019104004</v>
      </c>
      <c r="G37" s="215">
        <v>4.0665292739868164</v>
      </c>
      <c r="H37" s="215">
        <v>3.9101243019104004</v>
      </c>
      <c r="I37" s="215">
        <v>4.2229342460632324</v>
      </c>
      <c r="J37" s="215">
        <v>4.0665292739868164</v>
      </c>
      <c r="K37" s="215">
        <v>3.9101243019104004</v>
      </c>
      <c r="L37" s="215">
        <v>3.9101243019104004</v>
      </c>
      <c r="M37" s="215">
        <v>4.0665292739868164</v>
      </c>
      <c r="N37" s="215">
        <v>3.9101243019104004</v>
      </c>
      <c r="O37" s="215">
        <v>3.7537193298339844</v>
      </c>
      <c r="P37" s="215">
        <v>3.2845044136047363</v>
      </c>
      <c r="Q37" s="215">
        <v>3.4409093856811523</v>
      </c>
      <c r="R37" s="215">
        <v>3.1280994415283203</v>
      </c>
      <c r="S37" s="219">
        <v>3.4409093856811523</v>
      </c>
      <c r="T37" s="215">
        <v>3.4409093856811523</v>
      </c>
      <c r="U37" s="215">
        <v>2.9716944694519043</v>
      </c>
      <c r="V37" s="215">
        <v>3.7537193298339844</v>
      </c>
      <c r="W37" s="215">
        <v>4.3793392181396484</v>
      </c>
      <c r="X37" s="215">
        <v>3.9101243019104004</v>
      </c>
      <c r="Y37" s="215">
        <v>5.0049591064453125</v>
      </c>
      <c r="Z37" s="215">
        <v>4.2229342460632324</v>
      </c>
      <c r="AA37" s="215">
        <v>3.4409093856811523</v>
      </c>
      <c r="AB37" s="215">
        <v>4.0665292739868164</v>
      </c>
      <c r="AC37" s="215">
        <v>4.2229342460632324</v>
      </c>
      <c r="AD37" s="215">
        <v>4.0665292739868164</v>
      </c>
      <c r="AE37" s="215">
        <v>4.2229342460632324</v>
      </c>
      <c r="AF37" s="215">
        <v>3.5973143577575684</v>
      </c>
      <c r="AG37" s="215">
        <v>3.1280994415283203</v>
      </c>
      <c r="AH37" s="215">
        <v>4.2229342460632324</v>
      </c>
      <c r="AI37" s="215">
        <v>2.6588845252990723</v>
      </c>
      <c r="AJ37" s="215">
        <v>4.0665292739868164</v>
      </c>
      <c r="AK37" s="215">
        <v>3.1280994415283203</v>
      </c>
      <c r="AL37" s="47">
        <f t="shared" si="31"/>
        <v>3.7977082282304764</v>
      </c>
      <c r="AM37" s="47">
        <f t="shared" si="32"/>
        <v>0.48693317389786306</v>
      </c>
      <c r="AN37" s="56">
        <f t="shared" si="33"/>
        <v>0.12821763669947525</v>
      </c>
      <c r="AO37" s="15"/>
      <c r="AP37" s="15"/>
      <c r="AQ37" s="47"/>
      <c r="AR37" s="57"/>
      <c r="AS37" s="58"/>
    </row>
    <row r="38" spans="1:45">
      <c r="A38" s="313"/>
      <c r="B38" s="313"/>
      <c r="C38" s="314"/>
      <c r="D38" s="79">
        <f t="shared" si="34"/>
        <v>50</v>
      </c>
      <c r="E38" s="79">
        <f t="shared" si="2"/>
        <v>37</v>
      </c>
      <c r="F38" s="217">
        <v>4.5357441902160645</v>
      </c>
      <c r="G38" s="217">
        <v>4.6921491622924805</v>
      </c>
      <c r="H38" s="217">
        <v>4.3793392181396484</v>
      </c>
      <c r="I38" s="217">
        <v>4.8485541343688965</v>
      </c>
      <c r="J38" s="217">
        <v>4.6921491622924805</v>
      </c>
      <c r="K38" s="217">
        <v>4.3793392181396484</v>
      </c>
      <c r="L38" s="217">
        <v>4.5357441902160645</v>
      </c>
      <c r="M38" s="217">
        <v>4.6921491622924805</v>
      </c>
      <c r="N38" s="217">
        <v>4.3793392181396484</v>
      </c>
      <c r="O38" s="217">
        <v>4.2229342460632324</v>
      </c>
      <c r="P38" s="217">
        <v>3.7537193298339844</v>
      </c>
      <c r="Q38" s="217">
        <v>4.0665292739868164</v>
      </c>
      <c r="R38" s="217">
        <v>3.5973143577575684</v>
      </c>
      <c r="S38" s="220">
        <v>4.0665292739868164</v>
      </c>
      <c r="T38" s="217">
        <v>3.9101243019104004</v>
      </c>
      <c r="U38" s="217">
        <v>3.4409093856811523</v>
      </c>
      <c r="V38" s="217">
        <v>4.3793392181396484</v>
      </c>
      <c r="W38" s="217">
        <v>5.0049591064453125</v>
      </c>
      <c r="X38" s="217">
        <v>4.5357441902160645</v>
      </c>
      <c r="Y38" s="217">
        <v>5.6305789947509766</v>
      </c>
      <c r="Z38" s="217">
        <v>4.8485541343688965</v>
      </c>
      <c r="AA38" s="217">
        <v>3.9101243019104004</v>
      </c>
      <c r="AB38" s="217">
        <v>4.5357441902160645</v>
      </c>
      <c r="AC38" s="217">
        <v>4.8485541343688965</v>
      </c>
      <c r="AD38" s="217">
        <v>4.6921491622924805</v>
      </c>
      <c r="AE38" s="217">
        <v>4.8485541343688965</v>
      </c>
      <c r="AF38" s="217">
        <v>4.2229342460632324</v>
      </c>
      <c r="AG38" s="217">
        <v>3.5973143577575684</v>
      </c>
      <c r="AH38" s="217">
        <v>5.0049591064453125</v>
      </c>
      <c r="AI38" s="217">
        <v>3.1280994415283203</v>
      </c>
      <c r="AJ38" s="217">
        <v>4.6921491622924805</v>
      </c>
      <c r="AK38" s="217">
        <v>3.5973143577575684</v>
      </c>
      <c r="AL38" s="80">
        <f t="shared" si="31"/>
        <v>4.3646762520074844</v>
      </c>
      <c r="AM38" s="80">
        <f t="shared" si="32"/>
        <v>0.54377898592104168</v>
      </c>
      <c r="AN38" s="81">
        <f t="shared" si="33"/>
        <v>0.12458632771925215</v>
      </c>
      <c r="AO38" s="82"/>
      <c r="AP38" s="82"/>
      <c r="AQ38" s="80"/>
      <c r="AR38" s="84"/>
      <c r="AS38" s="85"/>
    </row>
    <row r="39" spans="1:45">
      <c r="A39" s="307" t="s">
        <v>55</v>
      </c>
      <c r="B39" s="307" t="str">
        <f>B27</f>
        <v>LO</v>
      </c>
      <c r="C39" s="86" t="str">
        <f>C33</f>
        <v>R</v>
      </c>
      <c r="D39" s="62">
        <f>D33</f>
        <v>0</v>
      </c>
      <c r="E39" s="92">
        <f>ROW(E39)-1</f>
        <v>38</v>
      </c>
      <c r="F39" s="216">
        <v>0.62943464517593384</v>
      </c>
      <c r="G39" s="216">
        <v>0.93270772695541382</v>
      </c>
      <c r="H39" s="216">
        <v>0.86404210329055786</v>
      </c>
      <c r="I39" s="216">
        <v>0.94415199756622314</v>
      </c>
      <c r="J39" s="216">
        <v>0.74959945678710938</v>
      </c>
      <c r="K39" s="216">
        <v>0.88693064451217651</v>
      </c>
      <c r="L39" s="216">
        <v>0.89837491512298584</v>
      </c>
      <c r="M39" s="216">
        <v>0.84115356206893921</v>
      </c>
      <c r="N39" s="216">
        <v>0.73243308067321777</v>
      </c>
      <c r="O39" s="216">
        <v>0.81826502084732056</v>
      </c>
      <c r="P39" s="216">
        <v>0.58365756273269653</v>
      </c>
      <c r="Q39" s="216">
        <v>0.72098881006240845</v>
      </c>
      <c r="R39" s="216">
        <v>0.60082399845123291</v>
      </c>
      <c r="S39" s="218">
        <v>0.74959945678710938</v>
      </c>
      <c r="T39" s="216">
        <v>0.61226826906204224</v>
      </c>
      <c r="U39" s="216">
        <v>0.64660108089447021</v>
      </c>
      <c r="V39" s="216">
        <v>0.82970929145812988</v>
      </c>
      <c r="W39" s="216">
        <v>0.95559626817703247</v>
      </c>
      <c r="X39" s="216">
        <v>0.89837491512298584</v>
      </c>
      <c r="Y39" s="216">
        <v>1.0414282083511353</v>
      </c>
      <c r="Z39" s="216">
        <v>0.9842069149017334</v>
      </c>
      <c r="AA39" s="216">
        <v>0.81826502084732056</v>
      </c>
      <c r="AB39" s="216">
        <v>0.97848474979400635</v>
      </c>
      <c r="AC39" s="216">
        <v>1.0185396671295166</v>
      </c>
      <c r="AD39" s="216">
        <v>0.7782101035118103</v>
      </c>
      <c r="AE39" s="216">
        <v>0.74387729167938232</v>
      </c>
      <c r="AF39" s="216">
        <v>0.81826502084732056</v>
      </c>
      <c r="AG39" s="216">
        <v>0.68665599822998047</v>
      </c>
      <c r="AH39" s="216">
        <v>0.79537653923034668</v>
      </c>
      <c r="AI39" s="216">
        <v>0.53215837478637695</v>
      </c>
      <c r="AJ39" s="216">
        <v>0.88120853900909424</v>
      </c>
      <c r="AK39" s="216">
        <v>0.62943464517593384</v>
      </c>
      <c r="AL39" s="53">
        <f>AVERAGE(F39:AK39)</f>
        <v>0.80002574622631073</v>
      </c>
      <c r="AM39" s="53">
        <f>STDEV(F39:AK39)</f>
        <v>0.13715755364811213</v>
      </c>
      <c r="AN39" s="54">
        <f>AM39/AL39</f>
        <v>0.17144142459799425</v>
      </c>
      <c r="AO39" s="53"/>
      <c r="AP39" s="53" t="s">
        <v>46</v>
      </c>
      <c r="AQ39" s="44">
        <f>Calibration!D30</f>
        <v>863.5</v>
      </c>
      <c r="AR39" s="44" t="s">
        <v>57</v>
      </c>
      <c r="AS39" s="55">
        <f>AQ39/SUM(AQ39:AQ41)</f>
        <v>0.42817474091337332</v>
      </c>
    </row>
    <row r="40" spans="1:45">
      <c r="A40" s="286"/>
      <c r="B40" s="286"/>
      <c r="C40" s="87" t="str">
        <f>C34</f>
        <v>G</v>
      </c>
      <c r="D40" s="50">
        <f t="shared" ref="D40:D41" si="35">D34</f>
        <v>0</v>
      </c>
      <c r="E40" s="50">
        <f t="shared" si="2"/>
        <v>39</v>
      </c>
      <c r="F40" s="215">
        <v>3.9082169532775879</v>
      </c>
      <c r="G40" s="215">
        <v>5.0984206199645996</v>
      </c>
      <c r="H40" s="215">
        <v>4.6807050704956055</v>
      </c>
      <c r="I40" s="215">
        <v>5.3845272064208984</v>
      </c>
      <c r="J40" s="215">
        <v>4.858090877532959</v>
      </c>
      <c r="K40" s="215">
        <v>4.8180360794067383</v>
      </c>
      <c r="L40" s="215">
        <v>4.9210343360900879</v>
      </c>
      <c r="M40" s="215">
        <v>4.8752574920654297</v>
      </c>
      <c r="N40" s="215">
        <v>4.537651538848877</v>
      </c>
      <c r="O40" s="215">
        <v>4.3659877777099609</v>
      </c>
      <c r="P40" s="215">
        <v>3.9311056137084961</v>
      </c>
      <c r="Q40" s="215">
        <v>4.6349277496337891</v>
      </c>
      <c r="R40" s="215">
        <v>3.994049072265625</v>
      </c>
      <c r="S40" s="219">
        <v>4.2801556587219238</v>
      </c>
      <c r="T40" s="215">
        <v>4.2515449523925781</v>
      </c>
      <c r="U40" s="215">
        <v>3.7537193298339844</v>
      </c>
      <c r="V40" s="215">
        <v>4.8008699417114258</v>
      </c>
      <c r="W40" s="215">
        <v>5.2986955642700195</v>
      </c>
      <c r="X40" s="215">
        <v>5.2986955642700195</v>
      </c>
      <c r="Y40" s="215">
        <v>5.4989700317382812</v>
      </c>
      <c r="Z40" s="215">
        <v>5.539024829864502</v>
      </c>
      <c r="AA40" s="215">
        <v>4.3430991172790527</v>
      </c>
      <c r="AB40" s="215">
        <v>4.9324789047241211</v>
      </c>
      <c r="AC40" s="215">
        <v>5.2529182434082031</v>
      </c>
      <c r="AD40" s="215">
        <v>5.0240330696105957</v>
      </c>
      <c r="AE40" s="215">
        <v>5.006866455078125</v>
      </c>
      <c r="AF40" s="215">
        <v>4.4918746948242187</v>
      </c>
      <c r="AG40" s="215">
        <v>3.9253833293914795</v>
      </c>
      <c r="AH40" s="215">
        <v>5.1327533721923828</v>
      </c>
      <c r="AI40" s="215">
        <v>3.5133898258209229</v>
      </c>
      <c r="AJ40" s="215">
        <v>4.9897003173828125</v>
      </c>
      <c r="AK40" s="215">
        <v>3.919661283493042</v>
      </c>
      <c r="AL40" s="47">
        <f t="shared" ref="AL40:AL44" si="36">AVERAGE(F40:AK40)</f>
        <v>4.6644326522946358</v>
      </c>
      <c r="AM40" s="47">
        <f t="shared" ref="AM40:AM44" si="37">STDEV(F40:AK40)</f>
        <v>0.55429018552731124</v>
      </c>
      <c r="AN40" s="56">
        <f t="shared" ref="AN40:AN44" si="38">AM40/AL40</f>
        <v>0.11883335591835203</v>
      </c>
      <c r="AO40" s="47"/>
      <c r="AP40" s="47" t="s">
        <v>47</v>
      </c>
      <c r="AQ40" s="15">
        <f>Calibration!E30</f>
        <v>825.15</v>
      </c>
      <c r="AR40" s="15" t="s">
        <v>58</v>
      </c>
      <c r="AS40" s="51">
        <f>AQ40/SUM(AQ39:AQ41)</f>
        <v>0.40915852630535032</v>
      </c>
    </row>
    <row r="41" spans="1:45">
      <c r="A41" s="286"/>
      <c r="B41" s="286"/>
      <c r="C41" s="88" t="str">
        <f>C35</f>
        <v>B</v>
      </c>
      <c r="D41" s="50">
        <f t="shared" si="35"/>
        <v>0</v>
      </c>
      <c r="E41" s="50">
        <f t="shared" si="2"/>
        <v>40</v>
      </c>
      <c r="F41" s="215">
        <v>2.6207370758056641</v>
      </c>
      <c r="G41" s="215">
        <v>3.3760585784912109</v>
      </c>
      <c r="H41" s="215">
        <v>3.2616159915924072</v>
      </c>
      <c r="I41" s="215">
        <v>3.6621651649475098</v>
      </c>
      <c r="J41" s="215">
        <v>3.3245594501495361</v>
      </c>
      <c r="K41" s="215">
        <v>3.2616159915924072</v>
      </c>
      <c r="L41" s="215">
        <v>3.4332799911499023</v>
      </c>
      <c r="M41" s="215">
        <v>3.1185626983642578</v>
      </c>
      <c r="N41" s="215">
        <v>3.0899519920349121</v>
      </c>
      <c r="O41" s="215">
        <v>2.9526207447052002</v>
      </c>
      <c r="P41" s="215">
        <v>2.6207370758056641</v>
      </c>
      <c r="Q41" s="215">
        <v>2.9526207447052002</v>
      </c>
      <c r="R41" s="215">
        <v>2.5463492870330811</v>
      </c>
      <c r="S41" s="219">
        <v>2.8667886257171631</v>
      </c>
      <c r="T41" s="215">
        <v>2.769512414932251</v>
      </c>
      <c r="U41" s="215">
        <v>2.5005722045898438</v>
      </c>
      <c r="V41" s="215">
        <v>3.0956740379333496</v>
      </c>
      <c r="W41" s="215">
        <v>3.4046692848205566</v>
      </c>
      <c r="X41" s="215">
        <v>3.4504463672637939</v>
      </c>
      <c r="Y41" s="215">
        <v>3.8681621551513672</v>
      </c>
      <c r="Z41" s="215">
        <v>3.5934996604919434</v>
      </c>
      <c r="AA41" s="215">
        <v>2.9011216163635254</v>
      </c>
      <c r="AB41" s="215">
        <v>3.4790570735931396</v>
      </c>
      <c r="AC41" s="215">
        <v>3.4504463672637939</v>
      </c>
      <c r="AD41" s="215">
        <v>3.6049439907073975</v>
      </c>
      <c r="AE41" s="215">
        <v>3.4504463672637939</v>
      </c>
      <c r="AF41" s="215">
        <v>3.1071183681488037</v>
      </c>
      <c r="AG41" s="215">
        <v>2.5406272411346436</v>
      </c>
      <c r="AH41" s="215">
        <v>3.524834156036377</v>
      </c>
      <c r="AI41" s="215">
        <v>2.2602427005767822</v>
      </c>
      <c r="AJ41" s="215">
        <v>3.227283239364624</v>
      </c>
      <c r="AK41" s="215">
        <v>2.60929274559021</v>
      </c>
      <c r="AL41" s="47">
        <f t="shared" si="36"/>
        <v>3.1226754188537598</v>
      </c>
      <c r="AM41" s="47">
        <f t="shared" si="37"/>
        <v>0.4060419268471232</v>
      </c>
      <c r="AN41" s="56">
        <f t="shared" si="38"/>
        <v>0.13003014158806456</v>
      </c>
      <c r="AO41" s="15"/>
      <c r="AP41" s="15" t="s">
        <v>48</v>
      </c>
      <c r="AQ41" s="15">
        <f>Calibration!F30</f>
        <v>328.05</v>
      </c>
      <c r="AR41" s="15" t="s">
        <v>56</v>
      </c>
      <c r="AS41" s="52">
        <f>getCCTfromXY(AS39,AS40,0)</f>
        <v>3205</v>
      </c>
    </row>
    <row r="42" spans="1:45">
      <c r="A42" s="286"/>
      <c r="B42" s="286"/>
      <c r="C42" s="312" t="str">
        <f>C40</f>
        <v>G</v>
      </c>
      <c r="D42" s="50">
        <f t="shared" ref="D42:D44" si="39">D36</f>
        <v>63</v>
      </c>
      <c r="E42" s="50">
        <f t="shared" si="2"/>
        <v>41</v>
      </c>
      <c r="F42" s="215">
        <v>4.314488410949707</v>
      </c>
      <c r="G42" s="215">
        <v>4.6406502723693848</v>
      </c>
      <c r="H42" s="215">
        <v>4.2515449523925781</v>
      </c>
      <c r="I42" s="215">
        <v>4.8809795379638672</v>
      </c>
      <c r="J42" s="215">
        <v>4.3831539154052734</v>
      </c>
      <c r="K42" s="215">
        <v>4.3602657318115234</v>
      </c>
      <c r="L42" s="215">
        <v>4.537651538848877</v>
      </c>
      <c r="M42" s="215">
        <v>4.4060425758361816</v>
      </c>
      <c r="N42" s="215">
        <v>4.1027693748474121</v>
      </c>
      <c r="O42" s="215">
        <v>3.9539940357208252</v>
      </c>
      <c r="P42" s="215">
        <v>3.5477225780487061</v>
      </c>
      <c r="Q42" s="215">
        <v>4.2057681083679199</v>
      </c>
      <c r="R42" s="215">
        <v>3.5992217063903809</v>
      </c>
      <c r="S42" s="219">
        <v>3.845273494720459</v>
      </c>
      <c r="T42" s="215">
        <v>3.8567178249359131</v>
      </c>
      <c r="U42" s="215">
        <v>3.4275577068328857</v>
      </c>
      <c r="V42" s="215">
        <v>4.3602657318115234</v>
      </c>
      <c r="W42" s="215">
        <v>4.835202693939209</v>
      </c>
      <c r="X42" s="215">
        <v>4.835202693939209</v>
      </c>
      <c r="Y42" s="215">
        <v>4.9782557487487793</v>
      </c>
      <c r="Z42" s="215">
        <v>5.0183110237121582</v>
      </c>
      <c r="AA42" s="215">
        <v>3.9253833293914795</v>
      </c>
      <c r="AB42" s="215">
        <v>4.4689860343933105</v>
      </c>
      <c r="AC42" s="215">
        <v>4.7722592353820801</v>
      </c>
      <c r="AD42" s="215">
        <v>4.6635384559631348</v>
      </c>
      <c r="AE42" s="215">
        <v>4.5033187866210937</v>
      </c>
      <c r="AF42" s="215">
        <v>4.0798811912536621</v>
      </c>
      <c r="AG42" s="215">
        <v>3.5591669082641602</v>
      </c>
      <c r="AH42" s="215">
        <v>4.6177616119384766</v>
      </c>
      <c r="AI42" s="215">
        <v>3.1757838726043701</v>
      </c>
      <c r="AJ42" s="215">
        <v>4.526207447052002</v>
      </c>
      <c r="AK42" s="215">
        <v>3.5477225780487061</v>
      </c>
      <c r="AL42" s="47">
        <f t="shared" si="36"/>
        <v>4.255657784640789</v>
      </c>
      <c r="AM42" s="47">
        <f t="shared" si="37"/>
        <v>0.49375390147138842</v>
      </c>
      <c r="AN42" s="56">
        <f t="shared" si="38"/>
        <v>0.11602293381140963</v>
      </c>
      <c r="AO42" s="15"/>
      <c r="AP42" s="15"/>
      <c r="AQ42" s="15"/>
      <c r="AR42" s="15"/>
      <c r="AS42" s="52"/>
    </row>
    <row r="43" spans="1:45">
      <c r="A43" s="286"/>
      <c r="B43" s="286"/>
      <c r="C43" s="312"/>
      <c r="D43" s="50">
        <f t="shared" si="39"/>
        <v>64</v>
      </c>
      <c r="E43" s="50">
        <f t="shared" si="2"/>
        <v>42</v>
      </c>
      <c r="F43" s="215">
        <v>3.7994964122772217</v>
      </c>
      <c r="G43" s="215">
        <v>4.0798811912536621</v>
      </c>
      <c r="H43" s="215">
        <v>3.7308309078216553</v>
      </c>
      <c r="I43" s="215">
        <v>4.2858777046203613</v>
      </c>
      <c r="J43" s="215">
        <v>3.8338291645050049</v>
      </c>
      <c r="K43" s="215">
        <v>3.8281071186065674</v>
      </c>
      <c r="L43" s="215">
        <v>3.9768826961517334</v>
      </c>
      <c r="M43" s="215">
        <v>3.8567178249359131</v>
      </c>
      <c r="N43" s="215">
        <v>3.5992217063903809</v>
      </c>
      <c r="O43" s="215">
        <v>3.4790570735931396</v>
      </c>
      <c r="P43" s="215">
        <v>3.0670633316040039</v>
      </c>
      <c r="Q43" s="215">
        <v>3.6678874492645264</v>
      </c>
      <c r="R43" s="215">
        <v>3.152895450592041</v>
      </c>
      <c r="S43" s="219">
        <v>3.4103913307189941</v>
      </c>
      <c r="T43" s="215">
        <v>3.3646142482757568</v>
      </c>
      <c r="U43" s="215">
        <v>3.0098421573638916</v>
      </c>
      <c r="V43" s="215">
        <v>3.8338291645050049</v>
      </c>
      <c r="W43" s="215">
        <v>4.2572669982910156</v>
      </c>
      <c r="X43" s="215">
        <v>4.2744336128234863</v>
      </c>
      <c r="Y43" s="215">
        <v>4.3831539154052734</v>
      </c>
      <c r="Z43" s="215">
        <v>4.4003205299377441</v>
      </c>
      <c r="AA43" s="215">
        <v>3.4447240829467773</v>
      </c>
      <c r="AB43" s="215">
        <v>3.9311056137084961</v>
      </c>
      <c r="AC43" s="215">
        <v>4.2229342460632324</v>
      </c>
      <c r="AD43" s="215">
        <v>4.0512704849243164</v>
      </c>
      <c r="AE43" s="215">
        <v>3.919661283493042</v>
      </c>
      <c r="AF43" s="215">
        <v>3.5820553302764893</v>
      </c>
      <c r="AG43" s="215">
        <v>3.1414511203765869</v>
      </c>
      <c r="AH43" s="215">
        <v>3.9883267879486084</v>
      </c>
      <c r="AI43" s="215">
        <v>2.769512414932251</v>
      </c>
      <c r="AJ43" s="215">
        <v>4.0970473289489746</v>
      </c>
      <c r="AK43" s="215">
        <v>3.0842297077178955</v>
      </c>
      <c r="AL43" s="47">
        <f t="shared" si="36"/>
        <v>3.735122449696064</v>
      </c>
      <c r="AM43" s="47">
        <f t="shared" si="37"/>
        <v>0.44060067573687201</v>
      </c>
      <c r="AN43" s="56">
        <f t="shared" si="38"/>
        <v>0.11796150773389631</v>
      </c>
      <c r="AO43" s="15"/>
      <c r="AP43" s="15"/>
      <c r="AQ43" s="15"/>
      <c r="AR43" s="15"/>
      <c r="AS43" s="52"/>
    </row>
    <row r="44" spans="1:45">
      <c r="A44" s="286"/>
      <c r="B44" s="286"/>
      <c r="C44" s="312"/>
      <c r="D44" s="50">
        <f t="shared" si="39"/>
        <v>50</v>
      </c>
      <c r="E44" s="50">
        <f t="shared" si="2"/>
        <v>43</v>
      </c>
      <c r="F44" s="215">
        <v>4.4003205299377441</v>
      </c>
      <c r="G44" s="215">
        <v>4.7379264831542969</v>
      </c>
      <c r="H44" s="215">
        <v>4.3373770713806152</v>
      </c>
      <c r="I44" s="215">
        <v>4.9897003173828125</v>
      </c>
      <c r="J44" s="215">
        <v>4.4861526489257812</v>
      </c>
      <c r="K44" s="215">
        <v>4.4575419425964355</v>
      </c>
      <c r="L44" s="215">
        <v>4.6349277496337891</v>
      </c>
      <c r="M44" s="215">
        <v>4.5033187866210937</v>
      </c>
      <c r="N44" s="215">
        <v>4.1886014938354492</v>
      </c>
      <c r="O44" s="215">
        <v>4.0398259162902832</v>
      </c>
      <c r="P44" s="215">
        <v>3.6221103668212891</v>
      </c>
      <c r="Q44" s="215">
        <v>4.2973222732543945</v>
      </c>
      <c r="R44" s="215">
        <v>3.685053825378418</v>
      </c>
      <c r="S44" s="219">
        <v>3.9539940357208252</v>
      </c>
      <c r="T44" s="215">
        <v>3.9425497055053711</v>
      </c>
      <c r="U44" s="215">
        <v>3.5076675415039062</v>
      </c>
      <c r="V44" s="215">
        <v>4.4518194198608398</v>
      </c>
      <c r="W44" s="215">
        <v>4.9210343360900879</v>
      </c>
      <c r="X44" s="215">
        <v>4.9267568588256836</v>
      </c>
      <c r="Y44" s="215">
        <v>5.0869765281677246</v>
      </c>
      <c r="Z44" s="215">
        <v>5.1270313262939453</v>
      </c>
      <c r="AA44" s="215">
        <v>4.0169377326965332</v>
      </c>
      <c r="AB44" s="215">
        <v>4.5777063369750977</v>
      </c>
      <c r="AC44" s="215">
        <v>4.8752574920654297</v>
      </c>
      <c r="AD44" s="215">
        <v>4.7608146667480469</v>
      </c>
      <c r="AE44" s="215">
        <v>4.6063170433044434</v>
      </c>
      <c r="AF44" s="215">
        <v>4.165712833404541</v>
      </c>
      <c r="AG44" s="215">
        <v>3.6392767429351807</v>
      </c>
      <c r="AH44" s="215">
        <v>4.7264819145202637</v>
      </c>
      <c r="AI44" s="215">
        <v>3.2444496154785156</v>
      </c>
      <c r="AJ44" s="215">
        <v>4.6406502723693848</v>
      </c>
      <c r="AK44" s="215">
        <v>3.6278324127197266</v>
      </c>
      <c r="AL44" s="47">
        <f t="shared" si="36"/>
        <v>4.3493576943874359</v>
      </c>
      <c r="AM44" s="47">
        <f t="shared" si="37"/>
        <v>0.50240611216215936</v>
      </c>
      <c r="AN44" s="56">
        <f t="shared" si="38"/>
        <v>0.11551271416707848</v>
      </c>
      <c r="AO44" s="15"/>
      <c r="AP44" s="15"/>
      <c r="AQ44" s="15"/>
      <c r="AR44" s="15"/>
      <c r="AS44" s="52"/>
    </row>
    <row r="45" spans="1:45">
      <c r="A45" s="286"/>
      <c r="B45" s="286" t="str">
        <f>B33</f>
        <v>HI</v>
      </c>
      <c r="C45" s="89" t="str">
        <f>C39</f>
        <v>R</v>
      </c>
      <c r="D45" s="50">
        <f>D39</f>
        <v>0</v>
      </c>
      <c r="E45" s="90">
        <f t="shared" si="2"/>
        <v>44</v>
      </c>
      <c r="F45" s="215">
        <v>1.0948348045349121</v>
      </c>
      <c r="G45" s="215">
        <v>1.0948348045349121</v>
      </c>
      <c r="H45" s="215">
        <v>0.93842983245849609</v>
      </c>
      <c r="I45" s="215">
        <v>1.0948348045349121</v>
      </c>
      <c r="J45" s="215">
        <v>0.93842983245849609</v>
      </c>
      <c r="K45" s="215">
        <v>0.93842983245849609</v>
      </c>
      <c r="L45" s="215">
        <v>1.0948348045349121</v>
      </c>
      <c r="M45" s="215">
        <v>0.93842983245849609</v>
      </c>
      <c r="N45" s="215">
        <v>0.93842983245849609</v>
      </c>
      <c r="O45" s="215">
        <v>0.93842983245849609</v>
      </c>
      <c r="P45" s="215">
        <v>0.78202486038208008</v>
      </c>
      <c r="Q45" s="215">
        <v>0.78202486038208008</v>
      </c>
      <c r="R45" s="215">
        <v>0.62561988830566406</v>
      </c>
      <c r="S45" s="219">
        <v>0.93842983245849609</v>
      </c>
      <c r="T45" s="215">
        <v>0.78202486038208008</v>
      </c>
      <c r="U45" s="215">
        <v>0.78202486038208008</v>
      </c>
      <c r="V45" s="215">
        <v>0.93842983245849609</v>
      </c>
      <c r="W45" s="215">
        <v>1.0948348045349121</v>
      </c>
      <c r="X45" s="215">
        <v>0.93842983245849609</v>
      </c>
      <c r="Y45" s="215">
        <v>1.2512397766113281</v>
      </c>
      <c r="Z45" s="215">
        <v>1.0948348045349121</v>
      </c>
      <c r="AA45" s="215">
        <v>0.93842983245849609</v>
      </c>
      <c r="AB45" s="215">
        <v>1.0948348045349121</v>
      </c>
      <c r="AC45" s="215">
        <v>1.0948348045349121</v>
      </c>
      <c r="AD45" s="215">
        <v>0.93842983245849609</v>
      </c>
      <c r="AE45" s="215">
        <v>0.93842983245849609</v>
      </c>
      <c r="AF45" s="215">
        <v>0.93842983245849609</v>
      </c>
      <c r="AG45" s="215">
        <v>0.78202486038208008</v>
      </c>
      <c r="AH45" s="215">
        <v>0.93842983245849609</v>
      </c>
      <c r="AI45" s="215">
        <v>0.62561988830566406</v>
      </c>
      <c r="AJ45" s="215">
        <v>1.0948348045349121</v>
      </c>
      <c r="AK45" s="215">
        <v>0.78202486038208008</v>
      </c>
      <c r="AL45" s="47">
        <f>AVERAGE(F45:AK45)</f>
        <v>0.94331748783588409</v>
      </c>
      <c r="AM45" s="47">
        <f>STDEV(F45:AK45)</f>
        <v>0.14588146527489268</v>
      </c>
      <c r="AN45" s="56">
        <f>AM45/AL45</f>
        <v>0.15464726049929095</v>
      </c>
      <c r="AO45" s="15"/>
      <c r="AP45" s="15"/>
      <c r="AQ45" s="48" t="s">
        <v>39</v>
      </c>
      <c r="AR45" s="57" t="s">
        <v>59</v>
      </c>
      <c r="AS45" s="58">
        <f>AQ40/AL40</f>
        <v>176.90254346240224</v>
      </c>
    </row>
    <row r="46" spans="1:45">
      <c r="A46" s="286"/>
      <c r="B46" s="286"/>
      <c r="C46" s="87" t="str">
        <f>C40</f>
        <v>G</v>
      </c>
      <c r="D46" s="50">
        <f t="shared" ref="D46:D47" si="40">D40</f>
        <v>0</v>
      </c>
      <c r="E46" s="50">
        <f t="shared" si="2"/>
        <v>45</v>
      </c>
      <c r="F46" s="215">
        <v>5.3177690505981445</v>
      </c>
      <c r="G46" s="215">
        <v>5.4741740226745605</v>
      </c>
      <c r="H46" s="215">
        <v>5.1613640785217285</v>
      </c>
      <c r="I46" s="215">
        <v>5.7869839668273926</v>
      </c>
      <c r="J46" s="215">
        <v>5.4741740226745605</v>
      </c>
      <c r="K46" s="215">
        <v>5.1613640785217285</v>
      </c>
      <c r="L46" s="215">
        <v>5.3177690505981445</v>
      </c>
      <c r="M46" s="215">
        <v>5.4741740226745605</v>
      </c>
      <c r="N46" s="215">
        <v>5.1613640785217285</v>
      </c>
      <c r="O46" s="215">
        <v>5.0049591064453125</v>
      </c>
      <c r="P46" s="215">
        <v>4.3793392181396484</v>
      </c>
      <c r="Q46" s="215">
        <v>4.6921491622924805</v>
      </c>
      <c r="R46" s="215">
        <v>4.2229342460632324</v>
      </c>
      <c r="S46" s="219">
        <v>4.6921491622924805</v>
      </c>
      <c r="T46" s="215">
        <v>4.5357441902160645</v>
      </c>
      <c r="U46" s="215">
        <v>3.9101243019104004</v>
      </c>
      <c r="V46" s="215">
        <v>5.0049591064453125</v>
      </c>
      <c r="W46" s="215">
        <v>5.7869839668273926</v>
      </c>
      <c r="X46" s="215">
        <v>5.1613640785217285</v>
      </c>
      <c r="Y46" s="215">
        <v>6.5690088272094727</v>
      </c>
      <c r="Z46" s="215">
        <v>5.6305789947509766</v>
      </c>
      <c r="AA46" s="215">
        <v>4.5357441902160645</v>
      </c>
      <c r="AB46" s="215">
        <v>5.3177690505981445</v>
      </c>
      <c r="AC46" s="215">
        <v>5.4741740226745605</v>
      </c>
      <c r="AD46" s="215">
        <v>5.4741740226745605</v>
      </c>
      <c r="AE46" s="215">
        <v>5.7869839668273926</v>
      </c>
      <c r="AF46" s="215">
        <v>4.8485541343688965</v>
      </c>
      <c r="AG46" s="215">
        <v>4.2229342460632324</v>
      </c>
      <c r="AH46" s="215">
        <v>5.7869839668273926</v>
      </c>
      <c r="AI46" s="215">
        <v>3.7537193298339844</v>
      </c>
      <c r="AJ46" s="215">
        <v>5.4741740226745605</v>
      </c>
      <c r="AK46" s="215">
        <v>4.2229342460632324</v>
      </c>
      <c r="AL46" s="47">
        <f t="shared" ref="AL46:AL50" si="41">AVERAGE(F46:AK46)</f>
        <v>5.0880492478609085</v>
      </c>
      <c r="AM46" s="47">
        <f t="shared" ref="AM46:AM50" si="42">STDEV(F46:AK46)</f>
        <v>0.63312316780185585</v>
      </c>
      <c r="AN46" s="56">
        <f t="shared" ref="AN46:AN50" si="43">AM46/AL46</f>
        <v>0.12443338044890785</v>
      </c>
      <c r="AO46" s="15"/>
      <c r="AP46" s="15"/>
      <c r="AQ46" s="49">
        <f>MAX(F39:AK41)</f>
        <v>5.539024829864502</v>
      </c>
      <c r="AR46" s="57" t="s">
        <v>60</v>
      </c>
      <c r="AS46" s="58">
        <f>AQ40/AL46</f>
        <v>162.17413782834458</v>
      </c>
    </row>
    <row r="47" spans="1:45">
      <c r="A47" s="286"/>
      <c r="B47" s="286"/>
      <c r="C47" s="88" t="str">
        <f>C41</f>
        <v>B</v>
      </c>
      <c r="D47" s="50">
        <f t="shared" si="40"/>
        <v>0</v>
      </c>
      <c r="E47" s="50">
        <f t="shared" si="2"/>
        <v>46</v>
      </c>
      <c r="F47" s="215">
        <v>3.5973143577575684</v>
      </c>
      <c r="G47" s="215">
        <v>3.5973143577575684</v>
      </c>
      <c r="H47" s="215">
        <v>3.5973143577575684</v>
      </c>
      <c r="I47" s="215">
        <v>3.9101243019104004</v>
      </c>
      <c r="J47" s="215">
        <v>3.7537193298339844</v>
      </c>
      <c r="K47" s="215">
        <v>3.4409093856811523</v>
      </c>
      <c r="L47" s="215">
        <v>3.5973143577575684</v>
      </c>
      <c r="M47" s="215">
        <v>3.4409093856811523</v>
      </c>
      <c r="N47" s="215">
        <v>3.5973143577575684</v>
      </c>
      <c r="O47" s="215">
        <v>3.4409093856811523</v>
      </c>
      <c r="P47" s="215">
        <v>2.9716944694519043</v>
      </c>
      <c r="Q47" s="215">
        <v>2.9716944694519043</v>
      </c>
      <c r="R47" s="215">
        <v>2.6588845252990723</v>
      </c>
      <c r="S47" s="219">
        <v>3.1280994415283203</v>
      </c>
      <c r="T47" s="215">
        <v>2.9716944694519043</v>
      </c>
      <c r="U47" s="215">
        <v>2.6588845252990723</v>
      </c>
      <c r="V47" s="215">
        <v>3.2845044136047363</v>
      </c>
      <c r="W47" s="215">
        <v>3.7537193298339844</v>
      </c>
      <c r="X47" s="215">
        <v>3.4409093856811523</v>
      </c>
      <c r="Y47" s="215">
        <v>4.6921491622924805</v>
      </c>
      <c r="Z47" s="215">
        <v>3.7537193298339844</v>
      </c>
      <c r="AA47" s="215">
        <v>3.1280994415283203</v>
      </c>
      <c r="AB47" s="215">
        <v>3.7537193298339844</v>
      </c>
      <c r="AC47" s="215">
        <v>3.7537193298339844</v>
      </c>
      <c r="AD47" s="215">
        <v>3.9101243019104004</v>
      </c>
      <c r="AE47" s="215">
        <v>4.0665292739868164</v>
      </c>
      <c r="AF47" s="215">
        <v>3.4409093856811523</v>
      </c>
      <c r="AG47" s="215">
        <v>2.8152894973754883</v>
      </c>
      <c r="AH47" s="215">
        <v>4.0665292739868164</v>
      </c>
      <c r="AI47" s="215">
        <v>2.3460745811462402</v>
      </c>
      <c r="AJ47" s="215">
        <v>3.5973143577575684</v>
      </c>
      <c r="AK47" s="215">
        <v>2.8152894973754883</v>
      </c>
      <c r="AL47" s="47">
        <f t="shared" si="41"/>
        <v>3.4360217303037643</v>
      </c>
      <c r="AM47" s="47">
        <f t="shared" si="42"/>
        <v>0.49217187335241847</v>
      </c>
      <c r="AN47" s="56">
        <f t="shared" si="43"/>
        <v>0.14323887099192112</v>
      </c>
      <c r="AO47" s="15"/>
      <c r="AP47" s="15"/>
      <c r="AQ47" s="47"/>
      <c r="AR47" s="57" t="s">
        <v>62</v>
      </c>
      <c r="AS47" s="58">
        <f>AS45/AS46</f>
        <v>1.0908184611386504</v>
      </c>
    </row>
    <row r="48" spans="1:45">
      <c r="A48" s="286"/>
      <c r="B48" s="286"/>
      <c r="C48" s="312" t="str">
        <f>C46</f>
        <v>G</v>
      </c>
      <c r="D48" s="50">
        <f t="shared" ref="D48:D50" si="44">D42</f>
        <v>63</v>
      </c>
      <c r="E48" s="50">
        <f t="shared" si="2"/>
        <v>47</v>
      </c>
      <c r="F48" s="215">
        <v>4.8485541343688965</v>
      </c>
      <c r="G48" s="215">
        <v>5.0049591064453125</v>
      </c>
      <c r="H48" s="215">
        <v>4.6921491622924805</v>
      </c>
      <c r="I48" s="215">
        <v>5.1613640785217285</v>
      </c>
      <c r="J48" s="215">
        <v>4.8485541343688965</v>
      </c>
      <c r="K48" s="215">
        <v>4.6921491622924805</v>
      </c>
      <c r="L48" s="215">
        <v>4.8485541343688965</v>
      </c>
      <c r="M48" s="215">
        <v>4.8485541343688965</v>
      </c>
      <c r="N48" s="215">
        <v>4.6921491622924805</v>
      </c>
      <c r="O48" s="215">
        <v>4.5357441902160645</v>
      </c>
      <c r="P48" s="215">
        <v>4.0665292739868164</v>
      </c>
      <c r="Q48" s="215">
        <v>4.2229342460632324</v>
      </c>
      <c r="R48" s="215">
        <v>3.7537193298339844</v>
      </c>
      <c r="S48" s="219">
        <v>4.2229342460632324</v>
      </c>
      <c r="T48" s="215">
        <v>4.2229342460632324</v>
      </c>
      <c r="U48" s="215">
        <v>3.5973143577575684</v>
      </c>
      <c r="V48" s="215">
        <v>4.5357441902160645</v>
      </c>
      <c r="W48" s="215">
        <v>5.3177690505981445</v>
      </c>
      <c r="X48" s="215">
        <v>4.6921491622924805</v>
      </c>
      <c r="Y48" s="215">
        <v>5.9433889389038086</v>
      </c>
      <c r="Z48" s="215">
        <v>5.1613640785217285</v>
      </c>
      <c r="AA48" s="215">
        <v>4.2229342460632324</v>
      </c>
      <c r="AB48" s="215">
        <v>4.8485541343688965</v>
      </c>
      <c r="AC48" s="215">
        <v>5.0049591064453125</v>
      </c>
      <c r="AD48" s="215">
        <v>5.0049591064453125</v>
      </c>
      <c r="AE48" s="215">
        <v>5.1613640785217285</v>
      </c>
      <c r="AF48" s="215">
        <v>4.3793392181396484</v>
      </c>
      <c r="AG48" s="215">
        <v>3.7537193298339844</v>
      </c>
      <c r="AH48" s="215">
        <v>5.1613640785217285</v>
      </c>
      <c r="AI48" s="215">
        <v>3.2845044136047363</v>
      </c>
      <c r="AJ48" s="215">
        <v>4.8485541343688965</v>
      </c>
      <c r="AK48" s="215">
        <v>3.9101243019104004</v>
      </c>
      <c r="AL48" s="47">
        <f t="shared" si="41"/>
        <v>4.6090590208768845</v>
      </c>
      <c r="AM48" s="47">
        <f t="shared" si="42"/>
        <v>0.56878100597197268</v>
      </c>
      <c r="AN48" s="56">
        <f t="shared" si="43"/>
        <v>0.12340501681485536</v>
      </c>
      <c r="AO48" s="15"/>
      <c r="AP48" s="15"/>
      <c r="AQ48" s="47"/>
      <c r="AR48" s="57"/>
      <c r="AS48" s="58"/>
    </row>
    <row r="49" spans="1:45">
      <c r="A49" s="286"/>
      <c r="B49" s="286"/>
      <c r="C49" s="312"/>
      <c r="D49" s="50">
        <f t="shared" si="44"/>
        <v>64</v>
      </c>
      <c r="E49" s="50">
        <f t="shared" si="2"/>
        <v>48</v>
      </c>
      <c r="F49" s="215">
        <v>4.2229342460632324</v>
      </c>
      <c r="G49" s="215">
        <v>4.3793392181396484</v>
      </c>
      <c r="H49" s="215">
        <v>4.0665292739868164</v>
      </c>
      <c r="I49" s="215">
        <v>4.5357441902160645</v>
      </c>
      <c r="J49" s="215">
        <v>4.2229342460632324</v>
      </c>
      <c r="K49" s="215">
        <v>4.0665292739868164</v>
      </c>
      <c r="L49" s="215">
        <v>4.2229342460632324</v>
      </c>
      <c r="M49" s="215">
        <v>4.3793392181396484</v>
      </c>
      <c r="N49" s="215">
        <v>4.0665292739868164</v>
      </c>
      <c r="O49" s="215">
        <v>3.9101243019104004</v>
      </c>
      <c r="P49" s="215">
        <v>3.4409093856811523</v>
      </c>
      <c r="Q49" s="215">
        <v>3.7537193298339844</v>
      </c>
      <c r="R49" s="215">
        <v>3.2845044136047363</v>
      </c>
      <c r="S49" s="219">
        <v>3.7537193298339844</v>
      </c>
      <c r="T49" s="215">
        <v>3.5973143577575684</v>
      </c>
      <c r="U49" s="215">
        <v>3.1280994415283203</v>
      </c>
      <c r="V49" s="215">
        <v>4.0665292739868164</v>
      </c>
      <c r="W49" s="215">
        <v>4.6921491622924805</v>
      </c>
      <c r="X49" s="215">
        <v>4.2229342460632324</v>
      </c>
      <c r="Y49" s="215">
        <v>5.1613640785217285</v>
      </c>
      <c r="Z49" s="215">
        <v>4.5357441902160645</v>
      </c>
      <c r="AA49" s="215">
        <v>3.7537193298339844</v>
      </c>
      <c r="AB49" s="215">
        <v>4.2229342460632324</v>
      </c>
      <c r="AC49" s="215">
        <v>4.5357441902160645</v>
      </c>
      <c r="AD49" s="215">
        <v>4.3793392181396484</v>
      </c>
      <c r="AE49" s="215">
        <v>4.5357441902160645</v>
      </c>
      <c r="AF49" s="215">
        <v>3.9101243019104004</v>
      </c>
      <c r="AG49" s="215">
        <v>3.4409093856811523</v>
      </c>
      <c r="AH49" s="215">
        <v>4.5357441902160645</v>
      </c>
      <c r="AI49" s="215">
        <v>2.9716944694519043</v>
      </c>
      <c r="AJ49" s="215">
        <v>4.3793392181396484</v>
      </c>
      <c r="AK49" s="215">
        <v>3.4409093856811523</v>
      </c>
      <c r="AL49" s="47">
        <f t="shared" si="41"/>
        <v>4.0567539632320404</v>
      </c>
      <c r="AM49" s="47">
        <f t="shared" si="42"/>
        <v>0.49608944810447841</v>
      </c>
      <c r="AN49" s="56">
        <f t="shared" si="43"/>
        <v>0.12228728993691325</v>
      </c>
      <c r="AO49" s="15"/>
      <c r="AP49" s="15"/>
      <c r="AQ49" s="47"/>
      <c r="AR49" s="57"/>
      <c r="AS49" s="58"/>
    </row>
    <row r="50" spans="1:45">
      <c r="A50" s="313"/>
      <c r="B50" s="313"/>
      <c r="C50" s="314"/>
      <c r="D50" s="79">
        <f t="shared" si="44"/>
        <v>50</v>
      </c>
      <c r="E50" s="79">
        <f t="shared" si="2"/>
        <v>49</v>
      </c>
      <c r="F50" s="217">
        <v>4.8485541343688965</v>
      </c>
      <c r="G50" s="217">
        <v>5.0049591064453125</v>
      </c>
      <c r="H50" s="217">
        <v>4.6921491622924805</v>
      </c>
      <c r="I50" s="217">
        <v>5.3177690505981445</v>
      </c>
      <c r="J50" s="217">
        <v>5.0049591064453125</v>
      </c>
      <c r="K50" s="217">
        <v>4.6921491622924805</v>
      </c>
      <c r="L50" s="217">
        <v>4.8485541343688965</v>
      </c>
      <c r="M50" s="217">
        <v>5.0049591064453125</v>
      </c>
      <c r="N50" s="217">
        <v>4.8485541343688965</v>
      </c>
      <c r="O50" s="217">
        <v>4.6921491622924805</v>
      </c>
      <c r="P50" s="217">
        <v>4.0665292739868164</v>
      </c>
      <c r="Q50" s="217">
        <v>4.3793392181396484</v>
      </c>
      <c r="R50" s="217">
        <v>3.9101243019104004</v>
      </c>
      <c r="S50" s="220">
        <v>4.3793392181396484</v>
      </c>
      <c r="T50" s="217">
        <v>4.2229342460632324</v>
      </c>
      <c r="U50" s="217">
        <v>3.7537193298339844</v>
      </c>
      <c r="V50" s="217">
        <v>4.6921491622924805</v>
      </c>
      <c r="W50" s="217">
        <v>5.3177690505981445</v>
      </c>
      <c r="X50" s="217">
        <v>4.8485541343688965</v>
      </c>
      <c r="Y50" s="217">
        <v>6.0997939109802246</v>
      </c>
      <c r="Z50" s="217">
        <v>5.3177690505981445</v>
      </c>
      <c r="AA50" s="217">
        <v>4.2229342460632324</v>
      </c>
      <c r="AB50" s="217">
        <v>5.0049591064453125</v>
      </c>
      <c r="AC50" s="217">
        <v>5.1613640785217285</v>
      </c>
      <c r="AD50" s="217">
        <v>5.0049591064453125</v>
      </c>
      <c r="AE50" s="217">
        <v>5.3177690505981445</v>
      </c>
      <c r="AF50" s="217">
        <v>4.5357441902160645</v>
      </c>
      <c r="AG50" s="217">
        <v>3.9101243019104004</v>
      </c>
      <c r="AH50" s="217">
        <v>5.3177690505981445</v>
      </c>
      <c r="AI50" s="217">
        <v>3.4409093856811523</v>
      </c>
      <c r="AJ50" s="217">
        <v>5.0049591064453125</v>
      </c>
      <c r="AK50" s="217">
        <v>3.9101243019104004</v>
      </c>
      <c r="AL50" s="80">
        <f t="shared" si="41"/>
        <v>4.7116997838020325</v>
      </c>
      <c r="AM50" s="80">
        <f t="shared" si="42"/>
        <v>0.57260511369411804</v>
      </c>
      <c r="AN50" s="81">
        <f t="shared" si="43"/>
        <v>0.12152835281709382</v>
      </c>
      <c r="AO50" s="82"/>
      <c r="AP50" s="82"/>
      <c r="AQ50" s="80"/>
      <c r="AR50" s="84"/>
      <c r="AS50" s="85"/>
    </row>
    <row r="51" spans="1:45">
      <c r="A51" s="286" t="s">
        <v>52</v>
      </c>
      <c r="B51" s="286" t="str">
        <f>B39</f>
        <v>LO</v>
      </c>
      <c r="C51" s="89" t="str">
        <f>C45</f>
        <v>R</v>
      </c>
      <c r="D51" s="50">
        <f>D45</f>
        <v>0</v>
      </c>
      <c r="E51" s="93">
        <f t="shared" ref="E51:E63" si="45">ROW(E51)-1</f>
        <v>50</v>
      </c>
      <c r="F51" s="215">
        <v>0.7610437273979187</v>
      </c>
      <c r="G51" s="215">
        <v>0.7782101035118103</v>
      </c>
      <c r="H51" s="215">
        <v>0.72098881006240845</v>
      </c>
      <c r="I51" s="215">
        <v>0.7782101035118103</v>
      </c>
      <c r="J51" s="215">
        <v>0.63515681028366089</v>
      </c>
      <c r="K51" s="215">
        <v>0.73815518617630005</v>
      </c>
      <c r="L51" s="215">
        <v>0.74959945678710938</v>
      </c>
      <c r="M51" s="215">
        <v>0.68093383312225342</v>
      </c>
      <c r="N51" s="215">
        <v>0.61226826906204224</v>
      </c>
      <c r="O51" s="215">
        <v>0.68665599822998047</v>
      </c>
      <c r="P51" s="215">
        <v>0.49782559275627136</v>
      </c>
      <c r="Q51" s="215">
        <v>0.60654610395431519</v>
      </c>
      <c r="R51" s="215">
        <v>0.50354772806167603</v>
      </c>
      <c r="S51" s="219">
        <v>0.64087891578674316</v>
      </c>
      <c r="T51" s="215">
        <v>0.52071410417556763</v>
      </c>
      <c r="U51" s="215">
        <v>0.55504691600799561</v>
      </c>
      <c r="V51" s="215">
        <v>0.69810026884078979</v>
      </c>
      <c r="W51" s="215">
        <v>0.80682080984115601</v>
      </c>
      <c r="X51" s="215">
        <v>0.75532156229019165</v>
      </c>
      <c r="Y51" s="215">
        <v>0.86404210329055786</v>
      </c>
      <c r="Z51" s="215">
        <v>0.82398718595504761</v>
      </c>
      <c r="AA51" s="215">
        <v>0.69237810373306274</v>
      </c>
      <c r="AB51" s="215">
        <v>0.82398718595504761</v>
      </c>
      <c r="AC51" s="215">
        <v>0.85259783267974854</v>
      </c>
      <c r="AD51" s="215">
        <v>0.63515681028366089</v>
      </c>
      <c r="AE51" s="215">
        <v>0.61799037456512451</v>
      </c>
      <c r="AF51" s="215">
        <v>0.68093383312225342</v>
      </c>
      <c r="AG51" s="215">
        <v>0.58365756273269653</v>
      </c>
      <c r="AH51" s="215">
        <v>0.64660108089447021</v>
      </c>
      <c r="AI51" s="215">
        <v>0.46349278092384338</v>
      </c>
      <c r="AJ51" s="215">
        <v>0.74387729167938232</v>
      </c>
      <c r="AK51" s="215">
        <v>0.52643626928329468</v>
      </c>
      <c r="AL51" s="47">
        <f>AVERAGE(F51:AK51)</f>
        <v>0.67753633484244347</v>
      </c>
      <c r="AM51" s="47">
        <f>STDEV(F51:AK51)</f>
        <v>0.10963339917215288</v>
      </c>
      <c r="AN51" s="56">
        <f>AM51/AL51</f>
        <v>0.16181183729083312</v>
      </c>
      <c r="AO51" s="47"/>
      <c r="AP51" s="47" t="s">
        <v>46</v>
      </c>
      <c r="AQ51" s="15">
        <f>Calibration!D31</f>
        <v>755</v>
      </c>
      <c r="AR51" s="15" t="s">
        <v>57</v>
      </c>
      <c r="AS51" s="51">
        <f>AQ51/SUM(AQ51:AQ53)</f>
        <v>0.39013047409895363</v>
      </c>
    </row>
    <row r="52" spans="1:45">
      <c r="A52" s="286"/>
      <c r="B52" s="286"/>
      <c r="C52" s="87" t="str">
        <f>C46</f>
        <v>G</v>
      </c>
      <c r="D52" s="50">
        <f t="shared" ref="D52:D56" si="46">D46</f>
        <v>0</v>
      </c>
      <c r="E52" s="50">
        <f t="shared" si="45"/>
        <v>51</v>
      </c>
      <c r="F52" s="215">
        <v>4.1313800811767578</v>
      </c>
      <c r="G52" s="215">
        <v>4.4060425758361816</v>
      </c>
      <c r="H52" s="215">
        <v>4.0398259162902832</v>
      </c>
      <c r="I52" s="215">
        <v>4.697871208190918</v>
      </c>
      <c r="J52" s="215">
        <v>4.2401008605957031</v>
      </c>
      <c r="K52" s="215">
        <v>4.2057681083679199</v>
      </c>
      <c r="L52" s="215">
        <v>4.3602657318115234</v>
      </c>
      <c r="M52" s="215">
        <v>4.1886014938354492</v>
      </c>
      <c r="N52" s="215">
        <v>3.9883267879486084</v>
      </c>
      <c r="O52" s="215">
        <v>3.8109407424926758</v>
      </c>
      <c r="P52" s="215">
        <v>3.4847791194915771</v>
      </c>
      <c r="Q52" s="215">
        <v>4.0455479621887207</v>
      </c>
      <c r="R52" s="215">
        <v>3.5019454956054687</v>
      </c>
      <c r="S52" s="219">
        <v>3.7422752380371094</v>
      </c>
      <c r="T52" s="215">
        <v>3.7422752380371094</v>
      </c>
      <c r="U52" s="215">
        <v>3.3417258262634277</v>
      </c>
      <c r="V52" s="215">
        <v>4.1771574020385742</v>
      </c>
      <c r="W52" s="215">
        <v>4.5834288597106934</v>
      </c>
      <c r="X52" s="215">
        <v>4.5891509056091309</v>
      </c>
      <c r="Y52" s="215">
        <v>4.7150378227233887</v>
      </c>
      <c r="Z52" s="215">
        <v>4.846646785736084</v>
      </c>
      <c r="AA52" s="215">
        <v>3.7823300361633301</v>
      </c>
      <c r="AB52" s="215">
        <v>4.2801556587219238</v>
      </c>
      <c r="AC52" s="215">
        <v>4.5548181533813477</v>
      </c>
      <c r="AD52" s="215">
        <v>4.5033187866210937</v>
      </c>
      <c r="AE52" s="215">
        <v>4.3717098236083984</v>
      </c>
      <c r="AF52" s="215">
        <v>3.8738842010498047</v>
      </c>
      <c r="AG52" s="215">
        <v>3.4390020370483398</v>
      </c>
      <c r="AH52" s="215">
        <v>4.5433735847473145</v>
      </c>
      <c r="AI52" s="215">
        <v>3.1071183681488037</v>
      </c>
      <c r="AJ52" s="215">
        <v>4.3430991172790527</v>
      </c>
      <c r="AK52" s="215">
        <v>3.4332799911499023</v>
      </c>
      <c r="AL52" s="47">
        <f t="shared" ref="AL52:AL56" si="47">AVERAGE(F52:AK52)</f>
        <v>4.0959744974970818</v>
      </c>
      <c r="AM52" s="47">
        <f t="shared" ref="AM52:AM56" si="48">STDEV(F52:AK52)</f>
        <v>0.45412544226777712</v>
      </c>
      <c r="AN52" s="56">
        <f t="shared" ref="AN52:AN56" si="49">AM52/AL52</f>
        <v>0.11087115960933804</v>
      </c>
      <c r="AO52" s="47"/>
      <c r="AP52" s="47" t="s">
        <v>47</v>
      </c>
      <c r="AQ52" s="15">
        <f>Calibration!E31</f>
        <v>790</v>
      </c>
      <c r="AR52" s="15" t="s">
        <v>58</v>
      </c>
      <c r="AS52" s="51">
        <f>AQ52/SUM(AQ51:AQ53)</f>
        <v>0.40821599276579251</v>
      </c>
    </row>
    <row r="53" spans="1:45">
      <c r="A53" s="286"/>
      <c r="B53" s="286"/>
      <c r="C53" s="88" t="str">
        <f>C47</f>
        <v>B</v>
      </c>
      <c r="D53" s="50">
        <f t="shared" si="46"/>
        <v>0</v>
      </c>
      <c r="E53" s="50">
        <f t="shared" si="45"/>
        <v>52</v>
      </c>
      <c r="F53" s="215">
        <v>3.2959487438201904</v>
      </c>
      <c r="G53" s="215">
        <v>3.4504463672637939</v>
      </c>
      <c r="H53" s="215">
        <v>3.3360037803649902</v>
      </c>
      <c r="I53" s="215">
        <v>3.7651636600494385</v>
      </c>
      <c r="J53" s="215">
        <v>3.4103913307189941</v>
      </c>
      <c r="K53" s="215">
        <v>3.3417258262634277</v>
      </c>
      <c r="L53" s="215">
        <v>3.5191118717193604</v>
      </c>
      <c r="M53" s="215">
        <v>3.2101166248321533</v>
      </c>
      <c r="N53" s="215">
        <v>3.1471731662750244</v>
      </c>
      <c r="O53" s="215">
        <v>3.0155642032623291</v>
      </c>
      <c r="P53" s="215">
        <v>2.6722362041473389</v>
      </c>
      <c r="Q53" s="215">
        <v>3.0212862491607666</v>
      </c>
      <c r="R53" s="215">
        <v>2.6035706996917725</v>
      </c>
      <c r="S53" s="219">
        <v>2.9297323226928711</v>
      </c>
      <c r="T53" s="215">
        <v>2.8038451671600342</v>
      </c>
      <c r="U53" s="215">
        <v>2.5520713329315186</v>
      </c>
      <c r="V53" s="215">
        <v>3.1700618267059326</v>
      </c>
      <c r="W53" s="215">
        <v>3.473334789276123</v>
      </c>
      <c r="X53" s="215">
        <v>3.4847791194915771</v>
      </c>
      <c r="Y53" s="215">
        <v>3.919661283493042</v>
      </c>
      <c r="Z53" s="215">
        <v>3.6964981555938721</v>
      </c>
      <c r="AA53" s="215">
        <v>2.9697871208190918</v>
      </c>
      <c r="AB53" s="215">
        <v>3.536278247833252</v>
      </c>
      <c r="AC53" s="215">
        <v>3.524834156036377</v>
      </c>
      <c r="AD53" s="215">
        <v>3.6964981555938721</v>
      </c>
      <c r="AE53" s="215">
        <v>3.5420005321502686</v>
      </c>
      <c r="AF53" s="215">
        <v>3.152895450592041</v>
      </c>
      <c r="AG53" s="215">
        <v>2.6035706996917725</v>
      </c>
      <c r="AH53" s="215">
        <v>3.6335546970367432</v>
      </c>
      <c r="AI53" s="215">
        <v>2.3060197830200195</v>
      </c>
      <c r="AJ53" s="215">
        <v>3.313115119934082</v>
      </c>
      <c r="AK53" s="215">
        <v>2.6436254978179932</v>
      </c>
      <c r="AL53" s="47">
        <f t="shared" si="47"/>
        <v>3.210653193295002</v>
      </c>
      <c r="AM53" s="47">
        <f t="shared" si="48"/>
        <v>0.40754818977207946</v>
      </c>
      <c r="AN53" s="56">
        <f t="shared" si="49"/>
        <v>0.12693622301629667</v>
      </c>
      <c r="AO53" s="15"/>
      <c r="AP53" s="15" t="s">
        <v>48</v>
      </c>
      <c r="AQ53" s="15">
        <f>Calibration!F31</f>
        <v>390.25</v>
      </c>
      <c r="AR53" s="15" t="s">
        <v>56</v>
      </c>
      <c r="AS53" s="52">
        <f>getCCTfromXY(AS51,AS52,0)</f>
        <v>3998</v>
      </c>
    </row>
    <row r="54" spans="1:45">
      <c r="A54" s="286"/>
      <c r="B54" s="286"/>
      <c r="C54" s="312" t="str">
        <f>C52</f>
        <v>G</v>
      </c>
      <c r="D54" s="50">
        <f t="shared" si="46"/>
        <v>63</v>
      </c>
      <c r="E54" s="50">
        <f t="shared" si="2"/>
        <v>53</v>
      </c>
      <c r="F54" s="215">
        <v>3.6907758712768555</v>
      </c>
      <c r="G54" s="215">
        <v>3.9539940357208252</v>
      </c>
      <c r="H54" s="215">
        <v>3.610666036605835</v>
      </c>
      <c r="I54" s="215">
        <v>4.2057681083679199</v>
      </c>
      <c r="J54" s="215">
        <v>3.7823300361633301</v>
      </c>
      <c r="K54" s="215">
        <v>3.759441614151001</v>
      </c>
      <c r="L54" s="215">
        <v>3.9024949073791504</v>
      </c>
      <c r="M54" s="215">
        <v>3.7365529537200928</v>
      </c>
      <c r="N54" s="215">
        <v>3.5591669082641602</v>
      </c>
      <c r="O54" s="215">
        <v>3.4103913307189941</v>
      </c>
      <c r="P54" s="215">
        <v>3.1013960838317871</v>
      </c>
      <c r="Q54" s="215">
        <v>3.6221103668212891</v>
      </c>
      <c r="R54" s="215">
        <v>3.1300067901611328</v>
      </c>
      <c r="S54" s="219">
        <v>3.3474478721618652</v>
      </c>
      <c r="T54" s="215">
        <v>3.3646142482757568</v>
      </c>
      <c r="U54" s="215">
        <v>2.9869534969329834</v>
      </c>
      <c r="V54" s="215">
        <v>3.7422752380371094</v>
      </c>
      <c r="W54" s="215">
        <v>4.1256580352783203</v>
      </c>
      <c r="X54" s="215">
        <v>4.1371021270751953</v>
      </c>
      <c r="Y54" s="215">
        <v>4.2286562919616699</v>
      </c>
      <c r="Z54" s="215">
        <v>4.3488211631774902</v>
      </c>
      <c r="AA54" s="215">
        <v>3.3817806243896484</v>
      </c>
      <c r="AB54" s="215">
        <v>3.8281071186065674</v>
      </c>
      <c r="AC54" s="215">
        <v>4.0856032371520996</v>
      </c>
      <c r="AD54" s="215">
        <v>4.0169377326965332</v>
      </c>
      <c r="AE54" s="215">
        <v>3.8796062469482422</v>
      </c>
      <c r="AF54" s="215">
        <v>3.473334789276123</v>
      </c>
      <c r="AG54" s="215">
        <v>3.0727856159210205</v>
      </c>
      <c r="AH54" s="215">
        <v>4.0455479621887207</v>
      </c>
      <c r="AI54" s="215">
        <v>2.7752346992492676</v>
      </c>
      <c r="AJ54" s="215">
        <v>3.9139389991760254</v>
      </c>
      <c r="AK54" s="215">
        <v>3.078507661819458</v>
      </c>
      <c r="AL54" s="47">
        <f t="shared" si="47"/>
        <v>3.6655627563595772</v>
      </c>
      <c r="AM54" s="47">
        <f t="shared" si="48"/>
        <v>0.40980830757155978</v>
      </c>
      <c r="AN54" s="56">
        <f t="shared" si="49"/>
        <v>0.11179956116166934</v>
      </c>
      <c r="AO54" s="15"/>
      <c r="AP54" s="15"/>
      <c r="AQ54" s="15"/>
      <c r="AR54" s="15"/>
      <c r="AS54" s="52"/>
    </row>
    <row r="55" spans="1:45">
      <c r="A55" s="286"/>
      <c r="B55" s="286"/>
      <c r="C55" s="312"/>
      <c r="D55" s="50">
        <f t="shared" si="46"/>
        <v>64</v>
      </c>
      <c r="E55" s="50">
        <f t="shared" si="2"/>
        <v>54</v>
      </c>
      <c r="F55" s="215">
        <v>3.1929502487182617</v>
      </c>
      <c r="G55" s="215">
        <v>3.4390020370483398</v>
      </c>
      <c r="H55" s="215">
        <v>3.1185626983642578</v>
      </c>
      <c r="I55" s="215">
        <v>3.610666036605835</v>
      </c>
      <c r="J55" s="215">
        <v>3.2501716613769531</v>
      </c>
      <c r="K55" s="215">
        <v>3.2444496154785156</v>
      </c>
      <c r="L55" s="215">
        <v>3.3474478721618652</v>
      </c>
      <c r="M55" s="215">
        <v>3.2043945789337158</v>
      </c>
      <c r="N55" s="215">
        <v>3.0670633316040039</v>
      </c>
      <c r="O55" s="215">
        <v>2.9468986988067627</v>
      </c>
      <c r="P55" s="215">
        <v>2.6493477821350098</v>
      </c>
      <c r="Q55" s="215">
        <v>3.0956740379333496</v>
      </c>
      <c r="R55" s="215">
        <v>2.6894025802612305</v>
      </c>
      <c r="S55" s="219">
        <v>2.8953993320465088</v>
      </c>
      <c r="T55" s="215">
        <v>2.8839552402496338</v>
      </c>
      <c r="U55" s="215">
        <v>2.5806820392608643</v>
      </c>
      <c r="V55" s="215">
        <v>3.2330052852630615</v>
      </c>
      <c r="W55" s="215">
        <v>3.5763332843780518</v>
      </c>
      <c r="X55" s="215">
        <v>3.6049439907073975</v>
      </c>
      <c r="Y55" s="215">
        <v>3.6507210731506348</v>
      </c>
      <c r="Z55" s="215">
        <v>3.7308309078216553</v>
      </c>
      <c r="AA55" s="215">
        <v>2.9240100383758545</v>
      </c>
      <c r="AB55" s="215">
        <v>3.3073930740356445</v>
      </c>
      <c r="AC55" s="215">
        <v>3.5477225780487061</v>
      </c>
      <c r="AD55" s="215">
        <v>3.4103913307189941</v>
      </c>
      <c r="AE55" s="215">
        <v>3.3016707897186279</v>
      </c>
      <c r="AF55" s="215">
        <v>2.9812314510345459</v>
      </c>
      <c r="AG55" s="215">
        <v>2.6665141582489014</v>
      </c>
      <c r="AH55" s="215">
        <v>3.4218356609344482</v>
      </c>
      <c r="AI55" s="215">
        <v>2.3804073333740234</v>
      </c>
      <c r="AJ55" s="215">
        <v>3.3989472389221191</v>
      </c>
      <c r="AK55" s="215">
        <v>2.6264591217041016</v>
      </c>
      <c r="AL55" s="47">
        <f t="shared" si="47"/>
        <v>3.1555776596069336</v>
      </c>
      <c r="AM55" s="47">
        <f t="shared" si="48"/>
        <v>0.35492402465769768</v>
      </c>
      <c r="AN55" s="56">
        <f t="shared" si="49"/>
        <v>0.11247513544062417</v>
      </c>
      <c r="AO55" s="15"/>
      <c r="AP55" s="15"/>
      <c r="AQ55" s="15"/>
      <c r="AR55" s="15"/>
      <c r="AS55" s="52"/>
    </row>
    <row r="56" spans="1:45">
      <c r="A56" s="286"/>
      <c r="B56" s="286"/>
      <c r="C56" s="312"/>
      <c r="D56" s="50">
        <f t="shared" si="46"/>
        <v>50</v>
      </c>
      <c r="E56" s="50">
        <f t="shared" si="2"/>
        <v>55</v>
      </c>
      <c r="F56" s="215">
        <v>3.7880520820617676</v>
      </c>
      <c r="G56" s="215">
        <v>4.0512704849243164</v>
      </c>
      <c r="H56" s="215">
        <v>3.7022202014923096</v>
      </c>
      <c r="I56" s="215">
        <v>4.3087663650512695</v>
      </c>
      <c r="J56" s="215">
        <v>3.8853285312652588</v>
      </c>
      <c r="K56" s="215">
        <v>3.8624398708343506</v>
      </c>
      <c r="L56" s="215">
        <v>4.0054931640625</v>
      </c>
      <c r="M56" s="215">
        <v>3.8281071186065674</v>
      </c>
      <c r="N56" s="215">
        <v>3.6507210731506348</v>
      </c>
      <c r="O56" s="215">
        <v>3.4905011653900146</v>
      </c>
      <c r="P56" s="215">
        <v>3.152895450592041</v>
      </c>
      <c r="Q56" s="215">
        <v>3.7079422473907471</v>
      </c>
      <c r="R56" s="215">
        <v>3.2043945789337158</v>
      </c>
      <c r="S56" s="219">
        <v>3.4332799911499023</v>
      </c>
      <c r="T56" s="215">
        <v>3.4447240829467773</v>
      </c>
      <c r="U56" s="215">
        <v>3.0613412857055664</v>
      </c>
      <c r="V56" s="215">
        <v>3.8395514488220215</v>
      </c>
      <c r="W56" s="215">
        <v>4.2229342460632324</v>
      </c>
      <c r="X56" s="215">
        <v>4.2229342460632324</v>
      </c>
      <c r="Y56" s="215">
        <v>4.3202104568481445</v>
      </c>
      <c r="Z56" s="215">
        <v>4.4518194198608398</v>
      </c>
      <c r="AA56" s="215">
        <v>3.473334789276123</v>
      </c>
      <c r="AB56" s="215">
        <v>3.9253833293914795</v>
      </c>
      <c r="AC56" s="215">
        <v>4.1771574020385742</v>
      </c>
      <c r="AD56" s="215">
        <v>4.1199359893798828</v>
      </c>
      <c r="AE56" s="215">
        <v>3.9883267879486084</v>
      </c>
      <c r="AF56" s="215">
        <v>3.5477225780487061</v>
      </c>
      <c r="AG56" s="215">
        <v>3.1586174964904785</v>
      </c>
      <c r="AH56" s="215">
        <v>4.1485466957092285</v>
      </c>
      <c r="AI56" s="215">
        <v>2.843900203704834</v>
      </c>
      <c r="AJ56" s="215">
        <v>3.9997711181640625</v>
      </c>
      <c r="AK56" s="215">
        <v>3.1471731662750244</v>
      </c>
      <c r="AL56" s="47">
        <f t="shared" si="47"/>
        <v>3.7551499083638191</v>
      </c>
      <c r="AM56" s="47">
        <f t="shared" si="48"/>
        <v>0.41975005622066625</v>
      </c>
      <c r="AN56" s="56">
        <f t="shared" si="49"/>
        <v>0.11177984007662647</v>
      </c>
      <c r="AO56" s="15"/>
      <c r="AP56" s="15"/>
      <c r="AQ56" s="15"/>
      <c r="AR56" s="15"/>
      <c r="AS56" s="52"/>
    </row>
    <row r="57" spans="1:45">
      <c r="A57" s="286"/>
      <c r="B57" s="286" t="str">
        <f>B45</f>
        <v>HI</v>
      </c>
      <c r="C57" s="89" t="str">
        <f>C51</f>
        <v>R</v>
      </c>
      <c r="D57" s="50">
        <f>D51</f>
        <v>0</v>
      </c>
      <c r="E57" s="90">
        <f t="shared" si="45"/>
        <v>56</v>
      </c>
      <c r="F57" s="215">
        <v>0.93842983245849609</v>
      </c>
      <c r="G57" s="215">
        <v>0.93842983245849609</v>
      </c>
      <c r="H57" s="215">
        <v>0.78202486038208008</v>
      </c>
      <c r="I57" s="215">
        <v>0.93842983245849609</v>
      </c>
      <c r="J57" s="215">
        <v>0.78202486038208008</v>
      </c>
      <c r="K57" s="215">
        <v>0.78202486038208008</v>
      </c>
      <c r="L57" s="215">
        <v>0.93842983245849609</v>
      </c>
      <c r="M57" s="215">
        <v>0.78202486038208008</v>
      </c>
      <c r="N57" s="215">
        <v>0.78202486038208008</v>
      </c>
      <c r="O57" s="215">
        <v>0.78202486038208008</v>
      </c>
      <c r="P57" s="215">
        <v>0.78202486038208008</v>
      </c>
      <c r="Q57" s="215">
        <v>0.62561988830566406</v>
      </c>
      <c r="R57" s="215">
        <v>0.62561988830566406</v>
      </c>
      <c r="S57" s="219">
        <v>0.78202486038208008</v>
      </c>
      <c r="T57" s="215">
        <v>0.62561988830566406</v>
      </c>
      <c r="U57" s="215">
        <v>0.62561988830566406</v>
      </c>
      <c r="V57" s="215">
        <v>0.78202486038208008</v>
      </c>
      <c r="W57" s="215">
        <v>0.93842983245849609</v>
      </c>
      <c r="X57" s="215">
        <v>0.78202486038208008</v>
      </c>
      <c r="Y57" s="215">
        <v>1.0948348045349121</v>
      </c>
      <c r="Z57" s="215">
        <v>0.93842983245849609</v>
      </c>
      <c r="AA57" s="215">
        <v>0.78202486038208008</v>
      </c>
      <c r="AB57" s="215">
        <v>0.93842983245849609</v>
      </c>
      <c r="AC57" s="215">
        <v>0.93842983245849609</v>
      </c>
      <c r="AD57" s="215">
        <v>0.78202486038208008</v>
      </c>
      <c r="AE57" s="215">
        <v>0.78202486038208008</v>
      </c>
      <c r="AF57" s="215">
        <v>0.78202486038208008</v>
      </c>
      <c r="AG57" s="215">
        <v>0.62561988830566406</v>
      </c>
      <c r="AH57" s="215">
        <v>0.78202486038208008</v>
      </c>
      <c r="AI57" s="215">
        <v>0.46921491622924805</v>
      </c>
      <c r="AJ57" s="215">
        <v>0.93842983245849609</v>
      </c>
      <c r="AK57" s="215">
        <v>0.62561988830566406</v>
      </c>
      <c r="AL57" s="47">
        <f>AVERAGE(F57:AK57)</f>
        <v>0.79668782651424408</v>
      </c>
      <c r="AM57" s="47">
        <f>STDEV(F57:AK57)</f>
        <v>0.13389424922602011</v>
      </c>
      <c r="AN57" s="56">
        <f>AM57/AL57</f>
        <v>0.16806363141238007</v>
      </c>
      <c r="AO57" s="15"/>
      <c r="AP57" s="15"/>
      <c r="AQ57" s="48" t="s">
        <v>39</v>
      </c>
      <c r="AR57" s="57" t="s">
        <v>59</v>
      </c>
      <c r="AS57" s="58">
        <f>AQ52/AL52</f>
        <v>192.87229461090237</v>
      </c>
    </row>
    <row r="58" spans="1:45">
      <c r="A58" s="286"/>
      <c r="B58" s="286"/>
      <c r="C58" s="87" t="str">
        <f>C52</f>
        <v>G</v>
      </c>
      <c r="D58" s="50">
        <f t="shared" ref="D58:D62" si="50">D52</f>
        <v>0</v>
      </c>
      <c r="E58" s="50">
        <f t="shared" si="45"/>
        <v>57</v>
      </c>
      <c r="F58" s="215">
        <v>4.5357441902160645</v>
      </c>
      <c r="G58" s="215">
        <v>4.6921491622924805</v>
      </c>
      <c r="H58" s="215">
        <v>4.3793392181396484</v>
      </c>
      <c r="I58" s="215">
        <v>5.0049591064453125</v>
      </c>
      <c r="J58" s="215">
        <v>4.6921491622924805</v>
      </c>
      <c r="K58" s="215">
        <v>4.5357441902160645</v>
      </c>
      <c r="L58" s="215">
        <v>4.5357441902160645</v>
      </c>
      <c r="M58" s="215">
        <v>4.6921491622924805</v>
      </c>
      <c r="N58" s="215">
        <v>4.5357441902160645</v>
      </c>
      <c r="O58" s="215">
        <v>4.3793392181396484</v>
      </c>
      <c r="P58" s="215">
        <v>3.9101243019104004</v>
      </c>
      <c r="Q58" s="215">
        <v>4.0665292739868164</v>
      </c>
      <c r="R58" s="215">
        <v>3.5973143577575684</v>
      </c>
      <c r="S58" s="219">
        <v>4.0665292739868164</v>
      </c>
      <c r="T58" s="215">
        <v>4.0665292739868164</v>
      </c>
      <c r="U58" s="215">
        <v>3.5973143577575684</v>
      </c>
      <c r="V58" s="215">
        <v>4.3793392181396484</v>
      </c>
      <c r="W58" s="215">
        <v>5.0049591064453125</v>
      </c>
      <c r="X58" s="215">
        <v>4.5357441902160645</v>
      </c>
      <c r="Y58" s="215">
        <v>5.6305789947509766</v>
      </c>
      <c r="Z58" s="215">
        <v>5.0049591064453125</v>
      </c>
      <c r="AA58" s="215">
        <v>4.0665292739868164</v>
      </c>
      <c r="AB58" s="215">
        <v>4.6921491622924805</v>
      </c>
      <c r="AC58" s="215">
        <v>4.8485541343688965</v>
      </c>
      <c r="AD58" s="215">
        <v>4.8485541343688965</v>
      </c>
      <c r="AE58" s="215">
        <v>5.0049591064453125</v>
      </c>
      <c r="AF58" s="215">
        <v>4.2229342460632324</v>
      </c>
      <c r="AG58" s="215">
        <v>3.7537193298339844</v>
      </c>
      <c r="AH58" s="215">
        <v>5.1613640785217285</v>
      </c>
      <c r="AI58" s="215">
        <v>3.2845044136047363</v>
      </c>
      <c r="AJ58" s="215">
        <v>4.6921491622924805</v>
      </c>
      <c r="AK58" s="215">
        <v>3.7537193298339844</v>
      </c>
      <c r="AL58" s="47">
        <f t="shared" ref="AL58:AL62" si="51">AVERAGE(F58:AK58)</f>
        <v>4.4428787380456924</v>
      </c>
      <c r="AM58" s="47">
        <f t="shared" ref="AM58:AM62" si="52">STDEV(F58:AK58)</f>
        <v>0.52382203449733511</v>
      </c>
      <c r="AN58" s="56">
        <f t="shared" ref="AN58:AN62" si="53">AM58/AL58</f>
        <v>0.11790149256419968</v>
      </c>
      <c r="AO58" s="15"/>
      <c r="AP58" s="15"/>
      <c r="AQ58" s="49">
        <f>MAX(F51:AK53)</f>
        <v>4.846646785736084</v>
      </c>
      <c r="AR58" s="57" t="s">
        <v>60</v>
      </c>
      <c r="AS58" s="58">
        <f>AQ52/AL58</f>
        <v>177.81264053754043</v>
      </c>
    </row>
    <row r="59" spans="1:45">
      <c r="A59" s="286"/>
      <c r="B59" s="286"/>
      <c r="C59" s="88" t="str">
        <f>C53</f>
        <v>B</v>
      </c>
      <c r="D59" s="50">
        <f t="shared" si="50"/>
        <v>0</v>
      </c>
      <c r="E59" s="50">
        <f t="shared" si="45"/>
        <v>58</v>
      </c>
      <c r="F59" s="215">
        <v>3.7537193298339844</v>
      </c>
      <c r="G59" s="215">
        <v>3.7537193298339844</v>
      </c>
      <c r="H59" s="215">
        <v>3.5973143577575684</v>
      </c>
      <c r="I59" s="215">
        <v>4.0665292739868164</v>
      </c>
      <c r="J59" s="215">
        <v>3.7537193298339844</v>
      </c>
      <c r="K59" s="215">
        <v>3.5973143577575684</v>
      </c>
      <c r="L59" s="215">
        <v>3.7537193298339844</v>
      </c>
      <c r="M59" s="215">
        <v>3.5973143577575684</v>
      </c>
      <c r="N59" s="215">
        <v>3.5973143577575684</v>
      </c>
      <c r="O59" s="215">
        <v>3.4409093856811523</v>
      </c>
      <c r="P59" s="215">
        <v>3.1280994415283203</v>
      </c>
      <c r="Q59" s="215">
        <v>3.1280994415283203</v>
      </c>
      <c r="R59" s="215">
        <v>2.8152894973754883</v>
      </c>
      <c r="S59" s="219">
        <v>3.2845044136047363</v>
      </c>
      <c r="T59" s="215">
        <v>2.9716944694519043</v>
      </c>
      <c r="U59" s="215">
        <v>2.6588845252990723</v>
      </c>
      <c r="V59" s="215">
        <v>3.2845044136047363</v>
      </c>
      <c r="W59" s="215">
        <v>3.7537193298339844</v>
      </c>
      <c r="X59" s="215">
        <v>3.4409093856811523</v>
      </c>
      <c r="Y59" s="215">
        <v>4.6921491622924805</v>
      </c>
      <c r="Z59" s="215">
        <v>3.7537193298339844</v>
      </c>
      <c r="AA59" s="215">
        <v>3.1280994415283203</v>
      </c>
      <c r="AB59" s="215">
        <v>3.9101243019104004</v>
      </c>
      <c r="AC59" s="215">
        <v>3.7537193298339844</v>
      </c>
      <c r="AD59" s="215">
        <v>3.9101243019104004</v>
      </c>
      <c r="AE59" s="215">
        <v>4.0665292739868164</v>
      </c>
      <c r="AF59" s="215">
        <v>3.4409093856811523</v>
      </c>
      <c r="AG59" s="215">
        <v>2.8152894973754883</v>
      </c>
      <c r="AH59" s="215">
        <v>4.0665292739868164</v>
      </c>
      <c r="AI59" s="215">
        <v>2.5024795532226563</v>
      </c>
      <c r="AJ59" s="215">
        <v>3.5973143577575684</v>
      </c>
      <c r="AK59" s="215">
        <v>2.9716944694519043</v>
      </c>
      <c r="AL59" s="47">
        <f t="shared" si="51"/>
        <v>3.4995612502098083</v>
      </c>
      <c r="AM59" s="47">
        <f t="shared" si="52"/>
        <v>0.47298377128193853</v>
      </c>
      <c r="AN59" s="56">
        <f t="shared" si="53"/>
        <v>0.13515516302324523</v>
      </c>
      <c r="AO59" s="15"/>
      <c r="AP59" s="15"/>
      <c r="AQ59" s="6"/>
      <c r="AR59" s="57" t="s">
        <v>62</v>
      </c>
      <c r="AS59" s="58">
        <f>AS57/AS58</f>
        <v>1.0846939454238771</v>
      </c>
    </row>
    <row r="60" spans="1:45">
      <c r="A60" s="286"/>
      <c r="B60" s="286"/>
      <c r="C60" s="312" t="str">
        <f>C58</f>
        <v>G</v>
      </c>
      <c r="D60" s="50">
        <f t="shared" si="50"/>
        <v>63</v>
      </c>
      <c r="E60" s="50">
        <f t="shared" si="2"/>
        <v>59</v>
      </c>
      <c r="F60" s="215">
        <v>4.0665292739868164</v>
      </c>
      <c r="G60" s="215">
        <v>4.2229342460632324</v>
      </c>
      <c r="H60" s="215">
        <v>3.9101243019104004</v>
      </c>
      <c r="I60" s="215">
        <v>4.5357441902160645</v>
      </c>
      <c r="J60" s="215">
        <v>4.2229342460632324</v>
      </c>
      <c r="K60" s="215">
        <v>4.0665292739868164</v>
      </c>
      <c r="L60" s="215">
        <v>4.0665292739868164</v>
      </c>
      <c r="M60" s="215">
        <v>4.2229342460632324</v>
      </c>
      <c r="N60" s="215">
        <v>4.0665292739868164</v>
      </c>
      <c r="O60" s="215">
        <v>3.9101243019104004</v>
      </c>
      <c r="P60" s="215">
        <v>3.5973143577575684</v>
      </c>
      <c r="Q60" s="215">
        <v>3.5973143577575684</v>
      </c>
      <c r="R60" s="215">
        <v>3.2845044136047363</v>
      </c>
      <c r="S60" s="219">
        <v>3.7537193298339844</v>
      </c>
      <c r="T60" s="215">
        <v>3.5973143577575684</v>
      </c>
      <c r="U60" s="215">
        <v>3.1280994415283203</v>
      </c>
      <c r="V60" s="215">
        <v>3.9101243019104004</v>
      </c>
      <c r="W60" s="215">
        <v>4.5357441902160645</v>
      </c>
      <c r="X60" s="215">
        <v>4.0665292739868164</v>
      </c>
      <c r="Y60" s="215">
        <v>5.0049591064453125</v>
      </c>
      <c r="Z60" s="215">
        <v>4.5357441902160645</v>
      </c>
      <c r="AA60" s="215">
        <v>3.5973143577575684</v>
      </c>
      <c r="AB60" s="215">
        <v>4.2229342460632324</v>
      </c>
      <c r="AC60" s="215">
        <v>4.3793392181396484</v>
      </c>
      <c r="AD60" s="215">
        <v>4.2229342460632324</v>
      </c>
      <c r="AE60" s="215">
        <v>4.5357441902160645</v>
      </c>
      <c r="AF60" s="215">
        <v>3.7537193298339844</v>
      </c>
      <c r="AG60" s="215">
        <v>3.2845044136047363</v>
      </c>
      <c r="AH60" s="215">
        <v>4.5357441902160645</v>
      </c>
      <c r="AI60" s="215">
        <v>2.9716944694519043</v>
      </c>
      <c r="AJ60" s="215">
        <v>4.2229342460632324</v>
      </c>
      <c r="AK60" s="215">
        <v>3.4409093856811523</v>
      </c>
      <c r="AL60" s="47">
        <f t="shared" si="51"/>
        <v>3.9834391325712204</v>
      </c>
      <c r="AM60" s="47">
        <f t="shared" si="52"/>
        <v>0.47002881955773734</v>
      </c>
      <c r="AN60" s="56">
        <f t="shared" si="53"/>
        <v>0.11799573281149757</v>
      </c>
      <c r="AO60" s="15"/>
      <c r="AP60" s="15"/>
      <c r="AQ60" s="6"/>
      <c r="AR60" s="57"/>
      <c r="AS60" s="58"/>
    </row>
    <row r="61" spans="1:45">
      <c r="A61" s="286"/>
      <c r="B61" s="286"/>
      <c r="C61" s="312"/>
      <c r="D61" s="50">
        <f t="shared" si="50"/>
        <v>64</v>
      </c>
      <c r="E61" s="50">
        <f t="shared" si="2"/>
        <v>60</v>
      </c>
      <c r="F61" s="215">
        <v>3.5973143577575684</v>
      </c>
      <c r="G61" s="215">
        <v>3.5973143577575684</v>
      </c>
      <c r="H61" s="215">
        <v>3.4409093856811523</v>
      </c>
      <c r="I61" s="215">
        <v>3.9101243019104004</v>
      </c>
      <c r="J61" s="215">
        <v>3.5973143577575684</v>
      </c>
      <c r="K61" s="215">
        <v>3.4409093856811523</v>
      </c>
      <c r="L61" s="215">
        <v>3.5973143577575684</v>
      </c>
      <c r="M61" s="215">
        <v>3.5973143577575684</v>
      </c>
      <c r="N61" s="215">
        <v>3.5973143577575684</v>
      </c>
      <c r="O61" s="215">
        <v>3.4409093856811523</v>
      </c>
      <c r="P61" s="215">
        <v>2.9716944694519043</v>
      </c>
      <c r="Q61" s="215">
        <v>3.1280994415283203</v>
      </c>
      <c r="R61" s="215">
        <v>2.8152894973754883</v>
      </c>
      <c r="S61" s="219">
        <v>3.1280994415283203</v>
      </c>
      <c r="T61" s="215">
        <v>3.1280994415283203</v>
      </c>
      <c r="U61" s="215">
        <v>2.8152894973754883</v>
      </c>
      <c r="V61" s="215">
        <v>3.4409093856811523</v>
      </c>
      <c r="W61" s="215">
        <v>3.9101243019104004</v>
      </c>
      <c r="X61" s="215">
        <v>3.5973143577575684</v>
      </c>
      <c r="Y61" s="215">
        <v>4.3793392181396484</v>
      </c>
      <c r="Z61" s="215">
        <v>3.9101243019104004</v>
      </c>
      <c r="AA61" s="215">
        <v>3.1280994415283203</v>
      </c>
      <c r="AB61" s="215">
        <v>3.5973143577575684</v>
      </c>
      <c r="AC61" s="215">
        <v>3.7537193298339844</v>
      </c>
      <c r="AD61" s="215">
        <v>3.5973143577575684</v>
      </c>
      <c r="AE61" s="215">
        <v>3.9101243019104004</v>
      </c>
      <c r="AF61" s="215">
        <v>3.2845044136047363</v>
      </c>
      <c r="AG61" s="215">
        <v>2.8152894973754883</v>
      </c>
      <c r="AH61" s="215">
        <v>3.9101243019104004</v>
      </c>
      <c r="AI61" s="215">
        <v>2.5024795532226563</v>
      </c>
      <c r="AJ61" s="215">
        <v>3.7537193298339844</v>
      </c>
      <c r="AK61" s="215">
        <v>2.8152894973754883</v>
      </c>
      <c r="AL61" s="47">
        <f t="shared" si="51"/>
        <v>3.4409093856811523</v>
      </c>
      <c r="AM61" s="47">
        <f t="shared" si="52"/>
        <v>0.42043001891727866</v>
      </c>
      <c r="AN61" s="56">
        <f t="shared" si="53"/>
        <v>0.12218572818768128</v>
      </c>
      <c r="AO61" s="15"/>
      <c r="AP61" s="15"/>
      <c r="AQ61" s="6"/>
      <c r="AR61" s="57"/>
      <c r="AS61" s="58"/>
    </row>
    <row r="62" spans="1:45">
      <c r="A62" s="286"/>
      <c r="B62" s="286"/>
      <c r="C62" s="312"/>
      <c r="D62" s="50">
        <f t="shared" si="50"/>
        <v>50</v>
      </c>
      <c r="E62" s="50">
        <f t="shared" si="2"/>
        <v>61</v>
      </c>
      <c r="F62" s="215">
        <v>4.2229342460632324</v>
      </c>
      <c r="G62" s="215">
        <v>4.3793392181396484</v>
      </c>
      <c r="H62" s="215">
        <v>4.0665292739868164</v>
      </c>
      <c r="I62" s="215">
        <v>4.5357441902160645</v>
      </c>
      <c r="J62" s="215">
        <v>4.3793392181396484</v>
      </c>
      <c r="K62" s="215">
        <v>4.0665292739868164</v>
      </c>
      <c r="L62" s="215">
        <v>4.2229342460632324</v>
      </c>
      <c r="M62" s="215">
        <v>4.2229342460632324</v>
      </c>
      <c r="N62" s="215">
        <v>4.2229342460632324</v>
      </c>
      <c r="O62" s="215">
        <v>4.0665292739868164</v>
      </c>
      <c r="P62" s="215">
        <v>3.5973143577575684</v>
      </c>
      <c r="Q62" s="215">
        <v>3.7537193298339844</v>
      </c>
      <c r="R62" s="215">
        <v>3.2845044136047363</v>
      </c>
      <c r="S62" s="219">
        <v>3.7537193298339844</v>
      </c>
      <c r="T62" s="215">
        <v>3.7537193298339844</v>
      </c>
      <c r="U62" s="215">
        <v>3.2845044136047363</v>
      </c>
      <c r="V62" s="215">
        <v>4.0665292739868164</v>
      </c>
      <c r="W62" s="215">
        <v>4.5357441902160645</v>
      </c>
      <c r="X62" s="215">
        <v>4.2229342460632324</v>
      </c>
      <c r="Y62" s="215">
        <v>5.1613640785217285</v>
      </c>
      <c r="Z62" s="215">
        <v>4.5357441902160645</v>
      </c>
      <c r="AA62" s="215">
        <v>3.7537193298339844</v>
      </c>
      <c r="AB62" s="215">
        <v>4.2229342460632324</v>
      </c>
      <c r="AC62" s="215">
        <v>4.3793392181396484</v>
      </c>
      <c r="AD62" s="215">
        <v>4.3793392181396484</v>
      </c>
      <c r="AE62" s="215">
        <v>4.5357441902160645</v>
      </c>
      <c r="AF62" s="215">
        <v>3.9101243019104004</v>
      </c>
      <c r="AG62" s="215">
        <v>3.4409093856811523</v>
      </c>
      <c r="AH62" s="215">
        <v>4.6921491622924805</v>
      </c>
      <c r="AI62" s="215">
        <v>2.9716944694519043</v>
      </c>
      <c r="AJ62" s="215">
        <v>4.3793392181396484</v>
      </c>
      <c r="AK62" s="215">
        <v>3.4409093856811523</v>
      </c>
      <c r="AL62" s="80">
        <f t="shared" si="51"/>
        <v>4.0763045847415924</v>
      </c>
      <c r="AM62" s="80">
        <f t="shared" si="52"/>
        <v>0.47329648785909884</v>
      </c>
      <c r="AN62" s="81">
        <f t="shared" si="53"/>
        <v>0.11610920578181043</v>
      </c>
      <c r="AO62" s="15"/>
      <c r="AP62" s="15"/>
      <c r="AQ62" s="6"/>
      <c r="AR62" s="57"/>
      <c r="AS62" s="58"/>
    </row>
    <row r="63" spans="1:45">
      <c r="A63" s="307" t="s">
        <v>53</v>
      </c>
      <c r="B63" s="307" t="str">
        <f>B51</f>
        <v>LO</v>
      </c>
      <c r="C63" s="86" t="str">
        <f>C57</f>
        <v>R</v>
      </c>
      <c r="D63" s="62">
        <f>D57</f>
        <v>0</v>
      </c>
      <c r="E63" s="92">
        <f t="shared" si="45"/>
        <v>62</v>
      </c>
      <c r="F63" s="216">
        <v>7.839322566986084</v>
      </c>
      <c r="G63" s="216">
        <v>7.3472189903259277</v>
      </c>
      <c r="H63" s="216">
        <v>6.8150606155395508</v>
      </c>
      <c r="I63" s="216">
        <v>8.010986328125</v>
      </c>
      <c r="J63" s="216">
        <v>7.5818266868591309</v>
      </c>
      <c r="K63" s="216">
        <v>7.455939769744873</v>
      </c>
      <c r="L63" s="216">
        <v>7.9137101173400879</v>
      </c>
      <c r="M63" s="216">
        <v>7.3643856048583984</v>
      </c>
      <c r="N63" s="216">
        <v>7.7649345397949219</v>
      </c>
      <c r="O63" s="216">
        <v>7.1412224769592285</v>
      </c>
      <c r="P63" s="216">
        <v>7.6390476226806641</v>
      </c>
      <c r="Q63" s="216">
        <v>7.9251546859741211</v>
      </c>
      <c r="R63" s="216">
        <v>7.7306017875671387</v>
      </c>
      <c r="S63" s="218">
        <v>7.8107118606567383</v>
      </c>
      <c r="T63" s="216">
        <v>7.7134356498718262</v>
      </c>
      <c r="U63" s="216">
        <v>7.6962690353393555</v>
      </c>
      <c r="V63" s="216">
        <v>7.6676583290100098</v>
      </c>
      <c r="W63" s="216">
        <v>7.5703821182250977</v>
      </c>
      <c r="X63" s="216">
        <v>7.4044404029846191</v>
      </c>
      <c r="Y63" s="216">
        <v>7.7363243103027344</v>
      </c>
      <c r="Z63" s="216">
        <v>9.1153583526611328</v>
      </c>
      <c r="AA63" s="216">
        <v>7.6447701454162598</v>
      </c>
      <c r="AB63" s="216">
        <v>7.1755552291870117</v>
      </c>
      <c r="AC63" s="216">
        <v>7.4731059074401855</v>
      </c>
      <c r="AD63" s="216">
        <v>8.3257036209106445</v>
      </c>
      <c r="AE63" s="216">
        <v>8.3772029876708984</v>
      </c>
      <c r="AF63" s="216">
        <v>6.8894481658935547</v>
      </c>
      <c r="AG63" s="216">
        <v>7.3872737884521484</v>
      </c>
      <c r="AH63" s="216">
        <v>8.3657588958740234</v>
      </c>
      <c r="AI63" s="216">
        <v>8.1139850616455078</v>
      </c>
      <c r="AJ63" s="216">
        <v>7.8679332733154297</v>
      </c>
      <c r="AK63" s="216">
        <v>7.009613037109375</v>
      </c>
      <c r="AL63" s="53">
        <f>AVERAGE(F63:AK63)</f>
        <v>7.6835731863975525</v>
      </c>
      <c r="AM63" s="53">
        <f>STDEV(F63:AK63)</f>
        <v>0.46817546604137689</v>
      </c>
      <c r="AN63" s="54">
        <f>AM63/AL63</f>
        <v>6.0931998001945396E-2</v>
      </c>
      <c r="AO63" s="53"/>
      <c r="AP63" s="53" t="s">
        <v>46</v>
      </c>
      <c r="AQ63" s="44">
        <f>Calibration!D32</f>
        <v>809</v>
      </c>
      <c r="AR63" s="44" t="s">
        <v>57</v>
      </c>
      <c r="AS63" s="55">
        <f>AQ63/SUM(AQ63:AQ65)</f>
        <v>0.31533814071331123</v>
      </c>
    </row>
    <row r="64" spans="1:45">
      <c r="A64" s="286"/>
      <c r="B64" s="286"/>
      <c r="C64" s="87" t="str">
        <f>C58</f>
        <v>G</v>
      </c>
      <c r="D64" s="50">
        <f t="shared" ref="D64:D68" si="54">D58</f>
        <v>0</v>
      </c>
      <c r="E64" s="50">
        <f t="shared" si="2"/>
        <v>63</v>
      </c>
      <c r="F64" s="215">
        <v>12.11375617980957</v>
      </c>
      <c r="G64" s="215">
        <v>12.11375617980957</v>
      </c>
      <c r="H64" s="215">
        <v>11.158160209655762</v>
      </c>
      <c r="I64" s="215">
        <v>13.14946174621582</v>
      </c>
      <c r="J64" s="215">
        <v>12.302586555480957</v>
      </c>
      <c r="K64" s="215">
        <v>12.502861022949219</v>
      </c>
      <c r="L64" s="215">
        <v>12.428473472595215</v>
      </c>
      <c r="M64" s="215">
        <v>11.839093208312988</v>
      </c>
      <c r="N64" s="215">
        <v>11.644540786743164</v>
      </c>
      <c r="O64" s="215">
        <v>11.12382698059082</v>
      </c>
      <c r="P64" s="215">
        <v>10.934996604919434</v>
      </c>
      <c r="Q64" s="215">
        <v>12.0164794921875</v>
      </c>
      <c r="R64" s="215">
        <v>11.089493751525879</v>
      </c>
      <c r="S64" s="219">
        <v>11.558709144592285</v>
      </c>
      <c r="T64" s="215">
        <v>11.587319374084473</v>
      </c>
      <c r="U64" s="215">
        <v>11.12382698059082</v>
      </c>
      <c r="V64" s="215">
        <v>12.005035400390625</v>
      </c>
      <c r="W64" s="215">
        <v>12.554360389709473</v>
      </c>
      <c r="X64" s="215">
        <v>10.992218017578125</v>
      </c>
      <c r="Y64" s="215">
        <v>13.000686645507812</v>
      </c>
      <c r="Z64" s="215">
        <v>14.007781982421875</v>
      </c>
      <c r="AA64" s="215">
        <v>11.478599548339844</v>
      </c>
      <c r="AB64" s="215">
        <v>11.512931823730469</v>
      </c>
      <c r="AC64" s="215">
        <v>12.29686450958252</v>
      </c>
      <c r="AD64" s="215">
        <v>12.897687911987305</v>
      </c>
      <c r="AE64" s="215">
        <v>12.388418197631836</v>
      </c>
      <c r="AF64" s="215">
        <v>11.02655029296875</v>
      </c>
      <c r="AG64" s="215">
        <v>10.894941329956055</v>
      </c>
      <c r="AH64" s="215">
        <v>12.88624382019043</v>
      </c>
      <c r="AI64" s="215">
        <v>11.02655029296875</v>
      </c>
      <c r="AJ64" s="215">
        <v>12.273975372314453</v>
      </c>
      <c r="AK64" s="215">
        <v>10.648889541625977</v>
      </c>
      <c r="AL64" s="47">
        <f t="shared" ref="AL64:AL68" si="55">AVERAGE(F64:AK64)</f>
        <v>11.893096148967743</v>
      </c>
      <c r="AM64" s="47">
        <f t="shared" ref="AM64:AM68" si="56">STDEV(F64:AK64)</f>
        <v>0.80213685424615955</v>
      </c>
      <c r="AN64" s="56">
        <f t="shared" ref="AN64:AN68" si="57">AM64/AL64</f>
        <v>6.7445587271719884E-2</v>
      </c>
      <c r="AO64" s="47"/>
      <c r="AP64" s="47" t="s">
        <v>47</v>
      </c>
      <c r="AQ64" s="15">
        <f>Calibration!E32</f>
        <v>848.5</v>
      </c>
      <c r="AR64" s="15" t="s">
        <v>58</v>
      </c>
      <c r="AS64" s="51">
        <f>AQ64/SUM(AQ63:AQ65)</f>
        <v>0.33073474956148896</v>
      </c>
    </row>
    <row r="65" spans="1:45">
      <c r="A65" s="286"/>
      <c r="B65" s="286"/>
      <c r="C65" s="88" t="str">
        <f>C59</f>
        <v>B</v>
      </c>
      <c r="D65" s="50">
        <f t="shared" si="54"/>
        <v>0</v>
      </c>
      <c r="E65" s="50">
        <f t="shared" si="2"/>
        <v>64</v>
      </c>
      <c r="F65" s="215">
        <v>14.270999908447266</v>
      </c>
      <c r="G65" s="215">
        <v>14.150835037231445</v>
      </c>
      <c r="H65" s="215">
        <v>13.412680625915527</v>
      </c>
      <c r="I65" s="215">
        <v>15.569924354553223</v>
      </c>
      <c r="J65" s="215">
        <v>14.293889045715332</v>
      </c>
      <c r="K65" s="215">
        <v>13.990615844726563</v>
      </c>
      <c r="L65" s="215">
        <v>14.751659393310547</v>
      </c>
      <c r="M65" s="215">
        <v>13.761730194091797</v>
      </c>
      <c r="N65" s="215">
        <v>13.956282615661621</v>
      </c>
      <c r="O65" s="215">
        <v>12.989242553710937</v>
      </c>
      <c r="P65" s="215">
        <v>12.817578315734863</v>
      </c>
      <c r="Q65" s="215">
        <v>13.887617111206055</v>
      </c>
      <c r="R65" s="215">
        <v>12.771800994873047</v>
      </c>
      <c r="S65" s="219">
        <v>13.361181259155273</v>
      </c>
      <c r="T65" s="215">
        <v>13.223850250244141</v>
      </c>
      <c r="U65" s="215">
        <v>12.497138977050781</v>
      </c>
      <c r="V65" s="215">
        <v>13.859006881713867</v>
      </c>
      <c r="W65" s="215">
        <v>14.328221321105957</v>
      </c>
      <c r="X65" s="215">
        <v>14.105058670043945</v>
      </c>
      <c r="Y65" s="215">
        <v>15.478370666503906</v>
      </c>
      <c r="Z65" s="215">
        <v>16.239414215087891</v>
      </c>
      <c r="AA65" s="215">
        <v>13.384069442749023</v>
      </c>
      <c r="AB65" s="215">
        <v>14.007781982421875</v>
      </c>
      <c r="AC65" s="215">
        <v>14.311055183410645</v>
      </c>
      <c r="AD65" s="215">
        <v>15.787365913391113</v>
      </c>
      <c r="AE65" s="215">
        <v>15.569924354553223</v>
      </c>
      <c r="AF65" s="215">
        <v>12.88624382019043</v>
      </c>
      <c r="AG65" s="215">
        <v>12.382696151733398</v>
      </c>
      <c r="AH65" s="215">
        <v>15.632867813110352</v>
      </c>
      <c r="AI65" s="215">
        <v>12.399862289428711</v>
      </c>
      <c r="AJ65" s="215">
        <v>14.208056449890137</v>
      </c>
      <c r="AK65" s="215">
        <v>12.130922317504883</v>
      </c>
      <c r="AL65" s="47">
        <f t="shared" si="55"/>
        <v>13.950560748577118</v>
      </c>
      <c r="AM65" s="47">
        <f t="shared" si="56"/>
        <v>1.0901605307046802</v>
      </c>
      <c r="AN65" s="56">
        <f t="shared" si="57"/>
        <v>7.8144567114685384E-2</v>
      </c>
      <c r="AO65" s="15"/>
      <c r="AP65" s="15" t="s">
        <v>48</v>
      </c>
      <c r="AQ65" s="15">
        <f>Calibration!F32</f>
        <v>908</v>
      </c>
      <c r="AR65" s="15" t="s">
        <v>56</v>
      </c>
      <c r="AS65" s="52">
        <f>getCCTfromXY(AS63,AS64,0)</f>
        <v>6466</v>
      </c>
    </row>
    <row r="66" spans="1:45">
      <c r="A66" s="286"/>
      <c r="B66" s="286"/>
      <c r="C66" s="312" t="str">
        <f>C64</f>
        <v>G</v>
      </c>
      <c r="D66" s="50">
        <f t="shared" si="54"/>
        <v>63</v>
      </c>
      <c r="E66" s="50">
        <f t="shared" si="2"/>
        <v>65</v>
      </c>
      <c r="F66" s="215">
        <v>6.5117874145507812</v>
      </c>
      <c r="G66" s="215">
        <v>6.2943463325500488</v>
      </c>
      <c r="H66" s="215">
        <v>5.8251314163208008</v>
      </c>
      <c r="I66" s="215">
        <v>6.9409475326538086</v>
      </c>
      <c r="J66" s="215">
        <v>6.6262302398681641</v>
      </c>
      <c r="K66" s="215">
        <v>6.9695582389831543</v>
      </c>
      <c r="L66" s="215">
        <v>6.8150606155395508</v>
      </c>
      <c r="M66" s="215">
        <v>6.2314028739929199</v>
      </c>
      <c r="N66" s="215">
        <v>6.317234992980957</v>
      </c>
      <c r="O66" s="215">
        <v>6.1970701217651367</v>
      </c>
      <c r="P66" s="215">
        <v>6.3458456993103027</v>
      </c>
      <c r="Q66" s="215">
        <v>6.5632867813110352</v>
      </c>
      <c r="R66" s="215">
        <v>6.3572897911071777</v>
      </c>
      <c r="S66" s="219">
        <v>6.7463951110839844</v>
      </c>
      <c r="T66" s="215">
        <v>6.677729606628418</v>
      </c>
      <c r="U66" s="215">
        <v>6.8780040740966797</v>
      </c>
      <c r="V66" s="215">
        <v>6.5117874145507812</v>
      </c>
      <c r="W66" s="215">
        <v>6.849393367767334</v>
      </c>
      <c r="X66" s="215">
        <v>6.9638361930847168</v>
      </c>
      <c r="Y66" s="215">
        <v>6.9123368263244629</v>
      </c>
      <c r="Z66" s="215">
        <v>7.8736553192138672</v>
      </c>
      <c r="AA66" s="215">
        <v>6.4717326164245605</v>
      </c>
      <c r="AB66" s="215">
        <v>5.9796290397644043</v>
      </c>
      <c r="AC66" s="215">
        <v>6.7120623588562012</v>
      </c>
      <c r="AD66" s="215">
        <v>6.6720075607299805</v>
      </c>
      <c r="AE66" s="215">
        <v>6.0826277732849121</v>
      </c>
      <c r="AF66" s="215">
        <v>6.1112384796142578</v>
      </c>
      <c r="AG66" s="215">
        <v>6.3687343597412109</v>
      </c>
      <c r="AH66" s="215">
        <v>6.6720075607299805</v>
      </c>
      <c r="AI66" s="215">
        <v>6.9752802848815918</v>
      </c>
      <c r="AJ66" s="215">
        <v>6.8722820281982422</v>
      </c>
      <c r="AK66" s="215">
        <v>6.3744564056396484</v>
      </c>
      <c r="AL66" s="47">
        <f t="shared" si="55"/>
        <v>6.5843871384859085</v>
      </c>
      <c r="AM66" s="47">
        <f t="shared" si="56"/>
        <v>0.3924120351548025</v>
      </c>
      <c r="AN66" s="56">
        <f t="shared" si="57"/>
        <v>5.9597351568400993E-2</v>
      </c>
      <c r="AO66" s="15"/>
      <c r="AP66" s="15"/>
      <c r="AQ66" s="15"/>
      <c r="AR66" s="15"/>
      <c r="AS66" s="52"/>
    </row>
    <row r="67" spans="1:45">
      <c r="A67" s="286"/>
      <c r="B67" s="286"/>
      <c r="C67" s="312"/>
      <c r="D67" s="50">
        <f t="shared" si="54"/>
        <v>64</v>
      </c>
      <c r="E67" s="50">
        <f t="shared" si="2"/>
        <v>66</v>
      </c>
      <c r="F67" s="215">
        <v>0.34332799911499023</v>
      </c>
      <c r="G67" s="215">
        <v>0</v>
      </c>
      <c r="H67" s="215">
        <v>5.7221334427595139E-3</v>
      </c>
      <c r="I67" s="215">
        <v>1.7166400328278542E-2</v>
      </c>
      <c r="J67" s="215">
        <v>0.30899518728256226</v>
      </c>
      <c r="K67" s="215">
        <v>0.79537653923034668</v>
      </c>
      <c r="L67" s="215">
        <v>0.42343786358833313</v>
      </c>
      <c r="M67" s="215">
        <v>2.2888533771038055E-2</v>
      </c>
      <c r="N67" s="215">
        <v>0.51499199867248535</v>
      </c>
      <c r="O67" s="215">
        <v>0.86976426839828491</v>
      </c>
      <c r="P67" s="215">
        <v>1.1215381622314453</v>
      </c>
      <c r="Q67" s="215">
        <v>0.33760586380958557</v>
      </c>
      <c r="R67" s="215">
        <v>1.0872052907943726</v>
      </c>
      <c r="S67" s="219">
        <v>1.3733119964599609</v>
      </c>
      <c r="T67" s="215">
        <v>0.89837491512298584</v>
      </c>
      <c r="U67" s="215">
        <v>2.1114671230316162</v>
      </c>
      <c r="V67" s="215">
        <v>0.40054932236671448</v>
      </c>
      <c r="W67" s="215">
        <v>0.30899518728256226</v>
      </c>
      <c r="X67" s="215">
        <v>0.57221329212188721</v>
      </c>
      <c r="Y67" s="215">
        <v>0.13160906732082367</v>
      </c>
      <c r="Z67" s="215">
        <v>0.88693064451217651</v>
      </c>
      <c r="AA67" s="215">
        <v>0.97276264429092407</v>
      </c>
      <c r="AB67" s="215">
        <v>0</v>
      </c>
      <c r="AC67" s="215">
        <v>0.46349278092384338</v>
      </c>
      <c r="AD67" s="215">
        <v>0</v>
      </c>
      <c r="AE67" s="215">
        <v>0</v>
      </c>
      <c r="AF67" s="215">
        <v>0.63515681028366089</v>
      </c>
      <c r="AG67" s="215">
        <v>1.3275349140167236</v>
      </c>
      <c r="AH67" s="215">
        <v>0</v>
      </c>
      <c r="AI67" s="215">
        <v>2.3231861591339111</v>
      </c>
      <c r="AJ67" s="215">
        <v>1.1787594556808472</v>
      </c>
      <c r="AK67" s="215">
        <v>1.3275349140167236</v>
      </c>
      <c r="AL67" s="47">
        <f t="shared" si="55"/>
        <v>0.6487468583509326</v>
      </c>
      <c r="AM67" s="47">
        <f t="shared" si="56"/>
        <v>0.61034910628179662</v>
      </c>
      <c r="AN67" s="56">
        <f t="shared" si="57"/>
        <v>0.9408124269507212</v>
      </c>
      <c r="AO67" s="15"/>
      <c r="AP67" s="15"/>
      <c r="AQ67" s="15"/>
      <c r="AR67" s="15"/>
      <c r="AS67" s="52"/>
    </row>
    <row r="68" spans="1:45">
      <c r="A68" s="286"/>
      <c r="B68" s="286"/>
      <c r="C68" s="312"/>
      <c r="D68" s="50">
        <f t="shared" si="54"/>
        <v>50</v>
      </c>
      <c r="E68" s="50">
        <f t="shared" si="2"/>
        <v>67</v>
      </c>
      <c r="F68" s="215">
        <v>7.6619362831115723</v>
      </c>
      <c r="G68" s="215">
        <v>7.5875487327575684</v>
      </c>
      <c r="H68" s="215">
        <v>6.9008927345275879</v>
      </c>
      <c r="I68" s="215">
        <v>8.2570381164550781</v>
      </c>
      <c r="J68" s="215">
        <v>7.839322566986084</v>
      </c>
      <c r="K68" s="215">
        <v>8.1712064743041992</v>
      </c>
      <c r="L68" s="215">
        <v>7.98809814453125</v>
      </c>
      <c r="M68" s="215">
        <v>7.4158844947814941</v>
      </c>
      <c r="N68" s="215">
        <v>7.4158844947814941</v>
      </c>
      <c r="O68" s="215">
        <v>7.1755552291870117</v>
      </c>
      <c r="P68" s="215">
        <v>7.2842755317687988</v>
      </c>
      <c r="Q68" s="215">
        <v>7.6962690353393555</v>
      </c>
      <c r="R68" s="215">
        <v>7.3357748985290527</v>
      </c>
      <c r="S68" s="219">
        <v>7.690546989440918</v>
      </c>
      <c r="T68" s="215">
        <v>7.7134356498718262</v>
      </c>
      <c r="U68" s="215">
        <v>7.7706570625305176</v>
      </c>
      <c r="V68" s="215">
        <v>7.6390476226806641</v>
      </c>
      <c r="W68" s="215">
        <v>8.0567636489868164</v>
      </c>
      <c r="X68" s="215">
        <v>8.1139850616455078</v>
      </c>
      <c r="Y68" s="215">
        <v>8.1883726119995117</v>
      </c>
      <c r="Z68" s="215">
        <v>9.1268024444580078</v>
      </c>
      <c r="AA68" s="215">
        <v>7.530327320098877</v>
      </c>
      <c r="AB68" s="215">
        <v>7.1869993209838867</v>
      </c>
      <c r="AC68" s="215">
        <v>7.8908219337463379</v>
      </c>
      <c r="AD68" s="215">
        <v>7.9766535758972168</v>
      </c>
      <c r="AE68" s="215">
        <v>7.4101624488830566</v>
      </c>
      <c r="AF68" s="215">
        <v>7.1240558624267578</v>
      </c>
      <c r="AG68" s="215">
        <v>7.318608283996582</v>
      </c>
      <c r="AH68" s="215">
        <v>7.9938201904296875</v>
      </c>
      <c r="AI68" s="215">
        <v>7.7935452461242676</v>
      </c>
      <c r="AJ68" s="215">
        <v>7.9823756217956543</v>
      </c>
      <c r="AK68" s="215">
        <v>7.2899975776672363</v>
      </c>
      <c r="AL68" s="47">
        <f t="shared" si="55"/>
        <v>7.7039582878351212</v>
      </c>
      <c r="AM68" s="47">
        <f t="shared" si="56"/>
        <v>0.43699151101179445</v>
      </c>
      <c r="AN68" s="56">
        <f t="shared" si="57"/>
        <v>5.6722985079218649E-2</v>
      </c>
      <c r="AO68" s="15"/>
      <c r="AP68" s="15"/>
      <c r="AQ68" s="15"/>
      <c r="AR68" s="15"/>
      <c r="AS68" s="52"/>
    </row>
    <row r="69" spans="1:45">
      <c r="A69" s="286"/>
      <c r="B69" s="286" t="str">
        <f>B57</f>
        <v>HI</v>
      </c>
      <c r="C69" s="89" t="str">
        <f>C63</f>
        <v>R</v>
      </c>
      <c r="D69" s="50">
        <f>D63</f>
        <v>0</v>
      </c>
      <c r="E69" s="90">
        <f t="shared" si="2"/>
        <v>68</v>
      </c>
      <c r="F69" s="215">
        <v>8.6022739410400391</v>
      </c>
      <c r="G69" s="215">
        <v>7.8202486038208008</v>
      </c>
      <c r="H69" s="215">
        <v>7.3510336875915527</v>
      </c>
      <c r="I69" s="215">
        <v>8.4458684921264648</v>
      </c>
      <c r="J69" s="215">
        <v>8.4458684921264648</v>
      </c>
      <c r="K69" s="215">
        <v>7.8202486038208008</v>
      </c>
      <c r="L69" s="215">
        <v>8.289463996887207</v>
      </c>
      <c r="M69" s="215">
        <v>8.1330585479736328</v>
      </c>
      <c r="N69" s="215">
        <v>8.7586784362792969</v>
      </c>
      <c r="O69" s="215">
        <v>8.1330585479736328</v>
      </c>
      <c r="P69" s="215">
        <v>8.4458684921264648</v>
      </c>
      <c r="Q69" s="215">
        <v>7.9766535758972168</v>
      </c>
      <c r="R69" s="215">
        <v>7.9766535758972168</v>
      </c>
      <c r="S69" s="219">
        <v>8.4458684921264648</v>
      </c>
      <c r="T69" s="215">
        <v>8.1330585479736328</v>
      </c>
      <c r="U69" s="215">
        <v>7.9766535758972168</v>
      </c>
      <c r="V69" s="215">
        <v>7.9766535758972168</v>
      </c>
      <c r="W69" s="215">
        <v>8.1330585479736328</v>
      </c>
      <c r="X69" s="215">
        <v>7.1946287155151367</v>
      </c>
      <c r="Y69" s="215">
        <v>9.2278938293457031</v>
      </c>
      <c r="Z69" s="215">
        <v>9.3842983245849609</v>
      </c>
      <c r="AA69" s="215">
        <v>8.1330585479736328</v>
      </c>
      <c r="AB69" s="215">
        <v>7.6638436317443848</v>
      </c>
      <c r="AC69" s="215">
        <v>7.8202486038208008</v>
      </c>
      <c r="AD69" s="215">
        <v>8.7586784362792969</v>
      </c>
      <c r="AE69" s="215">
        <v>9.5407037734985352</v>
      </c>
      <c r="AF69" s="215">
        <v>7.3510336875915527</v>
      </c>
      <c r="AG69" s="215">
        <v>7.8202486038208008</v>
      </c>
      <c r="AH69" s="215">
        <v>9.3842983245849609</v>
      </c>
      <c r="AI69" s="215">
        <v>8.4458684921264648</v>
      </c>
      <c r="AJ69" s="215">
        <v>8.4458684921264648</v>
      </c>
      <c r="AK69" s="215">
        <v>7.5074386596679687</v>
      </c>
      <c r="AL69" s="47">
        <f>AVERAGE(F69:AK69)</f>
        <v>8.2356993705034256</v>
      </c>
      <c r="AM69" s="47">
        <f>STDEV(F69:AK69)</f>
        <v>0.59006076805300178</v>
      </c>
      <c r="AN69" s="56">
        <f>AM69/AL69</f>
        <v>7.1646710438015057E-2</v>
      </c>
      <c r="AO69" s="15"/>
      <c r="AP69" s="15"/>
      <c r="AQ69" s="90" t="s">
        <v>39</v>
      </c>
      <c r="AR69" s="57" t="s">
        <v>59</v>
      </c>
      <c r="AS69" s="58">
        <f>AQ64/AL64</f>
        <v>71.343911574585675</v>
      </c>
    </row>
    <row r="70" spans="1:45">
      <c r="A70" s="286"/>
      <c r="B70" s="286"/>
      <c r="C70" s="87" t="str">
        <f>C64</f>
        <v>G</v>
      </c>
      <c r="D70" s="50">
        <f t="shared" ref="D70:D74" si="58">D64</f>
        <v>0</v>
      </c>
      <c r="E70" s="50">
        <f t="shared" si="2"/>
        <v>69</v>
      </c>
      <c r="F70" s="215">
        <v>13.29442310333252</v>
      </c>
      <c r="G70" s="215">
        <v>12.825207710266113</v>
      </c>
      <c r="H70" s="215">
        <v>12.043183326721191</v>
      </c>
      <c r="I70" s="215">
        <v>13.763637542724609</v>
      </c>
      <c r="J70" s="215">
        <v>13.607233047485352</v>
      </c>
      <c r="K70" s="215">
        <v>13.138017654418945</v>
      </c>
      <c r="L70" s="215">
        <v>12.981613159179687</v>
      </c>
      <c r="M70" s="215">
        <v>12.981613159179687</v>
      </c>
      <c r="N70" s="215">
        <v>13.138017654418945</v>
      </c>
      <c r="O70" s="215">
        <v>12.668803215026855</v>
      </c>
      <c r="P70" s="215">
        <v>12.043183326721191</v>
      </c>
      <c r="Q70" s="215">
        <v>11.886777877807617</v>
      </c>
      <c r="R70" s="215">
        <v>11.417563438415527</v>
      </c>
      <c r="S70" s="219">
        <v>12.512397766113281</v>
      </c>
      <c r="T70" s="215">
        <v>12.355993270874023</v>
      </c>
      <c r="U70" s="215">
        <v>11.573967933654785</v>
      </c>
      <c r="V70" s="215">
        <v>12.355993270874023</v>
      </c>
      <c r="W70" s="215">
        <v>13.607233047485352</v>
      </c>
      <c r="X70" s="215">
        <v>12.199587821960449</v>
      </c>
      <c r="Y70" s="215">
        <v>15.484092712402344</v>
      </c>
      <c r="Z70" s="215">
        <v>14.232852935791016</v>
      </c>
      <c r="AA70" s="215">
        <v>12.043183326721191</v>
      </c>
      <c r="AB70" s="215">
        <v>12.199587821960449</v>
      </c>
      <c r="AC70" s="215">
        <v>12.825207710266113</v>
      </c>
      <c r="AD70" s="215">
        <v>13.607233047485352</v>
      </c>
      <c r="AE70" s="215">
        <v>14.076447486877441</v>
      </c>
      <c r="AF70" s="215">
        <v>11.886777877807617</v>
      </c>
      <c r="AG70" s="215">
        <v>11.573967933654785</v>
      </c>
      <c r="AH70" s="215">
        <v>14.545662879943848</v>
      </c>
      <c r="AI70" s="215">
        <v>11.417563438415527</v>
      </c>
      <c r="AJ70" s="215">
        <v>13.138017654418945</v>
      </c>
      <c r="AK70" s="215">
        <v>11.417563438415527</v>
      </c>
      <c r="AL70" s="47">
        <f t="shared" ref="AL70:AL74" si="59">AVERAGE(F70:AK70)</f>
        <v>12.776331424713135</v>
      </c>
      <c r="AM70" s="47">
        <f t="shared" ref="AM70:AM74" si="60">STDEV(F70:AK70)</f>
        <v>0.99669212524488315</v>
      </c>
      <c r="AN70" s="56">
        <f t="shared" ref="AN70:AN74" si="61">AM70/AL70</f>
        <v>7.8010822677704747E-2</v>
      </c>
      <c r="AO70" s="15"/>
      <c r="AP70" s="15"/>
      <c r="AQ70" s="47">
        <f>MAX(F63:AK65)</f>
        <v>16.239414215087891</v>
      </c>
      <c r="AR70" s="57" t="s">
        <v>60</v>
      </c>
      <c r="AS70" s="58">
        <f>AQ64/AL70</f>
        <v>66.41186517428271</v>
      </c>
    </row>
    <row r="71" spans="1:45">
      <c r="A71" s="286"/>
      <c r="B71" s="286"/>
      <c r="C71" s="88" t="str">
        <f>C65</f>
        <v>B</v>
      </c>
      <c r="D71" s="50">
        <f t="shared" si="58"/>
        <v>0</v>
      </c>
      <c r="E71" s="50">
        <f t="shared" si="2"/>
        <v>70</v>
      </c>
      <c r="F71" s="215">
        <v>15.640497207641602</v>
      </c>
      <c r="G71" s="215">
        <v>15.014877319335938</v>
      </c>
      <c r="H71" s="215">
        <v>14.545662879943848</v>
      </c>
      <c r="I71" s="215">
        <v>16.422521591186523</v>
      </c>
      <c r="J71" s="215">
        <v>15.796902656555176</v>
      </c>
      <c r="K71" s="215">
        <v>14.702067375183105</v>
      </c>
      <c r="L71" s="215">
        <v>15.32768726348877</v>
      </c>
      <c r="M71" s="215">
        <v>15.171282768249512</v>
      </c>
      <c r="N71" s="215">
        <v>15.796902656555176</v>
      </c>
      <c r="O71" s="215">
        <v>14.702067375183105</v>
      </c>
      <c r="P71" s="215">
        <v>14.076447486877441</v>
      </c>
      <c r="Q71" s="215">
        <v>13.763637542724609</v>
      </c>
      <c r="R71" s="215">
        <v>13.138017654418945</v>
      </c>
      <c r="S71" s="219">
        <v>14.545662879943848</v>
      </c>
      <c r="T71" s="215">
        <v>14.076447486877441</v>
      </c>
      <c r="U71" s="215">
        <v>12.981613159179687</v>
      </c>
      <c r="V71" s="215">
        <v>14.232852935791016</v>
      </c>
      <c r="W71" s="215">
        <v>15.484092712402344</v>
      </c>
      <c r="X71" s="215">
        <v>13.763637542724609</v>
      </c>
      <c r="Y71" s="215">
        <v>18.455787658691406</v>
      </c>
      <c r="Z71" s="215">
        <v>16.578927993774414</v>
      </c>
      <c r="AA71" s="215">
        <v>14.076447486877441</v>
      </c>
      <c r="AB71" s="215">
        <v>14.85847282409668</v>
      </c>
      <c r="AC71" s="215">
        <v>15.014877319335938</v>
      </c>
      <c r="AD71" s="215">
        <v>16.735332489013672</v>
      </c>
      <c r="AE71" s="215">
        <v>17.673761367797852</v>
      </c>
      <c r="AF71" s="215">
        <v>13.920042991638184</v>
      </c>
      <c r="AG71" s="215">
        <v>13.138017654418945</v>
      </c>
      <c r="AH71" s="215">
        <v>17.673761367797852</v>
      </c>
      <c r="AI71" s="215">
        <v>12.825207710266113</v>
      </c>
      <c r="AJ71" s="215">
        <v>15.32768726348877</v>
      </c>
      <c r="AK71" s="215">
        <v>12.981613159179687</v>
      </c>
      <c r="AL71" s="47">
        <f t="shared" si="59"/>
        <v>14.951337993144989</v>
      </c>
      <c r="AM71" s="47">
        <f t="shared" si="60"/>
        <v>1.4328472178380152</v>
      </c>
      <c r="AN71" s="56">
        <f t="shared" si="61"/>
        <v>9.5834046323811192E-2</v>
      </c>
      <c r="AO71" s="15"/>
      <c r="AP71" s="15"/>
      <c r="AQ71" s="47"/>
      <c r="AR71" s="57" t="s">
        <v>62</v>
      </c>
      <c r="AS71" s="58">
        <f>AS69/AS70</f>
        <v>1.0742645367263808</v>
      </c>
    </row>
    <row r="72" spans="1:45">
      <c r="A72" s="286"/>
      <c r="B72" s="286"/>
      <c r="C72" s="312" t="str">
        <f>C70</f>
        <v>G</v>
      </c>
      <c r="D72" s="50">
        <f t="shared" si="58"/>
        <v>63</v>
      </c>
      <c r="E72" s="50">
        <f t="shared" si="2"/>
        <v>71</v>
      </c>
      <c r="F72" s="215">
        <v>7.1946287155151367</v>
      </c>
      <c r="G72" s="215">
        <v>6.7254137992858887</v>
      </c>
      <c r="H72" s="215">
        <v>6.2561988830566406</v>
      </c>
      <c r="I72" s="215">
        <v>7.3510336875915527</v>
      </c>
      <c r="J72" s="215">
        <v>7.3510336875915527</v>
      </c>
      <c r="K72" s="215">
        <v>7.3510336875915527</v>
      </c>
      <c r="L72" s="215">
        <v>7.0382237434387207</v>
      </c>
      <c r="M72" s="215">
        <v>6.8818187713623047</v>
      </c>
      <c r="N72" s="215">
        <v>7.1946287155151367</v>
      </c>
      <c r="O72" s="215">
        <v>7.0382237434387207</v>
      </c>
      <c r="P72" s="215">
        <v>7.0382237434387207</v>
      </c>
      <c r="Q72" s="215">
        <v>6.5690088272094727</v>
      </c>
      <c r="R72" s="215">
        <v>6.5690088272094727</v>
      </c>
      <c r="S72" s="219">
        <v>7.3510336875915527</v>
      </c>
      <c r="T72" s="215">
        <v>7.0382237434387207</v>
      </c>
      <c r="U72" s="215">
        <v>7.1946287155151367</v>
      </c>
      <c r="V72" s="215">
        <v>6.7254137992858887</v>
      </c>
      <c r="W72" s="215">
        <v>7.3510336875915527</v>
      </c>
      <c r="X72" s="215">
        <v>6.7254137992858887</v>
      </c>
      <c r="Y72" s="215">
        <v>8.289463996887207</v>
      </c>
      <c r="Z72" s="215">
        <v>7.9766535758972168</v>
      </c>
      <c r="AA72" s="215">
        <v>6.8818187713623047</v>
      </c>
      <c r="AB72" s="215">
        <v>6.4126038551330566</v>
      </c>
      <c r="AC72" s="215">
        <v>7.0382237434387207</v>
      </c>
      <c r="AD72" s="215">
        <v>7.0382237434387207</v>
      </c>
      <c r="AE72" s="215">
        <v>6.8818187713623047</v>
      </c>
      <c r="AF72" s="215">
        <v>6.5690088272094727</v>
      </c>
      <c r="AG72" s="215">
        <v>6.7254137992858887</v>
      </c>
      <c r="AH72" s="215">
        <v>7.5074386596679687</v>
      </c>
      <c r="AI72" s="215">
        <v>7.1946287155151367</v>
      </c>
      <c r="AJ72" s="215">
        <v>7.3510336875915527</v>
      </c>
      <c r="AK72" s="215">
        <v>6.8818187713623047</v>
      </c>
      <c r="AL72" s="47">
        <f t="shared" si="59"/>
        <v>7.0528867244720459</v>
      </c>
      <c r="AM72" s="47">
        <f t="shared" si="60"/>
        <v>0.42110404189719897</v>
      </c>
      <c r="AN72" s="56">
        <f t="shared" si="61"/>
        <v>5.9706622032657322E-2</v>
      </c>
      <c r="AO72" s="15"/>
      <c r="AP72" s="15"/>
      <c r="AQ72" s="47"/>
      <c r="AR72" s="57"/>
      <c r="AS72" s="58"/>
    </row>
    <row r="73" spans="1:45">
      <c r="A73" s="286"/>
      <c r="B73" s="286"/>
      <c r="C73" s="312"/>
      <c r="D73" s="50">
        <f t="shared" si="58"/>
        <v>64</v>
      </c>
      <c r="E73" s="50">
        <f t="shared" ref="E73:E74" si="62">ROW(E73)-1</f>
        <v>72</v>
      </c>
      <c r="F73" s="215">
        <v>0.46921491622924805</v>
      </c>
      <c r="G73" s="215">
        <v>0</v>
      </c>
      <c r="H73" s="215">
        <v>0</v>
      </c>
      <c r="I73" s="215">
        <v>0.15640497207641602</v>
      </c>
      <c r="J73" s="215">
        <v>0.46921491622924805</v>
      </c>
      <c r="K73" s="215">
        <v>0.93842983245849609</v>
      </c>
      <c r="L73" s="215">
        <v>0.46921491622924805</v>
      </c>
      <c r="M73" s="215">
        <v>0.15640497207641602</v>
      </c>
      <c r="N73" s="215">
        <v>0.62561988830566406</v>
      </c>
      <c r="O73" s="215">
        <v>1.0948348045349121</v>
      </c>
      <c r="P73" s="215">
        <v>1.4076447486877441</v>
      </c>
      <c r="Q73" s="215">
        <v>0.46921491622924805</v>
      </c>
      <c r="R73" s="215">
        <v>1.2512397766113281</v>
      </c>
      <c r="S73" s="219">
        <v>1.5640497207641602</v>
      </c>
      <c r="T73" s="215">
        <v>1.0948348045349121</v>
      </c>
      <c r="U73" s="215">
        <v>2.1896696090698242</v>
      </c>
      <c r="V73" s="215">
        <v>0.46921491622924805</v>
      </c>
      <c r="W73" s="215">
        <v>0.46921491622924805</v>
      </c>
      <c r="X73" s="215">
        <v>0.62561988830566406</v>
      </c>
      <c r="Y73" s="215">
        <v>0.15640497207641602</v>
      </c>
      <c r="Z73" s="215">
        <v>0.93842983245849609</v>
      </c>
      <c r="AA73" s="215">
        <v>1.0948348045349121</v>
      </c>
      <c r="AB73" s="215">
        <v>0</v>
      </c>
      <c r="AC73" s="215">
        <v>0.62561988830566406</v>
      </c>
      <c r="AD73" s="215">
        <v>0</v>
      </c>
      <c r="AE73" s="215">
        <v>0.15640497207641602</v>
      </c>
      <c r="AF73" s="215">
        <v>0.78202486038208008</v>
      </c>
      <c r="AG73" s="215">
        <v>1.4076447486877441</v>
      </c>
      <c r="AH73" s="215">
        <v>0</v>
      </c>
      <c r="AI73" s="215">
        <v>2.5024795532226563</v>
      </c>
      <c r="AJ73" s="215">
        <v>1.4076447486877441</v>
      </c>
      <c r="AK73" s="215">
        <v>1.5640497207641602</v>
      </c>
      <c r="AL73" s="47">
        <f t="shared" si="59"/>
        <v>0.76736189424991608</v>
      </c>
      <c r="AM73" s="47">
        <f t="shared" si="60"/>
        <v>0.65200474120098872</v>
      </c>
      <c r="AN73" s="56">
        <f t="shared" si="61"/>
        <v>0.84967046980918026</v>
      </c>
      <c r="AO73" s="15"/>
      <c r="AP73" s="15"/>
      <c r="AQ73" s="47"/>
      <c r="AR73" s="57"/>
      <c r="AS73" s="58"/>
    </row>
    <row r="74" spans="1:45">
      <c r="A74" s="313"/>
      <c r="B74" s="313"/>
      <c r="C74" s="314"/>
      <c r="D74" s="79">
        <f t="shared" si="58"/>
        <v>50</v>
      </c>
      <c r="E74" s="79">
        <f t="shared" si="62"/>
        <v>73</v>
      </c>
      <c r="F74" s="217">
        <v>8.4458684921264648</v>
      </c>
      <c r="G74" s="217">
        <v>8.1330585479736328</v>
      </c>
      <c r="H74" s="217">
        <v>7.5074386596679687</v>
      </c>
      <c r="I74" s="217">
        <v>8.7586784362792969</v>
      </c>
      <c r="J74" s="217">
        <v>8.6022739410400391</v>
      </c>
      <c r="K74" s="217">
        <v>8.6022739410400391</v>
      </c>
      <c r="L74" s="217">
        <v>8.289463996887207</v>
      </c>
      <c r="M74" s="217">
        <v>8.1330585479736328</v>
      </c>
      <c r="N74" s="217">
        <v>8.4458684921264648</v>
      </c>
      <c r="O74" s="217">
        <v>8.1330585479736328</v>
      </c>
      <c r="P74" s="217">
        <v>8.1330585479736328</v>
      </c>
      <c r="Q74" s="217">
        <v>7.6638436317443848</v>
      </c>
      <c r="R74" s="217">
        <v>7.5074386596679687</v>
      </c>
      <c r="S74" s="220">
        <v>8.4458684921264648</v>
      </c>
      <c r="T74" s="217">
        <v>8.289463996887207</v>
      </c>
      <c r="U74" s="217">
        <v>8.1330585479736328</v>
      </c>
      <c r="V74" s="217">
        <v>7.9766535758972168</v>
      </c>
      <c r="W74" s="217">
        <v>8.7586784362792969</v>
      </c>
      <c r="X74" s="217">
        <v>7.8202486038208008</v>
      </c>
      <c r="Y74" s="217">
        <v>9.697108268737793</v>
      </c>
      <c r="Z74" s="217">
        <v>9.3842983245849609</v>
      </c>
      <c r="AA74" s="217">
        <v>7.9766535758972168</v>
      </c>
      <c r="AB74" s="217">
        <v>7.6638436317443848</v>
      </c>
      <c r="AC74" s="217">
        <v>8.289463996887207</v>
      </c>
      <c r="AD74" s="217">
        <v>8.4458684921264648</v>
      </c>
      <c r="AE74" s="217">
        <v>8.4458684921264648</v>
      </c>
      <c r="AF74" s="217">
        <v>7.6638436317443848</v>
      </c>
      <c r="AG74" s="217">
        <v>7.8202486038208008</v>
      </c>
      <c r="AH74" s="217">
        <v>9.0714883804321289</v>
      </c>
      <c r="AI74" s="217">
        <v>8.1330585479736328</v>
      </c>
      <c r="AJ74" s="217">
        <v>8.6022739410400391</v>
      </c>
      <c r="AK74" s="217">
        <v>7.8202486038208008</v>
      </c>
      <c r="AL74" s="80">
        <f t="shared" si="59"/>
        <v>8.274800643324852</v>
      </c>
      <c r="AM74" s="80">
        <f t="shared" si="60"/>
        <v>0.50930972979938727</v>
      </c>
      <c r="AN74" s="81">
        <f t="shared" si="61"/>
        <v>6.1549486416961501E-2</v>
      </c>
      <c r="AO74" s="82"/>
      <c r="AP74" s="82"/>
      <c r="AQ74" s="80"/>
      <c r="AR74" s="84"/>
      <c r="AS74" s="85"/>
    </row>
    <row r="75" spans="1:45">
      <c r="A75" s="315" t="s">
        <v>100</v>
      </c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316"/>
      <c r="S75" s="316"/>
      <c r="T75" s="316"/>
      <c r="U75" s="316"/>
      <c r="V75" s="316"/>
      <c r="W75" s="316"/>
      <c r="X75" s="316"/>
      <c r="Y75" s="316"/>
      <c r="Z75" s="316"/>
      <c r="AA75" s="316"/>
      <c r="AB75" s="316"/>
      <c r="AC75" s="316"/>
      <c r="AD75" s="316"/>
      <c r="AE75" s="316"/>
      <c r="AF75" s="316"/>
      <c r="AG75" s="316"/>
      <c r="AH75" s="316"/>
      <c r="AI75" s="316"/>
      <c r="AJ75" s="316"/>
      <c r="AK75" s="316"/>
      <c r="AL75" s="316"/>
      <c r="AM75" s="316"/>
      <c r="AN75" s="316"/>
      <c r="AO75" s="316"/>
      <c r="AP75" s="316"/>
      <c r="AQ75" s="316"/>
      <c r="AR75" s="316"/>
      <c r="AS75" s="316"/>
    </row>
    <row r="76" spans="1:45">
      <c r="A76" s="317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317"/>
      <c r="S76" s="317"/>
      <c r="T76" s="317"/>
      <c r="U76" s="317"/>
      <c r="V76" s="317"/>
      <c r="W76" s="317"/>
      <c r="X76" s="317"/>
      <c r="Y76" s="317"/>
      <c r="Z76" s="317"/>
      <c r="AA76" s="317"/>
      <c r="AB76" s="317"/>
      <c r="AC76" s="317"/>
      <c r="AD76" s="317"/>
      <c r="AE76" s="317"/>
      <c r="AF76" s="317"/>
      <c r="AG76" s="317"/>
      <c r="AH76" s="317"/>
      <c r="AI76" s="317"/>
      <c r="AJ76" s="317"/>
      <c r="AK76" s="317"/>
      <c r="AL76" s="317"/>
      <c r="AM76" s="317"/>
      <c r="AN76" s="317"/>
      <c r="AO76" s="317"/>
      <c r="AP76" s="317"/>
      <c r="AQ76" s="317"/>
      <c r="AR76" s="317"/>
      <c r="AS76" s="317"/>
    </row>
    <row r="77" spans="1:45">
      <c r="A77" s="304"/>
      <c r="B77" s="304"/>
      <c r="C77" s="304"/>
      <c r="D77" s="304"/>
      <c r="E77" s="126" t="s">
        <v>50</v>
      </c>
      <c r="F77" s="15">
        <f>F1</f>
        <v>0</v>
      </c>
      <c r="G77" s="126">
        <f t="shared" ref="G77:AK77" si="63">G1</f>
        <v>1</v>
      </c>
      <c r="H77" s="126">
        <f t="shared" si="63"/>
        <v>2</v>
      </c>
      <c r="I77" s="126">
        <f t="shared" si="63"/>
        <v>3</v>
      </c>
      <c r="J77" s="126">
        <f t="shared" si="63"/>
        <v>4</v>
      </c>
      <c r="K77" s="126">
        <f t="shared" si="63"/>
        <v>5</v>
      </c>
      <c r="L77" s="126">
        <f t="shared" si="63"/>
        <v>6</v>
      </c>
      <c r="M77" s="126">
        <f t="shared" si="63"/>
        <v>7</v>
      </c>
      <c r="N77" s="126">
        <f t="shared" si="63"/>
        <v>8</v>
      </c>
      <c r="O77" s="126">
        <f t="shared" si="63"/>
        <v>9</v>
      </c>
      <c r="P77" s="126">
        <f t="shared" si="63"/>
        <v>10</v>
      </c>
      <c r="Q77" s="126">
        <f t="shared" si="63"/>
        <v>11</v>
      </c>
      <c r="R77" s="126">
        <f t="shared" si="63"/>
        <v>12</v>
      </c>
      <c r="S77" s="126">
        <f t="shared" si="63"/>
        <v>13</v>
      </c>
      <c r="T77" s="126">
        <f t="shared" si="63"/>
        <v>14</v>
      </c>
      <c r="U77" s="126">
        <f t="shared" si="63"/>
        <v>15</v>
      </c>
      <c r="V77" s="126">
        <f t="shared" si="63"/>
        <v>16</v>
      </c>
      <c r="W77" s="126">
        <f t="shared" si="63"/>
        <v>17</v>
      </c>
      <c r="X77" s="126">
        <f t="shared" si="63"/>
        <v>18</v>
      </c>
      <c r="Y77" s="126">
        <f t="shared" si="63"/>
        <v>19</v>
      </c>
      <c r="Z77" s="126">
        <f t="shared" si="63"/>
        <v>20</v>
      </c>
      <c r="AA77" s="126">
        <f t="shared" si="63"/>
        <v>21</v>
      </c>
      <c r="AB77" s="126">
        <f t="shared" si="63"/>
        <v>22</v>
      </c>
      <c r="AC77" s="126">
        <f t="shared" si="63"/>
        <v>23</v>
      </c>
      <c r="AD77" s="126">
        <f t="shared" si="63"/>
        <v>24</v>
      </c>
      <c r="AE77" s="126">
        <f t="shared" si="63"/>
        <v>25</v>
      </c>
      <c r="AF77" s="126">
        <f t="shared" si="63"/>
        <v>26</v>
      </c>
      <c r="AG77" s="126">
        <f t="shared" si="63"/>
        <v>27</v>
      </c>
      <c r="AH77" s="126">
        <f t="shared" si="63"/>
        <v>28</v>
      </c>
      <c r="AI77" s="126">
        <f t="shared" si="63"/>
        <v>29</v>
      </c>
      <c r="AJ77" s="126">
        <f t="shared" si="63"/>
        <v>30</v>
      </c>
      <c r="AK77" s="126">
        <f t="shared" si="63"/>
        <v>31</v>
      </c>
      <c r="AL77" s="286" t="str">
        <f>AL1</f>
        <v>mean</v>
      </c>
      <c r="AM77" s="286" t="str">
        <f>AM1</f>
        <v>std</v>
      </c>
      <c r="AN77" s="286" t="str">
        <f>AN1</f>
        <v>%/value</v>
      </c>
      <c r="AO77" s="15"/>
      <c r="AP77" s="15"/>
      <c r="AQ77" s="15"/>
      <c r="AR77" s="15"/>
      <c r="AS77" s="15"/>
    </row>
    <row r="78" spans="1:45">
      <c r="A78" s="304"/>
      <c r="B78" s="304"/>
      <c r="C78" s="304"/>
      <c r="D78" s="304"/>
      <c r="E78" s="111" t="s">
        <v>97</v>
      </c>
      <c r="F78" s="112">
        <f>ABS(AND(DUTenable!B16,F3&lt;&gt;""))</f>
        <v>0</v>
      </c>
      <c r="G78" s="112">
        <f>ABS(AND(DUTenable!C16,G3&lt;&gt;""))</f>
        <v>0</v>
      </c>
      <c r="H78" s="112">
        <f>ABS(AND(DUTenable!D16,H3&lt;&gt;""))</f>
        <v>1</v>
      </c>
      <c r="I78" s="112">
        <f>ABS(AND(DUTenable!E16,I3&lt;&gt;""))</f>
        <v>1</v>
      </c>
      <c r="J78" s="112">
        <f>ABS(AND(DUTenable!F16,J3&lt;&gt;""))</f>
        <v>0</v>
      </c>
      <c r="K78" s="112">
        <f>ABS(AND(DUTenable!G16,K3&lt;&gt;""))</f>
        <v>1</v>
      </c>
      <c r="L78" s="112">
        <f>ABS(AND(DUTenable!H16,L3&lt;&gt;""))</f>
        <v>1</v>
      </c>
      <c r="M78" s="112">
        <f>ABS(AND(DUTenable!I16,M3&lt;&gt;""))</f>
        <v>0</v>
      </c>
      <c r="N78" s="112">
        <f>ABS(AND(DUTenable!J16,N3&lt;&gt;""))</f>
        <v>1</v>
      </c>
      <c r="O78" s="112">
        <f>ABS(AND(DUTenable!K16,O3&lt;&gt;""))</f>
        <v>1</v>
      </c>
      <c r="P78" s="112">
        <f>ABS(AND(DUTenable!L16,P3&lt;&gt;""))</f>
        <v>1</v>
      </c>
      <c r="Q78" s="112">
        <f>ABS(AND(DUTenable!M16,Q3&lt;&gt;""))</f>
        <v>1</v>
      </c>
      <c r="R78" s="112">
        <f>ABS(AND(DUTenable!N16,R3&lt;&gt;""))</f>
        <v>1</v>
      </c>
      <c r="S78" s="112">
        <f>ABS(AND(DUTenable!O16,S3&lt;&gt;""))</f>
        <v>1</v>
      </c>
      <c r="T78" s="112">
        <f>ABS(AND(DUTenable!P16,T3&lt;&gt;""))</f>
        <v>1</v>
      </c>
      <c r="U78" s="112">
        <f>ABS(AND(DUTenable!Q16,U3&lt;&gt;""))</f>
        <v>1</v>
      </c>
      <c r="V78" s="112">
        <f>ABS(AND(DUTenable!R16,V3&lt;&gt;""))</f>
        <v>1</v>
      </c>
      <c r="W78" s="112">
        <f>ABS(AND(DUTenable!S16,W3&lt;&gt;""))</f>
        <v>1</v>
      </c>
      <c r="X78" s="112">
        <f>ABS(AND(DUTenable!T16,X3&lt;&gt;""))</f>
        <v>1</v>
      </c>
      <c r="Y78" s="112">
        <f>ABS(AND(DUTenable!U16,Y3&lt;&gt;""))</f>
        <v>1</v>
      </c>
      <c r="Z78" s="112">
        <f>ABS(AND(DUTenable!V16,Z3&lt;&gt;""))</f>
        <v>1</v>
      </c>
      <c r="AA78" s="112">
        <f>ABS(AND(DUTenable!W16,AA3&lt;&gt;""))</f>
        <v>1</v>
      </c>
      <c r="AB78" s="112">
        <f>ABS(AND(DUTenable!X16,AB3&lt;&gt;""))</f>
        <v>1</v>
      </c>
      <c r="AC78" s="112">
        <f>ABS(AND(DUTenable!Y16,AC3&lt;&gt;""))</f>
        <v>1</v>
      </c>
      <c r="AD78" s="112">
        <f>ABS(AND(DUTenable!Z16,AD3&lt;&gt;""))</f>
        <v>1</v>
      </c>
      <c r="AE78" s="112">
        <f>ABS(AND(DUTenable!AA16,AE3&lt;&gt;""))</f>
        <v>1</v>
      </c>
      <c r="AF78" s="112">
        <f>ABS(AND(DUTenable!AB16,AF3&lt;&gt;""))</f>
        <v>0</v>
      </c>
      <c r="AG78" s="112">
        <f>ABS(AND(DUTenable!AC16,AG3&lt;&gt;""))</f>
        <v>1</v>
      </c>
      <c r="AH78" s="112">
        <f>ABS(AND(DUTenable!AD16,AH3&lt;&gt;""))</f>
        <v>1</v>
      </c>
      <c r="AI78" s="112">
        <f>ABS(AND(DUTenable!AE16,AI3&lt;&gt;""))</f>
        <v>1</v>
      </c>
      <c r="AJ78" s="112">
        <f>ABS(AND(DUTenable!AF16,AJ3&lt;&gt;""))</f>
        <v>1</v>
      </c>
      <c r="AK78" s="112">
        <f>ABS(AND(DUTenable!AG16,AK3&lt;&gt;""))</f>
        <v>1</v>
      </c>
      <c r="AL78" s="286"/>
      <c r="AM78" s="286"/>
      <c r="AN78" s="286"/>
      <c r="AO78" s="104"/>
      <c r="AP78" s="104"/>
      <c r="AQ78" s="104"/>
      <c r="AR78" s="104"/>
      <c r="AS78" s="104"/>
    </row>
    <row r="79" spans="1:45">
      <c r="A79" s="242" t="str">
        <f>A3</f>
        <v>HZ</v>
      </c>
      <c r="B79" s="242" t="str">
        <f>B63</f>
        <v>LO</v>
      </c>
      <c r="C79" s="242"/>
      <c r="D79" s="46" t="s">
        <v>92</v>
      </c>
      <c r="F79" s="100" t="str">
        <f>IF(AND(F$78,F3&lt;&gt;""),(F6-F4)/$D6/F4,"")</f>
        <v/>
      </c>
      <c r="G79" s="100" t="str">
        <f t="shared" ref="G79:AK79" si="64">IF(AND(G$78,G3&lt;&gt;""),(G6-G4)/$D6/G4,"")</f>
        <v/>
      </c>
      <c r="H79" s="100">
        <f t="shared" si="64"/>
        <v>-1.5873015873015872E-2</v>
      </c>
      <c r="I79" s="100">
        <f t="shared" si="64"/>
        <v>-1.5873015873015876E-2</v>
      </c>
      <c r="J79" s="100" t="str">
        <f t="shared" si="64"/>
        <v/>
      </c>
      <c r="K79" s="100">
        <f t="shared" si="64"/>
        <v>-1.4400540233055233E-2</v>
      </c>
      <c r="L79" s="100">
        <f t="shared" si="64"/>
        <v>-1.549747584143665E-2</v>
      </c>
      <c r="M79" s="100" t="str">
        <f t="shared" si="64"/>
        <v/>
      </c>
      <c r="N79" s="100">
        <f t="shared" si="64"/>
        <v>-1.5805405734993911E-2</v>
      </c>
      <c r="O79" s="100">
        <f t="shared" si="64"/>
        <v>-1.4613850762909423E-2</v>
      </c>
      <c r="P79" s="100">
        <f t="shared" si="64"/>
        <v>-1.3435275209560728E-2</v>
      </c>
      <c r="Q79" s="100">
        <f t="shared" si="64"/>
        <v>-1.5388120663742833E-2</v>
      </c>
      <c r="R79" s="100">
        <f t="shared" si="64"/>
        <v>-1.340509420852622E-2</v>
      </c>
      <c r="S79" s="100">
        <f t="shared" si="64"/>
        <v>-1.3117323549435447E-2</v>
      </c>
      <c r="T79" s="100">
        <f t="shared" si="64"/>
        <v>-1.373381110574376E-2</v>
      </c>
      <c r="U79" s="100">
        <f t="shared" si="64"/>
        <v>-1.1815617564690588E-2</v>
      </c>
      <c r="V79" s="100">
        <f t="shared" si="64"/>
        <v>-1.5586171754883424E-2</v>
      </c>
      <c r="W79" s="100">
        <f t="shared" si="64"/>
        <v>-1.5873015873015872E-2</v>
      </c>
      <c r="X79" s="100">
        <f t="shared" si="64"/>
        <v>-1.5786278078068591E-2</v>
      </c>
      <c r="Y79" s="100">
        <f t="shared" si="64"/>
        <v>-1.5873015873015872E-2</v>
      </c>
      <c r="Z79" s="100">
        <f t="shared" si="64"/>
        <v>-1.461691316356593E-2</v>
      </c>
      <c r="AA79" s="100">
        <f t="shared" si="64"/>
        <v>-1.3791355501519591E-2</v>
      </c>
      <c r="AB79" s="100">
        <f t="shared" si="64"/>
        <v>-1.5873015873015872E-2</v>
      </c>
      <c r="AC79" s="100">
        <f t="shared" si="64"/>
        <v>-1.5873015873015872E-2</v>
      </c>
      <c r="AD79" s="100">
        <f t="shared" si="64"/>
        <v>-1.5873015873015872E-2</v>
      </c>
      <c r="AE79" s="100">
        <f t="shared" si="64"/>
        <v>-1.5873015873015872E-2</v>
      </c>
      <c r="AF79" s="100" t="str">
        <f t="shared" si="64"/>
        <v/>
      </c>
      <c r="AG79" s="100">
        <f t="shared" si="64"/>
        <v>-1.2691394376458985E-2</v>
      </c>
      <c r="AH79" s="100">
        <f t="shared" si="64"/>
        <v>-1.5873015873015872E-2</v>
      </c>
      <c r="AI79" s="100">
        <f t="shared" si="64"/>
        <v>-1.0428877837510307E-2</v>
      </c>
      <c r="AJ79" s="100">
        <f t="shared" si="64"/>
        <v>-1.5221211508232999E-2</v>
      </c>
      <c r="AK79" s="100">
        <f t="shared" si="64"/>
        <v>-1.2359812709549787E-2</v>
      </c>
      <c r="AL79" s="103">
        <f t="shared" ref="AL79" si="65">AVERAGE(F79:AK79)</f>
        <v>-1.4613024913371382E-2</v>
      </c>
      <c r="AM79" s="103">
        <f t="shared" ref="AM79" si="66">STDEV(F79:AK79)</f>
        <v>1.5249875527936158E-3</v>
      </c>
      <c r="AN79" s="56">
        <f>ABS(AM79/AL79)</f>
        <v>0.10435810257178195</v>
      </c>
      <c r="AO79" s="107"/>
    </row>
    <row r="80" spans="1:45">
      <c r="A80" s="242"/>
      <c r="B80" s="242"/>
      <c r="C80" s="242"/>
      <c r="D80" s="46" t="s">
        <v>93</v>
      </c>
      <c r="F80" s="100" t="str">
        <f t="shared" ref="F80:AK80" si="67">IF(AND(F$78,F3&lt;&gt;"",comp38&gt;63),(F8-F7)/($D8-$D7)/F4,"")</f>
        <v/>
      </c>
      <c r="G80" s="100" t="str">
        <f t="shared" si="67"/>
        <v/>
      </c>
      <c r="H80" s="100" t="str">
        <f t="shared" si="67"/>
        <v/>
      </c>
      <c r="I80" s="100" t="str">
        <f t="shared" si="67"/>
        <v/>
      </c>
      <c r="J80" s="100" t="str">
        <f t="shared" si="67"/>
        <v/>
      </c>
      <c r="K80" s="100" t="str">
        <f t="shared" si="67"/>
        <v/>
      </c>
      <c r="L80" s="100" t="str">
        <f t="shared" si="67"/>
        <v/>
      </c>
      <c r="M80" s="100" t="str">
        <f t="shared" si="67"/>
        <v/>
      </c>
      <c r="N80" s="100" t="str">
        <f t="shared" si="67"/>
        <v/>
      </c>
      <c r="O80" s="100" t="str">
        <f t="shared" si="67"/>
        <v/>
      </c>
      <c r="P80" s="100" t="str">
        <f t="shared" si="67"/>
        <v/>
      </c>
      <c r="Q80" s="100" t="str">
        <f t="shared" si="67"/>
        <v/>
      </c>
      <c r="R80" s="100" t="str">
        <f t="shared" si="67"/>
        <v/>
      </c>
      <c r="S80" s="100" t="str">
        <f t="shared" si="67"/>
        <v/>
      </c>
      <c r="T80" s="100" t="str">
        <f t="shared" si="67"/>
        <v/>
      </c>
      <c r="U80" s="100" t="str">
        <f t="shared" si="67"/>
        <v/>
      </c>
      <c r="V80" s="100" t="str">
        <f t="shared" si="67"/>
        <v/>
      </c>
      <c r="W80" s="100" t="str">
        <f t="shared" si="67"/>
        <v/>
      </c>
      <c r="X80" s="100" t="str">
        <f t="shared" si="67"/>
        <v/>
      </c>
      <c r="Y80" s="100" t="str">
        <f t="shared" si="67"/>
        <v/>
      </c>
      <c r="Z80" s="100" t="str">
        <f t="shared" si="67"/>
        <v/>
      </c>
      <c r="AA80" s="100" t="str">
        <f t="shared" si="67"/>
        <v/>
      </c>
      <c r="AB80" s="100" t="str">
        <f t="shared" si="67"/>
        <v/>
      </c>
      <c r="AC80" s="100" t="str">
        <f t="shared" si="67"/>
        <v/>
      </c>
      <c r="AD80" s="100" t="str">
        <f t="shared" si="67"/>
        <v/>
      </c>
      <c r="AE80" s="100" t="str">
        <f t="shared" si="67"/>
        <v/>
      </c>
      <c r="AF80" s="100" t="str">
        <f t="shared" si="67"/>
        <v/>
      </c>
      <c r="AG80" s="100" t="str">
        <f t="shared" si="67"/>
        <v/>
      </c>
      <c r="AH80" s="100" t="str">
        <f t="shared" si="67"/>
        <v/>
      </c>
      <c r="AI80" s="100" t="str">
        <f t="shared" si="67"/>
        <v/>
      </c>
      <c r="AJ80" s="100" t="str">
        <f t="shared" si="67"/>
        <v/>
      </c>
      <c r="AK80" s="100" t="str">
        <f t="shared" si="67"/>
        <v/>
      </c>
      <c r="AL80" s="103" t="e">
        <f t="shared" ref="AL80:AL91" si="68">AVERAGE(F80:AK80)</f>
        <v>#DIV/0!</v>
      </c>
      <c r="AM80" s="103" t="e">
        <f t="shared" ref="AM80:AM91" si="69">STDEV(F80:AK80)</f>
        <v>#DIV/0!</v>
      </c>
      <c r="AN80" s="56" t="e">
        <f t="shared" ref="AN80:AN90" si="70">ABS(AM80/AL80)</f>
        <v>#DIV/0!</v>
      </c>
      <c r="AO80" s="107"/>
    </row>
    <row r="81" spans="1:41">
      <c r="A81" s="242"/>
      <c r="B81" s="242"/>
      <c r="C81" s="242"/>
      <c r="D81" s="46" t="s">
        <v>94</v>
      </c>
      <c r="F81" s="101" t="str">
        <f>IF(AND(F$78,F3&lt;&gt;""),(F7-F4)/F4,"")</f>
        <v/>
      </c>
      <c r="G81" s="154" t="str">
        <f t="shared" ref="G81:AK81" si="71">IF(AND(G$78,G3&lt;&gt;""),(G7-G4)/G4,"")</f>
        <v/>
      </c>
      <c r="H81" s="154">
        <f t="shared" si="71"/>
        <v>-1</v>
      </c>
      <c r="I81" s="154">
        <f t="shared" si="71"/>
        <v>-1</v>
      </c>
      <c r="J81" s="154" t="str">
        <f t="shared" si="71"/>
        <v/>
      </c>
      <c r="K81" s="154">
        <f t="shared" si="71"/>
        <v>-1</v>
      </c>
      <c r="L81" s="154">
        <f t="shared" si="71"/>
        <v>-1</v>
      </c>
      <c r="M81" s="154" t="str">
        <f t="shared" si="71"/>
        <v/>
      </c>
      <c r="N81" s="154">
        <f t="shared" si="71"/>
        <v>-1</v>
      </c>
      <c r="O81" s="154">
        <f t="shared" si="71"/>
        <v>-1</v>
      </c>
      <c r="P81" s="154">
        <f t="shared" si="71"/>
        <v>-1</v>
      </c>
      <c r="Q81" s="154">
        <f t="shared" si="71"/>
        <v>-1</v>
      </c>
      <c r="R81" s="154">
        <f t="shared" si="71"/>
        <v>-1</v>
      </c>
      <c r="S81" s="154">
        <f t="shared" si="71"/>
        <v>-1</v>
      </c>
      <c r="T81" s="154">
        <f t="shared" si="71"/>
        <v>-1</v>
      </c>
      <c r="U81" s="154">
        <f t="shared" si="71"/>
        <v>-1</v>
      </c>
      <c r="V81" s="154">
        <f t="shared" si="71"/>
        <v>-1</v>
      </c>
      <c r="W81" s="154">
        <f t="shared" si="71"/>
        <v>-1</v>
      </c>
      <c r="X81" s="154">
        <f t="shared" si="71"/>
        <v>-1</v>
      </c>
      <c r="Y81" s="154">
        <f t="shared" si="71"/>
        <v>-1</v>
      </c>
      <c r="Z81" s="154">
        <f t="shared" si="71"/>
        <v>-1</v>
      </c>
      <c r="AA81" s="154">
        <f t="shared" si="71"/>
        <v>-1</v>
      </c>
      <c r="AB81" s="154">
        <f t="shared" si="71"/>
        <v>-1</v>
      </c>
      <c r="AC81" s="154">
        <f t="shared" si="71"/>
        <v>-1</v>
      </c>
      <c r="AD81" s="154">
        <f t="shared" si="71"/>
        <v>-1</v>
      </c>
      <c r="AE81" s="154">
        <f t="shared" si="71"/>
        <v>-1</v>
      </c>
      <c r="AF81" s="154" t="str">
        <f t="shared" si="71"/>
        <v/>
      </c>
      <c r="AG81" s="154">
        <f t="shared" si="71"/>
        <v>-1</v>
      </c>
      <c r="AH81" s="154">
        <f t="shared" si="71"/>
        <v>-1</v>
      </c>
      <c r="AI81" s="154">
        <f t="shared" si="71"/>
        <v>-1</v>
      </c>
      <c r="AJ81" s="154">
        <f t="shared" si="71"/>
        <v>-1</v>
      </c>
      <c r="AK81" s="154">
        <f t="shared" si="71"/>
        <v>-1</v>
      </c>
      <c r="AL81" s="103">
        <f t="shared" si="68"/>
        <v>-1</v>
      </c>
      <c r="AM81" s="103">
        <f t="shared" si="69"/>
        <v>0</v>
      </c>
      <c r="AN81" s="56">
        <f t="shared" si="70"/>
        <v>0</v>
      </c>
      <c r="AO81" s="107"/>
    </row>
    <row r="82" spans="1:41">
      <c r="A82" s="242"/>
      <c r="B82" s="242"/>
      <c r="C82" s="242"/>
      <c r="D82" s="98" t="s">
        <v>118</v>
      </c>
      <c r="F82" s="100" t="str">
        <f>IF(AND(F$78,F3&lt;&gt;""),AVERAGE(F79:F80),"")</f>
        <v/>
      </c>
      <c r="G82" s="100" t="str">
        <f t="shared" ref="G82:AK82" si="72">IF(AND(G$78,G3&lt;&gt;""),AVERAGE(G79:G80),"")</f>
        <v/>
      </c>
      <c r="H82" s="100">
        <f t="shared" si="72"/>
        <v>-1.5873015873015872E-2</v>
      </c>
      <c r="I82" s="100">
        <f t="shared" si="72"/>
        <v>-1.5873015873015876E-2</v>
      </c>
      <c r="J82" s="100" t="str">
        <f t="shared" si="72"/>
        <v/>
      </c>
      <c r="K82" s="100">
        <f t="shared" si="72"/>
        <v>-1.4400540233055233E-2</v>
      </c>
      <c r="L82" s="100">
        <f t="shared" si="72"/>
        <v>-1.549747584143665E-2</v>
      </c>
      <c r="M82" s="100" t="str">
        <f t="shared" si="72"/>
        <v/>
      </c>
      <c r="N82" s="100">
        <f t="shared" si="72"/>
        <v>-1.5805405734993911E-2</v>
      </c>
      <c r="O82" s="100">
        <f t="shared" si="72"/>
        <v>-1.4613850762909423E-2</v>
      </c>
      <c r="P82" s="100">
        <f t="shared" si="72"/>
        <v>-1.3435275209560728E-2</v>
      </c>
      <c r="Q82" s="100">
        <f t="shared" si="72"/>
        <v>-1.5388120663742833E-2</v>
      </c>
      <c r="R82" s="100">
        <f t="shared" si="72"/>
        <v>-1.340509420852622E-2</v>
      </c>
      <c r="S82" s="100">
        <f t="shared" si="72"/>
        <v>-1.3117323549435447E-2</v>
      </c>
      <c r="T82" s="100">
        <f t="shared" si="72"/>
        <v>-1.373381110574376E-2</v>
      </c>
      <c r="U82" s="100">
        <f t="shared" si="72"/>
        <v>-1.1815617564690588E-2</v>
      </c>
      <c r="V82" s="100">
        <f t="shared" si="72"/>
        <v>-1.5586171754883424E-2</v>
      </c>
      <c r="W82" s="100">
        <f t="shared" si="72"/>
        <v>-1.5873015873015872E-2</v>
      </c>
      <c r="X82" s="100">
        <f t="shared" si="72"/>
        <v>-1.5786278078068591E-2</v>
      </c>
      <c r="Y82" s="100">
        <f t="shared" si="72"/>
        <v>-1.5873015873015872E-2</v>
      </c>
      <c r="Z82" s="100">
        <f t="shared" si="72"/>
        <v>-1.461691316356593E-2</v>
      </c>
      <c r="AA82" s="100">
        <f t="shared" si="72"/>
        <v>-1.3791355501519591E-2</v>
      </c>
      <c r="AB82" s="100">
        <f t="shared" si="72"/>
        <v>-1.5873015873015872E-2</v>
      </c>
      <c r="AC82" s="100">
        <f t="shared" si="72"/>
        <v>-1.5873015873015872E-2</v>
      </c>
      <c r="AD82" s="100">
        <f t="shared" si="72"/>
        <v>-1.5873015873015872E-2</v>
      </c>
      <c r="AE82" s="100">
        <f t="shared" si="72"/>
        <v>-1.5873015873015872E-2</v>
      </c>
      <c r="AF82" s="100" t="str">
        <f t="shared" si="72"/>
        <v/>
      </c>
      <c r="AG82" s="100">
        <f t="shared" si="72"/>
        <v>-1.2691394376458985E-2</v>
      </c>
      <c r="AH82" s="100">
        <f t="shared" si="72"/>
        <v>-1.5873015873015872E-2</v>
      </c>
      <c r="AI82" s="100">
        <f t="shared" si="72"/>
        <v>-1.0428877837510307E-2</v>
      </c>
      <c r="AJ82" s="100">
        <f t="shared" si="72"/>
        <v>-1.5221211508232999E-2</v>
      </c>
      <c r="AK82" s="100">
        <f t="shared" si="72"/>
        <v>-1.2359812709549787E-2</v>
      </c>
      <c r="AL82" s="103">
        <f t="shared" si="68"/>
        <v>-1.4613024913371382E-2</v>
      </c>
      <c r="AM82" s="103">
        <f t="shared" si="69"/>
        <v>1.5249875527936158E-3</v>
      </c>
      <c r="AN82" s="56">
        <f t="shared" si="70"/>
        <v>0.10435810257178195</v>
      </c>
      <c r="AO82" s="107"/>
    </row>
    <row r="83" spans="1:41">
      <c r="A83" s="242"/>
      <c r="B83" s="242"/>
      <c r="C83" s="242"/>
      <c r="D83" s="46" t="s">
        <v>95</v>
      </c>
      <c r="F83" s="102" t="str">
        <f>IF(AND(F$78,F3&lt;&gt;""),F81/F82,"")</f>
        <v/>
      </c>
      <c r="G83" s="112" t="str">
        <f t="shared" ref="G83:AK83" si="73">IF(AND(G$78,G3&lt;&gt;""),G81/G82,"")</f>
        <v/>
      </c>
      <c r="H83" s="112">
        <f t="shared" si="73"/>
        <v>63</v>
      </c>
      <c r="I83" s="112">
        <f t="shared" si="73"/>
        <v>62.999999999999993</v>
      </c>
      <c r="J83" s="112" t="str">
        <f t="shared" si="73"/>
        <v/>
      </c>
      <c r="K83" s="112">
        <f t="shared" si="73"/>
        <v>69.441839251598623</v>
      </c>
      <c r="L83" s="112">
        <f t="shared" si="73"/>
        <v>64.526637126688229</v>
      </c>
      <c r="M83" s="112" t="str">
        <f t="shared" si="73"/>
        <v/>
      </c>
      <c r="N83" s="112">
        <f t="shared" si="73"/>
        <v>63.269492524696979</v>
      </c>
      <c r="O83" s="112">
        <f t="shared" si="73"/>
        <v>68.428234024261613</v>
      </c>
      <c r="P83" s="112">
        <f t="shared" si="73"/>
        <v>74.430927867289697</v>
      </c>
      <c r="Q83" s="112">
        <f t="shared" si="73"/>
        <v>64.985193569230262</v>
      </c>
      <c r="R83" s="112">
        <f t="shared" si="73"/>
        <v>74.598505944401097</v>
      </c>
      <c r="S83" s="112">
        <f t="shared" si="73"/>
        <v>76.235063977135695</v>
      </c>
      <c r="T83" s="112">
        <f t="shared" si="73"/>
        <v>72.813000870659977</v>
      </c>
      <c r="U83" s="112">
        <f t="shared" si="73"/>
        <v>84.633748047869105</v>
      </c>
      <c r="V83" s="112">
        <f t="shared" si="73"/>
        <v>64.159436693406278</v>
      </c>
      <c r="W83" s="112">
        <f t="shared" si="73"/>
        <v>63</v>
      </c>
      <c r="X83" s="112">
        <f t="shared" si="73"/>
        <v>63.346153859361593</v>
      </c>
      <c r="Y83" s="112">
        <f t="shared" si="73"/>
        <v>63</v>
      </c>
      <c r="Z83" s="112">
        <f t="shared" si="73"/>
        <v>68.413897572614488</v>
      </c>
      <c r="AA83" s="112">
        <f t="shared" si="73"/>
        <v>72.509188809600019</v>
      </c>
      <c r="AB83" s="112">
        <f t="shared" si="73"/>
        <v>63</v>
      </c>
      <c r="AC83" s="112">
        <f t="shared" si="73"/>
        <v>63</v>
      </c>
      <c r="AD83" s="112">
        <f t="shared" si="73"/>
        <v>63</v>
      </c>
      <c r="AE83" s="112">
        <f t="shared" si="73"/>
        <v>63</v>
      </c>
      <c r="AF83" s="112" t="str">
        <f t="shared" si="73"/>
        <v/>
      </c>
      <c r="AG83" s="112">
        <f t="shared" si="73"/>
        <v>78.793548631258361</v>
      </c>
      <c r="AH83" s="112">
        <f t="shared" si="73"/>
        <v>63</v>
      </c>
      <c r="AI83" s="112">
        <f t="shared" si="73"/>
        <v>95.887593620401503</v>
      </c>
      <c r="AJ83" s="112">
        <f t="shared" si="73"/>
        <v>65.69779281098026</v>
      </c>
      <c r="AK83" s="112">
        <f t="shared" si="73"/>
        <v>80.907374852642533</v>
      </c>
      <c r="AL83" s="52">
        <f t="shared" si="68"/>
        <v>69.262134446448016</v>
      </c>
      <c r="AM83" s="58">
        <f t="shared" si="69"/>
        <v>8.3282975578071792</v>
      </c>
      <c r="AN83" s="56">
        <f t="shared" si="70"/>
        <v>0.1202431548546405</v>
      </c>
      <c r="AO83" s="107"/>
    </row>
    <row r="84" spans="1:41">
      <c r="A84" s="242"/>
      <c r="B84" s="242" t="str">
        <f>B69</f>
        <v>HI</v>
      </c>
      <c r="C84" s="242"/>
      <c r="D84" s="46" t="str">
        <f>D79</f>
        <v>seg0</v>
      </c>
      <c r="F84" s="100" t="str">
        <f>IF(AND(F$78,F3&lt;&gt;""),(F12-F10)/$D12/F10,"")</f>
        <v/>
      </c>
      <c r="G84" s="100" t="str">
        <f t="shared" ref="G84:AK84" si="74">IF(AND(G$78,G3&lt;&gt;""),(G12-G10)/$D12/G10,"")</f>
        <v/>
      </c>
      <c r="H84" s="100">
        <f t="shared" si="74"/>
        <v>-1.5873015873015872E-2</v>
      </c>
      <c r="I84" s="100">
        <f t="shared" si="74"/>
        <v>-1.5873015873015872E-2</v>
      </c>
      <c r="J84" s="100" t="str">
        <f t="shared" si="74"/>
        <v/>
      </c>
      <c r="K84" s="100">
        <f t="shared" si="74"/>
        <v>-1.4404587111533562E-2</v>
      </c>
      <c r="L84" s="100">
        <f t="shared" si="74"/>
        <v>-1.5421650499262305E-2</v>
      </c>
      <c r="M84" s="100" t="str">
        <f t="shared" si="74"/>
        <v/>
      </c>
      <c r="N84" s="100">
        <f t="shared" si="74"/>
        <v>-1.5798842903760036E-2</v>
      </c>
      <c r="O84" s="100">
        <f t="shared" si="74"/>
        <v>-1.4594147314047437E-2</v>
      </c>
      <c r="P84" s="100">
        <f t="shared" si="74"/>
        <v>-1.3330251269593066E-2</v>
      </c>
      <c r="Q84" s="100">
        <f t="shared" si="74"/>
        <v>-1.5389573757726626E-2</v>
      </c>
      <c r="R84" s="100">
        <f t="shared" si="74"/>
        <v>-1.3362487852283771E-2</v>
      </c>
      <c r="S84" s="100">
        <f t="shared" si="74"/>
        <v>-1.3084513161102302E-2</v>
      </c>
      <c r="T84" s="100">
        <f t="shared" si="74"/>
        <v>-1.3701707222834316E-2</v>
      </c>
      <c r="U84" s="100">
        <f t="shared" si="74"/>
        <v>-1.1103993275763587E-2</v>
      </c>
      <c r="V84" s="100">
        <f t="shared" si="74"/>
        <v>-1.556178026766262E-2</v>
      </c>
      <c r="W84" s="100">
        <f t="shared" si="74"/>
        <v>-1.5798494670667462E-2</v>
      </c>
      <c r="X84" s="100">
        <f t="shared" si="74"/>
        <v>-1.5709376539262028E-2</v>
      </c>
      <c r="Y84" s="100">
        <f t="shared" si="74"/>
        <v>-1.5873015873015876E-2</v>
      </c>
      <c r="Z84" s="100">
        <f t="shared" si="74"/>
        <v>-1.4616402116402118E-2</v>
      </c>
      <c r="AA84" s="100">
        <f t="shared" si="74"/>
        <v>-1.3805832557048505E-2</v>
      </c>
      <c r="AB84" s="100">
        <f t="shared" si="74"/>
        <v>-1.5873015873015872E-2</v>
      </c>
      <c r="AC84" s="100">
        <f t="shared" si="74"/>
        <v>-1.5873015873015876E-2</v>
      </c>
      <c r="AD84" s="100">
        <f t="shared" si="74"/>
        <v>-1.5873015873015872E-2</v>
      </c>
      <c r="AE84" s="100">
        <f t="shared" si="74"/>
        <v>-1.5800865804865189E-2</v>
      </c>
      <c r="AF84" s="100" t="str">
        <f t="shared" si="74"/>
        <v/>
      </c>
      <c r="AG84" s="100">
        <f t="shared" si="74"/>
        <v>-1.2728361965856375E-2</v>
      </c>
      <c r="AH84" s="100">
        <f t="shared" si="74"/>
        <v>-1.5873015873015872E-2</v>
      </c>
      <c r="AI84" s="100">
        <f t="shared" si="74"/>
        <v>-1.0373155191917591E-2</v>
      </c>
      <c r="AJ84" s="100">
        <f t="shared" si="74"/>
        <v>-1.5214688053495396E-2</v>
      </c>
      <c r="AK84" s="100">
        <f t="shared" si="74"/>
        <v>-1.2388695263706208E-2</v>
      </c>
      <c r="AL84" s="103">
        <f t="shared" si="68"/>
        <v>-1.4566685848514874E-2</v>
      </c>
      <c r="AM84" s="103">
        <f t="shared" si="69"/>
        <v>1.5794293708649683E-3</v>
      </c>
      <c r="AN84" s="56">
        <f t="shared" si="70"/>
        <v>0.10842750281636621</v>
      </c>
      <c r="AO84" s="107"/>
    </row>
    <row r="85" spans="1:41">
      <c r="A85" s="242"/>
      <c r="B85" s="242"/>
      <c r="C85" s="242"/>
      <c r="D85" s="46" t="str">
        <f>D80</f>
        <v>seg1</v>
      </c>
      <c r="F85" s="100" t="str">
        <f t="shared" ref="F85:AK85" si="75">IF(AND(F$78,F3&lt;&gt;"",comp38&gt;63),(F14-F13)/($D14-$D13)/F10,"")</f>
        <v/>
      </c>
      <c r="G85" s="100" t="str">
        <f t="shared" si="75"/>
        <v/>
      </c>
      <c r="H85" s="100" t="str">
        <f t="shared" si="75"/>
        <v/>
      </c>
      <c r="I85" s="100" t="str">
        <f t="shared" si="75"/>
        <v/>
      </c>
      <c r="J85" s="100" t="str">
        <f t="shared" si="75"/>
        <v/>
      </c>
      <c r="K85" s="100" t="str">
        <f t="shared" si="75"/>
        <v/>
      </c>
      <c r="L85" s="100" t="str">
        <f t="shared" si="75"/>
        <v/>
      </c>
      <c r="M85" s="100" t="str">
        <f t="shared" si="75"/>
        <v/>
      </c>
      <c r="N85" s="100" t="str">
        <f t="shared" si="75"/>
        <v/>
      </c>
      <c r="O85" s="100" t="str">
        <f t="shared" si="75"/>
        <v/>
      </c>
      <c r="P85" s="100" t="str">
        <f t="shared" si="75"/>
        <v/>
      </c>
      <c r="Q85" s="100" t="str">
        <f t="shared" si="75"/>
        <v/>
      </c>
      <c r="R85" s="100" t="str">
        <f t="shared" si="75"/>
        <v/>
      </c>
      <c r="S85" s="100" t="str">
        <f t="shared" si="75"/>
        <v/>
      </c>
      <c r="T85" s="100" t="str">
        <f t="shared" si="75"/>
        <v/>
      </c>
      <c r="U85" s="100" t="str">
        <f t="shared" si="75"/>
        <v/>
      </c>
      <c r="V85" s="100" t="str">
        <f t="shared" si="75"/>
        <v/>
      </c>
      <c r="W85" s="100" t="str">
        <f t="shared" si="75"/>
        <v/>
      </c>
      <c r="X85" s="100" t="str">
        <f t="shared" si="75"/>
        <v/>
      </c>
      <c r="Y85" s="100" t="str">
        <f t="shared" si="75"/>
        <v/>
      </c>
      <c r="Z85" s="100" t="str">
        <f t="shared" si="75"/>
        <v/>
      </c>
      <c r="AA85" s="100" t="str">
        <f t="shared" si="75"/>
        <v/>
      </c>
      <c r="AB85" s="100" t="str">
        <f t="shared" si="75"/>
        <v/>
      </c>
      <c r="AC85" s="100" t="str">
        <f t="shared" si="75"/>
        <v/>
      </c>
      <c r="AD85" s="100" t="str">
        <f t="shared" si="75"/>
        <v/>
      </c>
      <c r="AE85" s="100" t="str">
        <f t="shared" si="75"/>
        <v/>
      </c>
      <c r="AF85" s="100" t="str">
        <f t="shared" si="75"/>
        <v/>
      </c>
      <c r="AG85" s="100" t="str">
        <f t="shared" si="75"/>
        <v/>
      </c>
      <c r="AH85" s="100" t="str">
        <f t="shared" si="75"/>
        <v/>
      </c>
      <c r="AI85" s="100" t="str">
        <f t="shared" si="75"/>
        <v/>
      </c>
      <c r="AJ85" s="100" t="str">
        <f t="shared" si="75"/>
        <v/>
      </c>
      <c r="AK85" s="100" t="str">
        <f t="shared" si="75"/>
        <v/>
      </c>
      <c r="AL85" s="103" t="e">
        <f t="shared" si="68"/>
        <v>#DIV/0!</v>
      </c>
      <c r="AM85" s="103" t="e">
        <f t="shared" si="69"/>
        <v>#DIV/0!</v>
      </c>
      <c r="AN85" s="56" t="e">
        <f t="shared" si="70"/>
        <v>#DIV/0!</v>
      </c>
      <c r="AO85" s="107"/>
    </row>
    <row r="86" spans="1:41">
      <c r="A86" s="242"/>
      <c r="B86" s="242"/>
      <c r="C86" s="242"/>
      <c r="D86" s="46" t="str">
        <f>D81</f>
        <v>off</v>
      </c>
      <c r="F86" s="101" t="str">
        <f>IF(AND(F$78,F3&lt;&gt;""),(F13-F10)/F10,"")</f>
        <v/>
      </c>
      <c r="G86" s="154" t="str">
        <f t="shared" ref="G86:AK86" si="76">IF(AND(G$78,G3&lt;&gt;""),(G13-G10)/G10,"")</f>
        <v/>
      </c>
      <c r="H86" s="154">
        <f t="shared" si="76"/>
        <v>-1</v>
      </c>
      <c r="I86" s="154">
        <f t="shared" si="76"/>
        <v>-1</v>
      </c>
      <c r="J86" s="154" t="str">
        <f t="shared" si="76"/>
        <v/>
      </c>
      <c r="K86" s="154">
        <f t="shared" si="76"/>
        <v>-1</v>
      </c>
      <c r="L86" s="154">
        <f t="shared" si="76"/>
        <v>-0.99526066357558751</v>
      </c>
      <c r="M86" s="154" t="str">
        <f t="shared" si="76"/>
        <v/>
      </c>
      <c r="N86" s="154">
        <f t="shared" si="76"/>
        <v>-1</v>
      </c>
      <c r="O86" s="154">
        <f t="shared" si="76"/>
        <v>-1</v>
      </c>
      <c r="P86" s="154">
        <f t="shared" si="76"/>
        <v>-0.99514563121164734</v>
      </c>
      <c r="Q86" s="154">
        <f t="shared" si="76"/>
        <v>-1</v>
      </c>
      <c r="R86" s="154">
        <f t="shared" si="76"/>
        <v>-1</v>
      </c>
      <c r="S86" s="154">
        <f t="shared" si="76"/>
        <v>-1</v>
      </c>
      <c r="T86" s="154">
        <f t="shared" si="76"/>
        <v>-1</v>
      </c>
      <c r="U86" s="154">
        <f t="shared" si="76"/>
        <v>-1</v>
      </c>
      <c r="V86" s="154">
        <f t="shared" si="76"/>
        <v>-0.99509803921568629</v>
      </c>
      <c r="W86" s="154">
        <f t="shared" si="76"/>
        <v>-1</v>
      </c>
      <c r="X86" s="154">
        <f t="shared" si="76"/>
        <v>-0.9948453609867538</v>
      </c>
      <c r="Y86" s="154">
        <f t="shared" si="76"/>
        <v>-1</v>
      </c>
      <c r="Z86" s="154">
        <f t="shared" si="76"/>
        <v>-1</v>
      </c>
      <c r="AA86" s="154">
        <f t="shared" si="76"/>
        <v>-1</v>
      </c>
      <c r="AB86" s="154">
        <f t="shared" si="76"/>
        <v>-1</v>
      </c>
      <c r="AC86" s="154">
        <f t="shared" si="76"/>
        <v>-1</v>
      </c>
      <c r="AD86" s="154">
        <f t="shared" si="76"/>
        <v>-1</v>
      </c>
      <c r="AE86" s="154">
        <f t="shared" si="76"/>
        <v>-0.99545454570650693</v>
      </c>
      <c r="AF86" s="154" t="str">
        <f t="shared" si="76"/>
        <v/>
      </c>
      <c r="AG86" s="154">
        <f t="shared" si="76"/>
        <v>-1</v>
      </c>
      <c r="AH86" s="154">
        <f t="shared" si="76"/>
        <v>-1</v>
      </c>
      <c r="AI86" s="154">
        <f t="shared" si="76"/>
        <v>-1</v>
      </c>
      <c r="AJ86" s="154">
        <f t="shared" si="76"/>
        <v>-1</v>
      </c>
      <c r="AK86" s="154">
        <f t="shared" si="76"/>
        <v>-0.99512195114696644</v>
      </c>
      <c r="AL86" s="103">
        <f t="shared" si="68"/>
        <v>-0.99892319229048709</v>
      </c>
      <c r="AM86" s="103">
        <f t="shared" si="69"/>
        <v>2.0547818857067249E-3</v>
      </c>
      <c r="AN86" s="56">
        <f t="shared" si="70"/>
        <v>2.0569968758010313E-3</v>
      </c>
      <c r="AO86" s="107"/>
    </row>
    <row r="87" spans="1:41">
      <c r="A87" s="242"/>
      <c r="B87" s="242"/>
      <c r="C87" s="242"/>
      <c r="D87" s="46" t="str">
        <f>D82</f>
        <v>ΔIR</v>
      </c>
      <c r="F87" s="100" t="str">
        <f>IF(AND(F$78,F3&lt;&gt;""),AVERAGE(F84:F85),"")</f>
        <v/>
      </c>
      <c r="G87" s="100" t="str">
        <f t="shared" ref="G87:AK87" si="77">IF(AND(G$78,G3&lt;&gt;""),AVERAGE(G84:G85),"")</f>
        <v/>
      </c>
      <c r="H87" s="100">
        <f t="shared" si="77"/>
        <v>-1.5873015873015872E-2</v>
      </c>
      <c r="I87" s="100">
        <f t="shared" si="77"/>
        <v>-1.5873015873015872E-2</v>
      </c>
      <c r="J87" s="100" t="str">
        <f t="shared" si="77"/>
        <v/>
      </c>
      <c r="K87" s="100">
        <f t="shared" si="77"/>
        <v>-1.4404587111533562E-2</v>
      </c>
      <c r="L87" s="100">
        <f t="shared" si="77"/>
        <v>-1.5421650499262305E-2</v>
      </c>
      <c r="M87" s="100" t="str">
        <f t="shared" si="77"/>
        <v/>
      </c>
      <c r="N87" s="100">
        <f t="shared" si="77"/>
        <v>-1.5798842903760036E-2</v>
      </c>
      <c r="O87" s="100">
        <f t="shared" si="77"/>
        <v>-1.4594147314047437E-2</v>
      </c>
      <c r="P87" s="100">
        <f t="shared" si="77"/>
        <v>-1.3330251269593066E-2</v>
      </c>
      <c r="Q87" s="100">
        <f t="shared" si="77"/>
        <v>-1.5389573757726626E-2</v>
      </c>
      <c r="R87" s="100">
        <f t="shared" si="77"/>
        <v>-1.3362487852283771E-2</v>
      </c>
      <c r="S87" s="100">
        <f t="shared" si="77"/>
        <v>-1.3084513161102302E-2</v>
      </c>
      <c r="T87" s="100">
        <f t="shared" si="77"/>
        <v>-1.3701707222834316E-2</v>
      </c>
      <c r="U87" s="100">
        <f t="shared" si="77"/>
        <v>-1.1103993275763587E-2</v>
      </c>
      <c r="V87" s="100">
        <f t="shared" si="77"/>
        <v>-1.556178026766262E-2</v>
      </c>
      <c r="W87" s="100">
        <f t="shared" si="77"/>
        <v>-1.5798494670667462E-2</v>
      </c>
      <c r="X87" s="100">
        <f t="shared" si="77"/>
        <v>-1.5709376539262028E-2</v>
      </c>
      <c r="Y87" s="100">
        <f t="shared" si="77"/>
        <v>-1.5873015873015876E-2</v>
      </c>
      <c r="Z87" s="100">
        <f t="shared" si="77"/>
        <v>-1.4616402116402118E-2</v>
      </c>
      <c r="AA87" s="100">
        <f t="shared" si="77"/>
        <v>-1.3805832557048505E-2</v>
      </c>
      <c r="AB87" s="100">
        <f t="shared" si="77"/>
        <v>-1.5873015873015872E-2</v>
      </c>
      <c r="AC87" s="100">
        <f t="shared" si="77"/>
        <v>-1.5873015873015876E-2</v>
      </c>
      <c r="AD87" s="100">
        <f t="shared" si="77"/>
        <v>-1.5873015873015872E-2</v>
      </c>
      <c r="AE87" s="100">
        <f t="shared" si="77"/>
        <v>-1.5800865804865189E-2</v>
      </c>
      <c r="AF87" s="100" t="str">
        <f t="shared" si="77"/>
        <v/>
      </c>
      <c r="AG87" s="100">
        <f t="shared" si="77"/>
        <v>-1.2728361965856375E-2</v>
      </c>
      <c r="AH87" s="100">
        <f t="shared" si="77"/>
        <v>-1.5873015873015872E-2</v>
      </c>
      <c r="AI87" s="100">
        <f t="shared" si="77"/>
        <v>-1.0373155191917591E-2</v>
      </c>
      <c r="AJ87" s="100">
        <f t="shared" si="77"/>
        <v>-1.5214688053495396E-2</v>
      </c>
      <c r="AK87" s="100">
        <f t="shared" si="77"/>
        <v>-1.2388695263706208E-2</v>
      </c>
      <c r="AL87" s="103">
        <f t="shared" si="68"/>
        <v>-1.4566685848514874E-2</v>
      </c>
      <c r="AM87" s="103">
        <f t="shared" si="69"/>
        <v>1.5794293708649683E-3</v>
      </c>
      <c r="AN87" s="56">
        <f t="shared" si="70"/>
        <v>0.10842750281636621</v>
      </c>
      <c r="AO87" s="107"/>
    </row>
    <row r="88" spans="1:41">
      <c r="A88" s="242"/>
      <c r="B88" s="242"/>
      <c r="C88" s="242"/>
      <c r="D88" s="46" t="str">
        <f>D83</f>
        <v>code</v>
      </c>
      <c r="F88" s="102" t="str">
        <f>IF(AND(F$78,F3&lt;&gt;""),F86/F87,"")</f>
        <v/>
      </c>
      <c r="G88" s="112" t="str">
        <f t="shared" ref="G88:AK88" si="78">IF(AND(G$78,G3&lt;&gt;""),G86/G87,"")</f>
        <v/>
      </c>
      <c r="H88" s="112">
        <f t="shared" si="78"/>
        <v>63</v>
      </c>
      <c r="I88" s="112">
        <f t="shared" si="78"/>
        <v>63</v>
      </c>
      <c r="J88" s="112" t="str">
        <f t="shared" si="78"/>
        <v/>
      </c>
      <c r="K88" s="112">
        <f t="shared" si="78"/>
        <v>69.422330002038947</v>
      </c>
      <c r="L88" s="112">
        <f t="shared" si="78"/>
        <v>64.536585343001761</v>
      </c>
      <c r="M88" s="112" t="str">
        <f t="shared" si="78"/>
        <v/>
      </c>
      <c r="N88" s="112">
        <f t="shared" si="78"/>
        <v>63.295774639420308</v>
      </c>
      <c r="O88" s="112">
        <f t="shared" si="78"/>
        <v>68.520618469943827</v>
      </c>
      <c r="P88" s="112">
        <f t="shared" si="78"/>
        <v>74.653178780029577</v>
      </c>
      <c r="Q88" s="112">
        <f t="shared" si="78"/>
        <v>64.979057623212668</v>
      </c>
      <c r="R88" s="112">
        <f t="shared" si="78"/>
        <v>74.836363636363643</v>
      </c>
      <c r="S88" s="112">
        <f t="shared" si="78"/>
        <v>76.426229060841507</v>
      </c>
      <c r="T88" s="112">
        <f t="shared" si="78"/>
        <v>72.983605892079581</v>
      </c>
      <c r="U88" s="112">
        <f t="shared" si="78"/>
        <v>90.057691423739911</v>
      </c>
      <c r="V88" s="112">
        <f t="shared" si="78"/>
        <v>63.945</v>
      </c>
      <c r="W88" s="112">
        <f t="shared" si="78"/>
        <v>63.297169815594309</v>
      </c>
      <c r="X88" s="112">
        <f t="shared" si="78"/>
        <v>63.328124989579514</v>
      </c>
      <c r="Y88" s="112">
        <f t="shared" si="78"/>
        <v>62.999999999999993</v>
      </c>
      <c r="Z88" s="112">
        <f t="shared" si="78"/>
        <v>68.41628959276018</v>
      </c>
      <c r="AA88" s="112">
        <f t="shared" si="78"/>
        <v>72.433154311251911</v>
      </c>
      <c r="AB88" s="112">
        <f t="shared" si="78"/>
        <v>63</v>
      </c>
      <c r="AC88" s="112">
        <f t="shared" si="78"/>
        <v>62.999999999999993</v>
      </c>
      <c r="AD88" s="112">
        <f t="shared" si="78"/>
        <v>63</v>
      </c>
      <c r="AE88" s="112">
        <f t="shared" si="78"/>
        <v>63</v>
      </c>
      <c r="AF88" s="112" t="str">
        <f t="shared" si="78"/>
        <v/>
      </c>
      <c r="AG88" s="112">
        <f t="shared" si="78"/>
        <v>78.564704765820125</v>
      </c>
      <c r="AH88" s="112">
        <f t="shared" si="78"/>
        <v>63</v>
      </c>
      <c r="AI88" s="112">
        <f t="shared" si="78"/>
        <v>96.402683802433216</v>
      </c>
      <c r="AJ88" s="112">
        <f t="shared" si="78"/>
        <v>65.725961418595219</v>
      </c>
      <c r="AK88" s="112">
        <f t="shared" si="78"/>
        <v>80.325000330120744</v>
      </c>
      <c r="AL88" s="52">
        <f t="shared" si="68"/>
        <v>69.487019403586174</v>
      </c>
      <c r="AM88" s="58">
        <f t="shared" si="69"/>
        <v>8.803051506310684</v>
      </c>
      <c r="AN88" s="56">
        <f t="shared" si="70"/>
        <v>0.12668627294519363</v>
      </c>
      <c r="AO88" s="107"/>
    </row>
    <row r="89" spans="1:41">
      <c r="A89" s="242"/>
      <c r="B89" s="242" t="s">
        <v>96</v>
      </c>
      <c r="C89" s="242"/>
      <c r="D89" s="46" t="str">
        <f>D87</f>
        <v>ΔIR</v>
      </c>
      <c r="F89" s="100" t="str">
        <f>IF(AND(F$78,F3&lt;&gt;""),(F82+F87)/2,"")</f>
        <v/>
      </c>
      <c r="G89" s="100" t="str">
        <f t="shared" ref="G89:AK89" si="79">IF(AND(G$78,G3&lt;&gt;""),(G82+G87)/2,"")</f>
        <v/>
      </c>
      <c r="H89" s="100">
        <f t="shared" si="79"/>
        <v>-1.5873015873015872E-2</v>
      </c>
      <c r="I89" s="100">
        <f t="shared" si="79"/>
        <v>-1.5873015873015872E-2</v>
      </c>
      <c r="J89" s="100" t="str">
        <f t="shared" si="79"/>
        <v/>
      </c>
      <c r="K89" s="100">
        <f t="shared" si="79"/>
        <v>-1.4402563672294397E-2</v>
      </c>
      <c r="L89" s="100">
        <f t="shared" si="79"/>
        <v>-1.5459563170349477E-2</v>
      </c>
      <c r="M89" s="100" t="str">
        <f t="shared" si="79"/>
        <v/>
      </c>
      <c r="N89" s="100">
        <f t="shared" si="79"/>
        <v>-1.5802124319376974E-2</v>
      </c>
      <c r="O89" s="100">
        <f t="shared" si="79"/>
        <v>-1.460399903847843E-2</v>
      </c>
      <c r="P89" s="100">
        <f t="shared" si="79"/>
        <v>-1.3382763239576897E-2</v>
      </c>
      <c r="Q89" s="100">
        <f t="shared" si="79"/>
        <v>-1.5388847210734729E-2</v>
      </c>
      <c r="R89" s="100">
        <f t="shared" si="79"/>
        <v>-1.3383791030404995E-2</v>
      </c>
      <c r="S89" s="100">
        <f t="shared" si="79"/>
        <v>-1.3100918355268875E-2</v>
      </c>
      <c r="T89" s="100">
        <f t="shared" si="79"/>
        <v>-1.3717759164289037E-2</v>
      </c>
      <c r="U89" s="100">
        <f t="shared" si="79"/>
        <v>-1.1459805420227087E-2</v>
      </c>
      <c r="V89" s="100">
        <f t="shared" si="79"/>
        <v>-1.5573976011273022E-2</v>
      </c>
      <c r="W89" s="100">
        <f t="shared" si="79"/>
        <v>-1.5835755271841667E-2</v>
      </c>
      <c r="X89" s="100">
        <f t="shared" si="79"/>
        <v>-1.5747827308665308E-2</v>
      </c>
      <c r="Y89" s="100">
        <f t="shared" si="79"/>
        <v>-1.5873015873015872E-2</v>
      </c>
      <c r="Z89" s="100">
        <f t="shared" si="79"/>
        <v>-1.4616657639984024E-2</v>
      </c>
      <c r="AA89" s="100">
        <f t="shared" si="79"/>
        <v>-1.3798594029284048E-2</v>
      </c>
      <c r="AB89" s="100">
        <f t="shared" si="79"/>
        <v>-1.5873015873015872E-2</v>
      </c>
      <c r="AC89" s="100">
        <f t="shared" si="79"/>
        <v>-1.5873015873015872E-2</v>
      </c>
      <c r="AD89" s="100">
        <f t="shared" si="79"/>
        <v>-1.5873015873015872E-2</v>
      </c>
      <c r="AE89" s="100">
        <f t="shared" si="79"/>
        <v>-1.5836940838940529E-2</v>
      </c>
      <c r="AF89" s="100" t="str">
        <f t="shared" si="79"/>
        <v/>
      </c>
      <c r="AG89" s="100">
        <f t="shared" si="79"/>
        <v>-1.2709878171157679E-2</v>
      </c>
      <c r="AH89" s="100">
        <f t="shared" si="79"/>
        <v>-1.5873015873015872E-2</v>
      </c>
      <c r="AI89" s="100">
        <f t="shared" si="79"/>
        <v>-1.0401016514713949E-2</v>
      </c>
      <c r="AJ89" s="100">
        <f t="shared" si="79"/>
        <v>-1.5217949780864198E-2</v>
      </c>
      <c r="AK89" s="100">
        <f t="shared" si="79"/>
        <v>-1.2374253986627996E-2</v>
      </c>
      <c r="AL89" s="103">
        <f t="shared" si="68"/>
        <v>-1.458985538094313E-2</v>
      </c>
      <c r="AM89" s="103">
        <f t="shared" si="69"/>
        <v>1.5509214612584468E-3</v>
      </c>
      <c r="AN89" s="56">
        <f t="shared" si="70"/>
        <v>0.10630135945584615</v>
      </c>
      <c r="AO89" s="107"/>
    </row>
    <row r="90" spans="1:41">
      <c r="A90" s="242"/>
      <c r="B90" s="242"/>
      <c r="C90" s="242"/>
      <c r="D90" s="46" t="str">
        <f>D88</f>
        <v>code</v>
      </c>
      <c r="F90" s="102" t="str">
        <f>IF(AND(F$78,F3&lt;&gt;""),(F83+F88)/2,"")</f>
        <v/>
      </c>
      <c r="G90" s="112" t="str">
        <f t="shared" ref="G90:AK90" si="80">IF(AND(G$78,G3&lt;&gt;""),(G83+G88)/2,"")</f>
        <v/>
      </c>
      <c r="H90" s="112">
        <f t="shared" si="80"/>
        <v>63</v>
      </c>
      <c r="I90" s="112">
        <f t="shared" si="80"/>
        <v>63</v>
      </c>
      <c r="J90" s="112" t="str">
        <f t="shared" si="80"/>
        <v/>
      </c>
      <c r="K90" s="112">
        <f t="shared" si="80"/>
        <v>69.432084626818778</v>
      </c>
      <c r="L90" s="112">
        <f t="shared" si="80"/>
        <v>64.531611234845002</v>
      </c>
      <c r="M90" s="112" t="str">
        <f t="shared" si="80"/>
        <v/>
      </c>
      <c r="N90" s="112">
        <f t="shared" si="80"/>
        <v>63.282633582058644</v>
      </c>
      <c r="O90" s="112">
        <f t="shared" si="80"/>
        <v>68.474426247102713</v>
      </c>
      <c r="P90" s="112">
        <f t="shared" si="80"/>
        <v>74.542053323659644</v>
      </c>
      <c r="Q90" s="112">
        <f t="shared" si="80"/>
        <v>64.982125596221465</v>
      </c>
      <c r="R90" s="112">
        <f t="shared" si="80"/>
        <v>74.71743479038237</v>
      </c>
      <c r="S90" s="112">
        <f t="shared" si="80"/>
        <v>76.330646518988601</v>
      </c>
      <c r="T90" s="112">
        <f t="shared" si="80"/>
        <v>72.898303381369772</v>
      </c>
      <c r="U90" s="112">
        <f t="shared" si="80"/>
        <v>87.345719735804508</v>
      </c>
      <c r="V90" s="112">
        <f t="shared" si="80"/>
        <v>64.052218346703143</v>
      </c>
      <c r="W90" s="112">
        <f t="shared" si="80"/>
        <v>63.148584907797158</v>
      </c>
      <c r="X90" s="112">
        <f t="shared" si="80"/>
        <v>63.33713942447055</v>
      </c>
      <c r="Y90" s="112">
        <f t="shared" si="80"/>
        <v>63</v>
      </c>
      <c r="Z90" s="112">
        <f t="shared" si="80"/>
        <v>68.415093582687334</v>
      </c>
      <c r="AA90" s="112">
        <f t="shared" si="80"/>
        <v>72.471171560425972</v>
      </c>
      <c r="AB90" s="112">
        <f t="shared" si="80"/>
        <v>63</v>
      </c>
      <c r="AC90" s="112">
        <f t="shared" si="80"/>
        <v>63</v>
      </c>
      <c r="AD90" s="112">
        <f t="shared" si="80"/>
        <v>63</v>
      </c>
      <c r="AE90" s="112">
        <f t="shared" si="80"/>
        <v>63</v>
      </c>
      <c r="AF90" s="112" t="str">
        <f t="shared" si="80"/>
        <v/>
      </c>
      <c r="AG90" s="112">
        <f t="shared" si="80"/>
        <v>78.67912669853925</v>
      </c>
      <c r="AH90" s="112">
        <f t="shared" si="80"/>
        <v>63</v>
      </c>
      <c r="AI90" s="112">
        <f t="shared" si="80"/>
        <v>96.14513871141736</v>
      </c>
      <c r="AJ90" s="112">
        <f t="shared" si="80"/>
        <v>65.71187711478774</v>
      </c>
      <c r="AK90" s="112">
        <f t="shared" si="80"/>
        <v>80.616187591381646</v>
      </c>
      <c r="AL90" s="52">
        <f t="shared" si="68"/>
        <v>69.374576925017109</v>
      </c>
      <c r="AM90" s="58">
        <f t="shared" si="69"/>
        <v>8.5526582793318848</v>
      </c>
      <c r="AN90" s="56">
        <f t="shared" si="70"/>
        <v>0.12328231260532153</v>
      </c>
      <c r="AO90" s="107"/>
    </row>
    <row r="91" spans="1:41">
      <c r="A91" s="242" t="str">
        <f>A15</f>
        <v>A</v>
      </c>
      <c r="B91" s="242" t="str">
        <f>B79</f>
        <v>LO</v>
      </c>
      <c r="C91" s="242"/>
      <c r="D91" s="46" t="str">
        <f>D79</f>
        <v>seg0</v>
      </c>
      <c r="F91" s="100" t="str">
        <f>IF(AND(F$78,F15&lt;&gt;""),(F18-F16)/$D18/F16,"")</f>
        <v/>
      </c>
      <c r="G91" s="100" t="str">
        <f t="shared" ref="G91:AK91" si="81">IF(AND(G$78,G15&lt;&gt;""),(G18-G16)/$D18/G16,"")</f>
        <v/>
      </c>
      <c r="H91" s="100">
        <f t="shared" si="81"/>
        <v>-1.4397008653054983E-2</v>
      </c>
      <c r="I91" s="100">
        <f t="shared" si="81"/>
        <v>-1.4357413941252454E-2</v>
      </c>
      <c r="J91" s="100" t="str">
        <f t="shared" si="81"/>
        <v/>
      </c>
      <c r="K91" s="100">
        <f t="shared" si="81"/>
        <v>-1.2509502978715711E-2</v>
      </c>
      <c r="L91" s="100">
        <f t="shared" si="81"/>
        <v>-1.3246998552353045E-2</v>
      </c>
      <c r="M91" s="100" t="str">
        <f t="shared" si="81"/>
        <v/>
      </c>
      <c r="N91" s="100">
        <f t="shared" si="81"/>
        <v>-1.3473681506167805E-2</v>
      </c>
      <c r="O91" s="100">
        <f t="shared" si="81"/>
        <v>-1.2533946180456272E-2</v>
      </c>
      <c r="P91" s="100">
        <f t="shared" si="81"/>
        <v>-1.1794417422399684E-2</v>
      </c>
      <c r="Q91" s="100">
        <f t="shared" si="81"/>
        <v>-1.3239390352694952E-2</v>
      </c>
      <c r="R91" s="100">
        <f t="shared" si="81"/>
        <v>-1.1703153043258543E-2</v>
      </c>
      <c r="S91" s="100">
        <f t="shared" si="81"/>
        <v>-1.1476654569089858E-2</v>
      </c>
      <c r="T91" s="100">
        <f t="shared" si="81"/>
        <v>-1.1945510329602279E-2</v>
      </c>
      <c r="U91" s="100">
        <f t="shared" si="81"/>
        <v>-9.9225029577249772E-3</v>
      </c>
      <c r="V91" s="100">
        <f t="shared" si="81"/>
        <v>-1.3414600099620493E-2</v>
      </c>
      <c r="W91" s="100">
        <f t="shared" si="81"/>
        <v>-1.393504905230324E-2</v>
      </c>
      <c r="X91" s="100">
        <f t="shared" si="81"/>
        <v>-1.3410117947644502E-2</v>
      </c>
      <c r="Y91" s="100">
        <f t="shared" si="81"/>
        <v>-1.3787552073663204E-2</v>
      </c>
      <c r="Z91" s="100">
        <f t="shared" si="81"/>
        <v>-1.2644694079435394E-2</v>
      </c>
      <c r="AA91" s="100">
        <f t="shared" si="81"/>
        <v>-1.2038730906234934E-2</v>
      </c>
      <c r="AB91" s="100">
        <f t="shared" si="81"/>
        <v>-1.4361614304442619E-2</v>
      </c>
      <c r="AC91" s="100">
        <f t="shared" si="81"/>
        <v>-1.3576822458317862E-2</v>
      </c>
      <c r="AD91" s="100">
        <f t="shared" si="81"/>
        <v>-1.4389938443562419E-2</v>
      </c>
      <c r="AE91" s="100">
        <f t="shared" si="81"/>
        <v>-1.5514268093797263E-2</v>
      </c>
      <c r="AF91" s="100" t="str">
        <f t="shared" si="81"/>
        <v/>
      </c>
      <c r="AG91" s="100">
        <f t="shared" si="81"/>
        <v>-1.1213342069415539E-2</v>
      </c>
      <c r="AH91" s="100">
        <f t="shared" si="81"/>
        <v>-1.451927218651706E-2</v>
      </c>
      <c r="AI91" s="100">
        <f t="shared" si="81"/>
        <v>-9.4354270954476998E-3</v>
      </c>
      <c r="AJ91" s="100">
        <f t="shared" si="81"/>
        <v>-1.2946552290104959E-2</v>
      </c>
      <c r="AK91" s="100">
        <f t="shared" si="81"/>
        <v>-1.0907119027594865E-2</v>
      </c>
      <c r="AL91" s="103">
        <f t="shared" si="68"/>
        <v>-1.2840565948698986E-2</v>
      </c>
      <c r="AM91" s="103">
        <f t="shared" si="69"/>
        <v>1.4657863194413934E-3</v>
      </c>
      <c r="AN91" s="56">
        <f>ABS(AM91/AL91)</f>
        <v>0.11415278152828676</v>
      </c>
    </row>
    <row r="92" spans="1:41">
      <c r="A92" s="242"/>
      <c r="B92" s="242"/>
      <c r="C92" s="242"/>
      <c r="D92" s="46" t="str">
        <f t="shared" ref="D92:D150" si="82">D80</f>
        <v>seg1</v>
      </c>
      <c r="F92" s="100" t="str">
        <f t="shared" ref="F92:AK92" si="83">IF(AND(F$78,F15&lt;&gt;"",comp38&gt;63),(F20-F19)/($D20-$D19)/F16,"")</f>
        <v/>
      </c>
      <c r="G92" s="100" t="str">
        <f t="shared" si="83"/>
        <v/>
      </c>
      <c r="H92" s="100" t="str">
        <f t="shared" si="83"/>
        <v/>
      </c>
      <c r="I92" s="100" t="str">
        <f t="shared" si="83"/>
        <v/>
      </c>
      <c r="J92" s="100" t="str">
        <f t="shared" si="83"/>
        <v/>
      </c>
      <c r="K92" s="100" t="str">
        <f t="shared" si="83"/>
        <v/>
      </c>
      <c r="L92" s="100" t="str">
        <f t="shared" si="83"/>
        <v/>
      </c>
      <c r="M92" s="100" t="str">
        <f t="shared" si="83"/>
        <v/>
      </c>
      <c r="N92" s="100" t="str">
        <f t="shared" si="83"/>
        <v/>
      </c>
      <c r="O92" s="100" t="str">
        <f t="shared" si="83"/>
        <v/>
      </c>
      <c r="P92" s="100" t="str">
        <f t="shared" si="83"/>
        <v/>
      </c>
      <c r="Q92" s="100" t="str">
        <f t="shared" si="83"/>
        <v/>
      </c>
      <c r="R92" s="100" t="str">
        <f t="shared" si="83"/>
        <v/>
      </c>
      <c r="S92" s="100" t="str">
        <f t="shared" si="83"/>
        <v/>
      </c>
      <c r="T92" s="100" t="str">
        <f t="shared" si="83"/>
        <v/>
      </c>
      <c r="U92" s="100" t="str">
        <f t="shared" si="83"/>
        <v/>
      </c>
      <c r="V92" s="100" t="str">
        <f t="shared" si="83"/>
        <v/>
      </c>
      <c r="W92" s="100" t="str">
        <f t="shared" si="83"/>
        <v/>
      </c>
      <c r="X92" s="100" t="str">
        <f t="shared" si="83"/>
        <v/>
      </c>
      <c r="Y92" s="100" t="str">
        <f t="shared" si="83"/>
        <v/>
      </c>
      <c r="Z92" s="100" t="str">
        <f t="shared" si="83"/>
        <v/>
      </c>
      <c r="AA92" s="100" t="str">
        <f t="shared" si="83"/>
        <v/>
      </c>
      <c r="AB92" s="100" t="str">
        <f t="shared" si="83"/>
        <v/>
      </c>
      <c r="AC92" s="100" t="str">
        <f t="shared" si="83"/>
        <v/>
      </c>
      <c r="AD92" s="100" t="str">
        <f t="shared" si="83"/>
        <v/>
      </c>
      <c r="AE92" s="100" t="str">
        <f t="shared" si="83"/>
        <v/>
      </c>
      <c r="AF92" s="100" t="str">
        <f t="shared" si="83"/>
        <v/>
      </c>
      <c r="AG92" s="100" t="str">
        <f t="shared" si="83"/>
        <v/>
      </c>
      <c r="AH92" s="100" t="str">
        <f t="shared" si="83"/>
        <v/>
      </c>
      <c r="AI92" s="100" t="str">
        <f t="shared" si="83"/>
        <v/>
      </c>
      <c r="AJ92" s="100" t="str">
        <f t="shared" si="83"/>
        <v/>
      </c>
      <c r="AK92" s="100" t="str">
        <f t="shared" si="83"/>
        <v/>
      </c>
      <c r="AL92" s="103" t="e">
        <f t="shared" ref="AL92:AL103" si="84">AVERAGE(F92:AK92)</f>
        <v>#DIV/0!</v>
      </c>
      <c r="AM92" s="103" t="e">
        <f t="shared" ref="AM92:AM103" si="85">STDEV(F92:AK92)</f>
        <v>#DIV/0!</v>
      </c>
      <c r="AN92" s="56" t="e">
        <f t="shared" ref="AN92:AN102" si="86">ABS(AM92/AL92)</f>
        <v>#DIV/0!</v>
      </c>
    </row>
    <row r="93" spans="1:41">
      <c r="A93" s="242"/>
      <c r="B93" s="242"/>
      <c r="C93" s="242"/>
      <c r="D93" s="46" t="str">
        <f t="shared" si="82"/>
        <v>off</v>
      </c>
      <c r="F93" s="135" t="str">
        <f>IF(AND(F$78,F15&lt;&gt;""),(F19-F16)/F16,"")</f>
        <v/>
      </c>
      <c r="G93" s="154" t="str">
        <f t="shared" ref="G93:AK93" si="87">IF(AND(G$78,G15&lt;&gt;""),(G19-G16)/G16,"")</f>
        <v/>
      </c>
      <c r="H93" s="154">
        <f t="shared" si="87"/>
        <v>-1</v>
      </c>
      <c r="I93" s="154">
        <f t="shared" si="87"/>
        <v>-1</v>
      </c>
      <c r="J93" s="154" t="str">
        <f t="shared" si="87"/>
        <v/>
      </c>
      <c r="K93" s="154">
        <f t="shared" si="87"/>
        <v>-1</v>
      </c>
      <c r="L93" s="154">
        <f t="shared" si="87"/>
        <v>-1</v>
      </c>
      <c r="M93" s="154" t="str">
        <f t="shared" si="87"/>
        <v/>
      </c>
      <c r="N93" s="154">
        <f t="shared" si="87"/>
        <v>-1</v>
      </c>
      <c r="O93" s="154">
        <f t="shared" si="87"/>
        <v>-1</v>
      </c>
      <c r="P93" s="154">
        <f t="shared" si="87"/>
        <v>-1</v>
      </c>
      <c r="Q93" s="154">
        <f t="shared" si="87"/>
        <v>-1</v>
      </c>
      <c r="R93" s="154">
        <f t="shared" si="87"/>
        <v>-1</v>
      </c>
      <c r="S93" s="154">
        <f t="shared" si="87"/>
        <v>-1</v>
      </c>
      <c r="T93" s="154">
        <f t="shared" si="87"/>
        <v>-1</v>
      </c>
      <c r="U93" s="154">
        <f t="shared" si="87"/>
        <v>-1</v>
      </c>
      <c r="V93" s="154">
        <f t="shared" si="87"/>
        <v>-1</v>
      </c>
      <c r="W93" s="154">
        <f t="shared" si="87"/>
        <v>-1</v>
      </c>
      <c r="X93" s="154">
        <f t="shared" si="87"/>
        <v>-1</v>
      </c>
      <c r="Y93" s="154">
        <f t="shared" si="87"/>
        <v>-1</v>
      </c>
      <c r="Z93" s="154">
        <f t="shared" si="87"/>
        <v>-1</v>
      </c>
      <c r="AA93" s="154">
        <f t="shared" si="87"/>
        <v>-1</v>
      </c>
      <c r="AB93" s="154">
        <f t="shared" si="87"/>
        <v>-1</v>
      </c>
      <c r="AC93" s="154">
        <f t="shared" si="87"/>
        <v>-1</v>
      </c>
      <c r="AD93" s="154">
        <f t="shared" si="87"/>
        <v>-1</v>
      </c>
      <c r="AE93" s="154">
        <f t="shared" si="87"/>
        <v>-1</v>
      </c>
      <c r="AF93" s="154" t="str">
        <f t="shared" si="87"/>
        <v/>
      </c>
      <c r="AG93" s="154">
        <f t="shared" si="87"/>
        <v>-1</v>
      </c>
      <c r="AH93" s="154">
        <f t="shared" si="87"/>
        <v>-1</v>
      </c>
      <c r="AI93" s="154">
        <f t="shared" si="87"/>
        <v>-1</v>
      </c>
      <c r="AJ93" s="154">
        <f t="shared" si="87"/>
        <v>-1</v>
      </c>
      <c r="AK93" s="154">
        <f t="shared" si="87"/>
        <v>-1</v>
      </c>
      <c r="AL93" s="103">
        <f t="shared" si="84"/>
        <v>-1</v>
      </c>
      <c r="AM93" s="103">
        <f t="shared" si="85"/>
        <v>0</v>
      </c>
      <c r="AN93" s="56">
        <f t="shared" si="86"/>
        <v>0</v>
      </c>
    </row>
    <row r="94" spans="1:41">
      <c r="A94" s="242"/>
      <c r="B94" s="242"/>
      <c r="C94" s="242"/>
      <c r="D94" s="46" t="str">
        <f t="shared" si="82"/>
        <v>ΔIR</v>
      </c>
      <c r="F94" s="100" t="str">
        <f>IF(AND(F$78,F15&lt;&gt;""),AVERAGE(F91:F92),"")</f>
        <v/>
      </c>
      <c r="G94" s="100" t="str">
        <f t="shared" ref="G94:AK94" si="88">IF(AND(G$78,G15&lt;&gt;""),AVERAGE(G91:G92),"")</f>
        <v/>
      </c>
      <c r="H94" s="100">
        <f t="shared" si="88"/>
        <v>-1.4397008653054983E-2</v>
      </c>
      <c r="I94" s="100">
        <f t="shared" si="88"/>
        <v>-1.4357413941252454E-2</v>
      </c>
      <c r="J94" s="100" t="str">
        <f t="shared" si="88"/>
        <v/>
      </c>
      <c r="K94" s="100">
        <f t="shared" si="88"/>
        <v>-1.2509502978715711E-2</v>
      </c>
      <c r="L94" s="100">
        <f t="shared" si="88"/>
        <v>-1.3246998552353045E-2</v>
      </c>
      <c r="M94" s="100" t="str">
        <f t="shared" si="88"/>
        <v/>
      </c>
      <c r="N94" s="100">
        <f t="shared" si="88"/>
        <v>-1.3473681506167805E-2</v>
      </c>
      <c r="O94" s="100">
        <f t="shared" si="88"/>
        <v>-1.2533946180456272E-2</v>
      </c>
      <c r="P94" s="100">
        <f t="shared" si="88"/>
        <v>-1.1794417422399684E-2</v>
      </c>
      <c r="Q94" s="100">
        <f t="shared" si="88"/>
        <v>-1.3239390352694952E-2</v>
      </c>
      <c r="R94" s="100">
        <f t="shared" si="88"/>
        <v>-1.1703153043258543E-2</v>
      </c>
      <c r="S94" s="100">
        <f t="shared" si="88"/>
        <v>-1.1476654569089858E-2</v>
      </c>
      <c r="T94" s="100">
        <f t="shared" si="88"/>
        <v>-1.1945510329602279E-2</v>
      </c>
      <c r="U94" s="100">
        <f t="shared" si="88"/>
        <v>-9.9225029577249772E-3</v>
      </c>
      <c r="V94" s="100">
        <f t="shared" si="88"/>
        <v>-1.3414600099620493E-2</v>
      </c>
      <c r="W94" s="100">
        <f t="shared" si="88"/>
        <v>-1.393504905230324E-2</v>
      </c>
      <c r="X94" s="100">
        <f t="shared" si="88"/>
        <v>-1.3410117947644502E-2</v>
      </c>
      <c r="Y94" s="100">
        <f t="shared" si="88"/>
        <v>-1.3787552073663204E-2</v>
      </c>
      <c r="Z94" s="100">
        <f t="shared" si="88"/>
        <v>-1.2644694079435394E-2</v>
      </c>
      <c r="AA94" s="100">
        <f t="shared" si="88"/>
        <v>-1.2038730906234934E-2</v>
      </c>
      <c r="AB94" s="100">
        <f t="shared" si="88"/>
        <v>-1.4361614304442619E-2</v>
      </c>
      <c r="AC94" s="100">
        <f t="shared" si="88"/>
        <v>-1.3576822458317862E-2</v>
      </c>
      <c r="AD94" s="100">
        <f t="shared" si="88"/>
        <v>-1.4389938443562419E-2</v>
      </c>
      <c r="AE94" s="100">
        <f t="shared" si="88"/>
        <v>-1.5514268093797263E-2</v>
      </c>
      <c r="AF94" s="100" t="str">
        <f t="shared" si="88"/>
        <v/>
      </c>
      <c r="AG94" s="100">
        <f t="shared" si="88"/>
        <v>-1.1213342069415539E-2</v>
      </c>
      <c r="AH94" s="100">
        <f t="shared" si="88"/>
        <v>-1.451927218651706E-2</v>
      </c>
      <c r="AI94" s="100">
        <f t="shared" si="88"/>
        <v>-9.4354270954476998E-3</v>
      </c>
      <c r="AJ94" s="100">
        <f t="shared" si="88"/>
        <v>-1.2946552290104959E-2</v>
      </c>
      <c r="AK94" s="100">
        <f t="shared" si="88"/>
        <v>-1.0907119027594865E-2</v>
      </c>
      <c r="AL94" s="103">
        <f t="shared" si="84"/>
        <v>-1.2840565948698986E-2</v>
      </c>
      <c r="AM94" s="103">
        <f t="shared" si="85"/>
        <v>1.4657863194413934E-3</v>
      </c>
      <c r="AN94" s="56">
        <f t="shared" si="86"/>
        <v>0.11415278152828676</v>
      </c>
    </row>
    <row r="95" spans="1:41">
      <c r="A95" s="242"/>
      <c r="B95" s="242"/>
      <c r="C95" s="242"/>
      <c r="D95" s="46" t="str">
        <f t="shared" si="82"/>
        <v>code</v>
      </c>
      <c r="F95" s="112" t="str">
        <f>IF(AND(F$78,F15&lt;&gt;""),F93/F94,"")</f>
        <v/>
      </c>
      <c r="G95" s="112" t="str">
        <f t="shared" ref="G95:AK95" si="89">IF(AND(G$78,G15&lt;&gt;""),G93/G94,"")</f>
        <v/>
      </c>
      <c r="H95" s="112">
        <f t="shared" si="89"/>
        <v>69.458873304754476</v>
      </c>
      <c r="I95" s="112">
        <f t="shared" si="89"/>
        <v>69.650426190384394</v>
      </c>
      <c r="J95" s="112" t="str">
        <f t="shared" si="89"/>
        <v/>
      </c>
      <c r="K95" s="112">
        <f t="shared" si="89"/>
        <v>79.939227138076518</v>
      </c>
      <c r="L95" s="112">
        <f t="shared" si="89"/>
        <v>75.488798164197846</v>
      </c>
      <c r="M95" s="112" t="str">
        <f t="shared" si="89"/>
        <v/>
      </c>
      <c r="N95" s="112">
        <f t="shared" si="89"/>
        <v>74.218764896753214</v>
      </c>
      <c r="O95" s="112">
        <f t="shared" si="89"/>
        <v>79.783332846862208</v>
      </c>
      <c r="P95" s="112">
        <f t="shared" si="89"/>
        <v>84.785874892033505</v>
      </c>
      <c r="Q95" s="112">
        <f t="shared" si="89"/>
        <v>75.532178851154157</v>
      </c>
      <c r="R95" s="112">
        <f t="shared" si="89"/>
        <v>85.447058267433121</v>
      </c>
      <c r="S95" s="112">
        <f t="shared" si="89"/>
        <v>87.133405817868379</v>
      </c>
      <c r="T95" s="112">
        <f t="shared" si="89"/>
        <v>83.71345990316469</v>
      </c>
      <c r="U95" s="112">
        <f t="shared" si="89"/>
        <v>100.78102312093229</v>
      </c>
      <c r="V95" s="112">
        <f t="shared" si="89"/>
        <v>74.5456437444073</v>
      </c>
      <c r="W95" s="112">
        <f t="shared" si="89"/>
        <v>71.761498380568383</v>
      </c>
      <c r="X95" s="112">
        <f t="shared" si="89"/>
        <v>74.570559625514022</v>
      </c>
      <c r="Y95" s="112">
        <f t="shared" si="89"/>
        <v>72.529191161510568</v>
      </c>
      <c r="Z95" s="112">
        <f t="shared" si="89"/>
        <v>79.08455465335004</v>
      </c>
      <c r="AA95" s="112">
        <f t="shared" si="89"/>
        <v>83.065234017490482</v>
      </c>
      <c r="AB95" s="112">
        <f t="shared" si="89"/>
        <v>69.630055424247132</v>
      </c>
      <c r="AC95" s="112">
        <f t="shared" si="89"/>
        <v>73.654936791734244</v>
      </c>
      <c r="AD95" s="112">
        <f t="shared" si="89"/>
        <v>69.493000537981231</v>
      </c>
      <c r="AE95" s="112">
        <f t="shared" si="89"/>
        <v>64.456795122665739</v>
      </c>
      <c r="AF95" s="112" t="str">
        <f t="shared" si="89"/>
        <v/>
      </c>
      <c r="AG95" s="112">
        <f t="shared" si="89"/>
        <v>89.179478679019908</v>
      </c>
      <c r="AH95" s="112">
        <f t="shared" si="89"/>
        <v>68.873975716814769</v>
      </c>
      <c r="AI95" s="112">
        <f t="shared" si="89"/>
        <v>105.98354371075253</v>
      </c>
      <c r="AJ95" s="112">
        <f t="shared" si="89"/>
        <v>77.240641183236036</v>
      </c>
      <c r="AK95" s="112">
        <f t="shared" si="89"/>
        <v>91.683238944217379</v>
      </c>
      <c r="AL95" s="52">
        <f t="shared" si="84"/>
        <v>78.951287818041635</v>
      </c>
      <c r="AM95" s="58">
        <f t="shared" si="85"/>
        <v>9.8677048821406217</v>
      </c>
      <c r="AN95" s="56">
        <f t="shared" si="86"/>
        <v>0.12498472355362508</v>
      </c>
    </row>
    <row r="96" spans="1:41">
      <c r="A96" s="242"/>
      <c r="B96" s="242" t="str">
        <f>B84</f>
        <v>HI</v>
      </c>
      <c r="C96" s="242"/>
      <c r="D96" s="46" t="str">
        <f t="shared" si="82"/>
        <v>seg0</v>
      </c>
      <c r="F96" s="100" t="str">
        <f>IF(AND(F$78,F15&lt;&gt;""),(F24-F22)/$D24/F22,"")</f>
        <v/>
      </c>
      <c r="G96" s="100" t="str">
        <f t="shared" ref="G96:AK96" si="90">IF(AND(G$78,G15&lt;&gt;""),(G24-G22)/$D24/G22,"")</f>
        <v/>
      </c>
      <c r="H96" s="100">
        <f t="shared" si="90"/>
        <v>-1.4414414390377182E-2</v>
      </c>
      <c r="I96" s="100">
        <f t="shared" si="90"/>
        <v>-1.4354067052117763E-2</v>
      </c>
      <c r="J96" s="100" t="str">
        <f t="shared" si="90"/>
        <v/>
      </c>
      <c r="K96" s="100">
        <f t="shared" si="90"/>
        <v>-1.2519561767337451E-2</v>
      </c>
      <c r="L96" s="100">
        <f t="shared" si="90"/>
        <v>-1.320132021265963E-2</v>
      </c>
      <c r="M96" s="100" t="str">
        <f t="shared" si="90"/>
        <v/>
      </c>
      <c r="N96" s="100">
        <f t="shared" si="90"/>
        <v>-1.3460939931528167E-2</v>
      </c>
      <c r="O96" s="100">
        <f t="shared" si="90"/>
        <v>-1.2522932172246261E-2</v>
      </c>
      <c r="P96" s="100">
        <f t="shared" si="90"/>
        <v>-1.1717776182007637E-2</v>
      </c>
      <c r="Q96" s="100">
        <f t="shared" si="90"/>
        <v>-1.3227513314238321E-2</v>
      </c>
      <c r="R96" s="100">
        <f t="shared" si="90"/>
        <v>-1.1686726112691731E-2</v>
      </c>
      <c r="S96" s="100">
        <f t="shared" si="90"/>
        <v>-1.1459542865162148E-2</v>
      </c>
      <c r="T96" s="100">
        <f t="shared" si="90"/>
        <v>-1.1924905264820356E-2</v>
      </c>
      <c r="U96" s="100">
        <f t="shared" si="90"/>
        <v>-9.9304090344356829E-3</v>
      </c>
      <c r="V96" s="100">
        <f t="shared" si="90"/>
        <v>-1.3418425866708182E-2</v>
      </c>
      <c r="W96" s="100">
        <f t="shared" si="90"/>
        <v>-1.3937282201177171E-2</v>
      </c>
      <c r="X96" s="100">
        <f t="shared" si="90"/>
        <v>-1.3398190898675583E-2</v>
      </c>
      <c r="Y96" s="100">
        <f t="shared" si="90"/>
        <v>-1.376539558812049E-2</v>
      </c>
      <c r="Z96" s="100">
        <f t="shared" si="90"/>
        <v>-1.2642224944438995E-2</v>
      </c>
      <c r="AA96" s="100">
        <f t="shared" si="90"/>
        <v>-1.2044348786422033E-2</v>
      </c>
      <c r="AB96" s="100">
        <f t="shared" si="90"/>
        <v>-1.4345132017100503E-2</v>
      </c>
      <c r="AC96" s="100">
        <f t="shared" si="90"/>
        <v>-1.3536378982451179E-2</v>
      </c>
      <c r="AD96" s="100">
        <f t="shared" si="90"/>
        <v>-1.4368464627170655E-2</v>
      </c>
      <c r="AE96" s="100">
        <f t="shared" si="90"/>
        <v>-1.5495086912684971E-2</v>
      </c>
      <c r="AF96" s="100" t="str">
        <f t="shared" si="90"/>
        <v/>
      </c>
      <c r="AG96" s="100">
        <f t="shared" si="90"/>
        <v>-1.1185130031323515E-2</v>
      </c>
      <c r="AH96" s="100">
        <f t="shared" si="90"/>
        <v>-1.4495904926034793E-2</v>
      </c>
      <c r="AI96" s="100">
        <f t="shared" si="90"/>
        <v>-9.4295145745096429E-3</v>
      </c>
      <c r="AJ96" s="100">
        <f t="shared" si="90"/>
        <v>-1.2930700691821045E-2</v>
      </c>
      <c r="AK96" s="100">
        <f t="shared" si="90"/>
        <v>-1.0891590421417257E-2</v>
      </c>
      <c r="AL96" s="103">
        <f t="shared" si="84"/>
        <v>-1.2826069621099201E-2</v>
      </c>
      <c r="AM96" s="103">
        <f t="shared" si="85"/>
        <v>1.4658283213525461E-3</v>
      </c>
      <c r="AN96" s="56">
        <f t="shared" si="86"/>
        <v>0.11428507443474518</v>
      </c>
    </row>
    <row r="97" spans="1:40">
      <c r="A97" s="242"/>
      <c r="B97" s="242"/>
      <c r="C97" s="242"/>
      <c r="D97" s="46" t="str">
        <f t="shared" si="82"/>
        <v>seg1</v>
      </c>
      <c r="F97" s="100" t="str">
        <f t="shared" ref="F97:AK97" si="91">IF(AND(F$78,F15&lt;&gt;"",comp38&gt;63),(F26-F25)/($D26-$D25)/F22,"")</f>
        <v/>
      </c>
      <c r="G97" s="100" t="str">
        <f t="shared" si="91"/>
        <v/>
      </c>
      <c r="H97" s="100" t="str">
        <f t="shared" si="91"/>
        <v/>
      </c>
      <c r="I97" s="100" t="str">
        <f t="shared" si="91"/>
        <v/>
      </c>
      <c r="J97" s="100" t="str">
        <f t="shared" si="91"/>
        <v/>
      </c>
      <c r="K97" s="100" t="str">
        <f t="shared" si="91"/>
        <v/>
      </c>
      <c r="L97" s="100" t="str">
        <f t="shared" si="91"/>
        <v/>
      </c>
      <c r="M97" s="100" t="str">
        <f t="shared" si="91"/>
        <v/>
      </c>
      <c r="N97" s="100" t="str">
        <f t="shared" si="91"/>
        <v/>
      </c>
      <c r="O97" s="100" t="str">
        <f t="shared" si="91"/>
        <v/>
      </c>
      <c r="P97" s="100" t="str">
        <f t="shared" si="91"/>
        <v/>
      </c>
      <c r="Q97" s="100" t="str">
        <f t="shared" si="91"/>
        <v/>
      </c>
      <c r="R97" s="100" t="str">
        <f t="shared" si="91"/>
        <v/>
      </c>
      <c r="S97" s="100" t="str">
        <f t="shared" si="91"/>
        <v/>
      </c>
      <c r="T97" s="100" t="str">
        <f t="shared" si="91"/>
        <v/>
      </c>
      <c r="U97" s="100" t="str">
        <f t="shared" si="91"/>
        <v/>
      </c>
      <c r="V97" s="100" t="str">
        <f t="shared" si="91"/>
        <v/>
      </c>
      <c r="W97" s="100" t="str">
        <f t="shared" si="91"/>
        <v/>
      </c>
      <c r="X97" s="100" t="str">
        <f t="shared" si="91"/>
        <v/>
      </c>
      <c r="Y97" s="100" t="str">
        <f t="shared" si="91"/>
        <v/>
      </c>
      <c r="Z97" s="100" t="str">
        <f t="shared" si="91"/>
        <v/>
      </c>
      <c r="AA97" s="100" t="str">
        <f t="shared" si="91"/>
        <v/>
      </c>
      <c r="AB97" s="100" t="str">
        <f t="shared" si="91"/>
        <v/>
      </c>
      <c r="AC97" s="100" t="str">
        <f t="shared" si="91"/>
        <v/>
      </c>
      <c r="AD97" s="100" t="str">
        <f t="shared" si="91"/>
        <v/>
      </c>
      <c r="AE97" s="100" t="str">
        <f t="shared" si="91"/>
        <v/>
      </c>
      <c r="AF97" s="100" t="str">
        <f t="shared" si="91"/>
        <v/>
      </c>
      <c r="AG97" s="100" t="str">
        <f t="shared" si="91"/>
        <v/>
      </c>
      <c r="AH97" s="100" t="str">
        <f t="shared" si="91"/>
        <v/>
      </c>
      <c r="AI97" s="100" t="str">
        <f t="shared" si="91"/>
        <v/>
      </c>
      <c r="AJ97" s="100" t="str">
        <f t="shared" si="91"/>
        <v/>
      </c>
      <c r="AK97" s="100" t="str">
        <f t="shared" si="91"/>
        <v/>
      </c>
      <c r="AL97" s="103" t="e">
        <f t="shared" si="84"/>
        <v>#DIV/0!</v>
      </c>
      <c r="AM97" s="103" t="e">
        <f t="shared" si="85"/>
        <v>#DIV/0!</v>
      </c>
      <c r="AN97" s="56" t="e">
        <f t="shared" si="86"/>
        <v>#DIV/0!</v>
      </c>
    </row>
    <row r="98" spans="1:40">
      <c r="A98" s="242"/>
      <c r="B98" s="242"/>
      <c r="C98" s="242"/>
      <c r="D98" s="46" t="str">
        <f t="shared" si="82"/>
        <v>off</v>
      </c>
      <c r="F98" s="135" t="str">
        <f>IF(AND(F$78,F15&lt;&gt;""),(F25-F22)/F22,"")</f>
        <v/>
      </c>
      <c r="G98" s="154" t="str">
        <f t="shared" ref="G98:AK98" si="92">IF(AND(G$78,G15&lt;&gt;""),(G25-G22)/G22,"")</f>
        <v/>
      </c>
      <c r="H98" s="154">
        <f t="shared" si="92"/>
        <v>-1</v>
      </c>
      <c r="I98" s="154">
        <f t="shared" si="92"/>
        <v>-1</v>
      </c>
      <c r="J98" s="154" t="str">
        <f t="shared" si="92"/>
        <v/>
      </c>
      <c r="K98" s="154">
        <f t="shared" si="92"/>
        <v>-1</v>
      </c>
      <c r="L98" s="154">
        <f t="shared" si="92"/>
        <v>-0.99504950509992818</v>
      </c>
      <c r="M98" s="154" t="str">
        <f t="shared" si="92"/>
        <v/>
      </c>
      <c r="N98" s="154">
        <f t="shared" si="92"/>
        <v>-1</v>
      </c>
      <c r="O98" s="154">
        <f t="shared" si="92"/>
        <v>-1</v>
      </c>
      <c r="P98" s="154">
        <f t="shared" si="92"/>
        <v>-0.99476439798932959</v>
      </c>
      <c r="Q98" s="154">
        <f t="shared" si="92"/>
        <v>-1</v>
      </c>
      <c r="R98" s="154">
        <f t="shared" si="92"/>
        <v>-1</v>
      </c>
      <c r="S98" s="154">
        <f t="shared" si="92"/>
        <v>-1</v>
      </c>
      <c r="T98" s="154">
        <f t="shared" si="92"/>
        <v>-1</v>
      </c>
      <c r="U98" s="154">
        <f t="shared" si="92"/>
        <v>-1</v>
      </c>
      <c r="V98" s="154">
        <f t="shared" si="92"/>
        <v>-0.9948453609867538</v>
      </c>
      <c r="W98" s="154">
        <f t="shared" si="92"/>
        <v>-1</v>
      </c>
      <c r="X98" s="154">
        <f t="shared" si="92"/>
        <v>-0.99462365609022629</v>
      </c>
      <c r="Y98" s="154">
        <f t="shared" si="92"/>
        <v>-1</v>
      </c>
      <c r="Z98" s="154">
        <f t="shared" si="92"/>
        <v>-1</v>
      </c>
      <c r="AA98" s="154">
        <f t="shared" si="92"/>
        <v>-1</v>
      </c>
      <c r="AB98" s="154">
        <f t="shared" si="92"/>
        <v>-1</v>
      </c>
      <c r="AC98" s="154">
        <f t="shared" si="92"/>
        <v>-1</v>
      </c>
      <c r="AD98" s="154">
        <f t="shared" si="92"/>
        <v>-1</v>
      </c>
      <c r="AE98" s="154">
        <f t="shared" si="92"/>
        <v>-0.99523809509983063</v>
      </c>
      <c r="AF98" s="154" t="str">
        <f t="shared" si="92"/>
        <v/>
      </c>
      <c r="AG98" s="154">
        <f t="shared" si="92"/>
        <v>-1</v>
      </c>
      <c r="AH98" s="154">
        <f t="shared" si="92"/>
        <v>-1</v>
      </c>
      <c r="AI98" s="154">
        <f t="shared" si="92"/>
        <v>-1</v>
      </c>
      <c r="AJ98" s="154">
        <f t="shared" si="92"/>
        <v>-1</v>
      </c>
      <c r="AK98" s="154">
        <f t="shared" si="92"/>
        <v>-0.99468085106382975</v>
      </c>
      <c r="AL98" s="103">
        <f t="shared" si="84"/>
        <v>-0.99885932838258862</v>
      </c>
      <c r="AM98" s="103">
        <f t="shared" si="85"/>
        <v>2.1770907908306588E-3</v>
      </c>
      <c r="AN98" s="56">
        <f t="shared" si="86"/>
        <v>2.1795769724210629E-3</v>
      </c>
    </row>
    <row r="99" spans="1:40">
      <c r="A99" s="242"/>
      <c r="B99" s="242"/>
      <c r="C99" s="242"/>
      <c r="D99" s="46" t="str">
        <f t="shared" si="82"/>
        <v>ΔIR</v>
      </c>
      <c r="F99" s="100" t="str">
        <f>IF(AND(F$78,F15&lt;&gt;""),AVERAGE(F96:F97),"")</f>
        <v/>
      </c>
      <c r="G99" s="100" t="str">
        <f t="shared" ref="G99:AK99" si="93">IF(AND(G$78,G15&lt;&gt;""),AVERAGE(G96:G97),"")</f>
        <v/>
      </c>
      <c r="H99" s="100">
        <f t="shared" si="93"/>
        <v>-1.4414414390377182E-2</v>
      </c>
      <c r="I99" s="100">
        <f t="shared" si="93"/>
        <v>-1.4354067052117763E-2</v>
      </c>
      <c r="J99" s="100" t="str">
        <f t="shared" si="93"/>
        <v/>
      </c>
      <c r="K99" s="100">
        <f t="shared" si="93"/>
        <v>-1.2519561767337451E-2</v>
      </c>
      <c r="L99" s="100">
        <f t="shared" si="93"/>
        <v>-1.320132021265963E-2</v>
      </c>
      <c r="M99" s="100" t="str">
        <f t="shared" si="93"/>
        <v/>
      </c>
      <c r="N99" s="100">
        <f t="shared" si="93"/>
        <v>-1.3460939931528167E-2</v>
      </c>
      <c r="O99" s="100">
        <f t="shared" si="93"/>
        <v>-1.2522932172246261E-2</v>
      </c>
      <c r="P99" s="100">
        <f t="shared" si="93"/>
        <v>-1.1717776182007637E-2</v>
      </c>
      <c r="Q99" s="100">
        <f t="shared" si="93"/>
        <v>-1.3227513314238321E-2</v>
      </c>
      <c r="R99" s="100">
        <f t="shared" si="93"/>
        <v>-1.1686726112691731E-2</v>
      </c>
      <c r="S99" s="100">
        <f t="shared" si="93"/>
        <v>-1.1459542865162148E-2</v>
      </c>
      <c r="T99" s="100">
        <f t="shared" si="93"/>
        <v>-1.1924905264820356E-2</v>
      </c>
      <c r="U99" s="100">
        <f t="shared" si="93"/>
        <v>-9.9304090344356829E-3</v>
      </c>
      <c r="V99" s="100">
        <f t="shared" si="93"/>
        <v>-1.3418425866708182E-2</v>
      </c>
      <c r="W99" s="100">
        <f t="shared" si="93"/>
        <v>-1.3937282201177171E-2</v>
      </c>
      <c r="X99" s="100">
        <f t="shared" si="93"/>
        <v>-1.3398190898675583E-2</v>
      </c>
      <c r="Y99" s="100">
        <f t="shared" si="93"/>
        <v>-1.376539558812049E-2</v>
      </c>
      <c r="Z99" s="100">
        <f t="shared" si="93"/>
        <v>-1.2642224944438995E-2</v>
      </c>
      <c r="AA99" s="100">
        <f t="shared" si="93"/>
        <v>-1.2044348786422033E-2</v>
      </c>
      <c r="AB99" s="100">
        <f t="shared" si="93"/>
        <v>-1.4345132017100503E-2</v>
      </c>
      <c r="AC99" s="100">
        <f t="shared" si="93"/>
        <v>-1.3536378982451179E-2</v>
      </c>
      <c r="AD99" s="100">
        <f t="shared" si="93"/>
        <v>-1.4368464627170655E-2</v>
      </c>
      <c r="AE99" s="100">
        <f t="shared" si="93"/>
        <v>-1.5495086912684971E-2</v>
      </c>
      <c r="AF99" s="100" t="str">
        <f t="shared" si="93"/>
        <v/>
      </c>
      <c r="AG99" s="100">
        <f t="shared" si="93"/>
        <v>-1.1185130031323515E-2</v>
      </c>
      <c r="AH99" s="100">
        <f t="shared" si="93"/>
        <v>-1.4495904926034793E-2</v>
      </c>
      <c r="AI99" s="100">
        <f t="shared" si="93"/>
        <v>-9.4295145745096429E-3</v>
      </c>
      <c r="AJ99" s="100">
        <f t="shared" si="93"/>
        <v>-1.2930700691821045E-2</v>
      </c>
      <c r="AK99" s="100">
        <f t="shared" si="93"/>
        <v>-1.0891590421417257E-2</v>
      </c>
      <c r="AL99" s="103">
        <f t="shared" si="84"/>
        <v>-1.2826069621099201E-2</v>
      </c>
      <c r="AM99" s="103">
        <f t="shared" si="85"/>
        <v>1.4658283213525461E-3</v>
      </c>
      <c r="AN99" s="56">
        <f t="shared" si="86"/>
        <v>0.11428507443474518</v>
      </c>
    </row>
    <row r="100" spans="1:40">
      <c r="A100" s="242"/>
      <c r="B100" s="242"/>
      <c r="C100" s="242"/>
      <c r="D100" s="46" t="str">
        <f t="shared" si="82"/>
        <v>code</v>
      </c>
      <c r="F100" s="112" t="str">
        <f>IF(AND(F$78,F15&lt;&gt;""),F98/F99,"")</f>
        <v/>
      </c>
      <c r="G100" s="112" t="str">
        <f t="shared" ref="G100:AK100" si="94">IF(AND(G$78,G15&lt;&gt;""),G98/G99,"")</f>
        <v/>
      </c>
      <c r="H100" s="112">
        <f t="shared" si="94"/>
        <v>69.375000115688565</v>
      </c>
      <c r="I100" s="112">
        <f t="shared" si="94"/>
        <v>69.666666344049332</v>
      </c>
      <c r="J100" s="112" t="str">
        <f t="shared" si="94"/>
        <v/>
      </c>
      <c r="K100" s="112">
        <f t="shared" si="94"/>
        <v>79.875000306234455</v>
      </c>
      <c r="L100" s="112">
        <f t="shared" si="94"/>
        <v>75.374999550856174</v>
      </c>
      <c r="M100" s="112" t="str">
        <f t="shared" si="94"/>
        <v/>
      </c>
      <c r="N100" s="112">
        <f t="shared" si="94"/>
        <v>74.289017341040463</v>
      </c>
      <c r="O100" s="112">
        <f t="shared" si="94"/>
        <v>79.853502857440475</v>
      </c>
      <c r="P100" s="112">
        <f t="shared" si="94"/>
        <v>84.893616547887845</v>
      </c>
      <c r="Q100" s="112">
        <f t="shared" si="94"/>
        <v>75.599999504334875</v>
      </c>
      <c r="R100" s="112">
        <f t="shared" si="94"/>
        <v>85.567163152219734</v>
      </c>
      <c r="S100" s="112">
        <f t="shared" si="94"/>
        <v>87.263515810920651</v>
      </c>
      <c r="T100" s="112">
        <f t="shared" si="94"/>
        <v>83.858108537775848</v>
      </c>
      <c r="U100" s="112">
        <f t="shared" si="94"/>
        <v>100.70078649653803</v>
      </c>
      <c r="V100" s="112">
        <f t="shared" si="94"/>
        <v>74.140243488248302</v>
      </c>
      <c r="W100" s="112">
        <f t="shared" si="94"/>
        <v>71.750000148202346</v>
      </c>
      <c r="X100" s="112">
        <f t="shared" si="94"/>
        <v>74.235668353445035</v>
      </c>
      <c r="Y100" s="112">
        <f t="shared" si="94"/>
        <v>72.645932592231361</v>
      </c>
      <c r="Z100" s="112">
        <f t="shared" si="94"/>
        <v>79.10000054538466</v>
      </c>
      <c r="AA100" s="112">
        <f t="shared" si="94"/>
        <v>83.026489661884497</v>
      </c>
      <c r="AB100" s="112">
        <f t="shared" si="94"/>
        <v>69.710059050549191</v>
      </c>
      <c r="AC100" s="112">
        <f t="shared" si="94"/>
        <v>73.875000197351085</v>
      </c>
      <c r="AD100" s="112">
        <f t="shared" si="94"/>
        <v>69.596858533444674</v>
      </c>
      <c r="AE100" s="112">
        <f t="shared" si="94"/>
        <v>64.229268329245983</v>
      </c>
      <c r="AF100" s="112" t="str">
        <f t="shared" si="94"/>
        <v/>
      </c>
      <c r="AG100" s="112">
        <f t="shared" si="94"/>
        <v>89.404414360811145</v>
      </c>
      <c r="AH100" s="112">
        <f t="shared" si="94"/>
        <v>68.984999908766639</v>
      </c>
      <c r="AI100" s="112">
        <f t="shared" si="94"/>
        <v>106.04999781253346</v>
      </c>
      <c r="AJ100" s="112">
        <f t="shared" si="94"/>
        <v>77.335329603021606</v>
      </c>
      <c r="AK100" s="112">
        <f t="shared" si="94"/>
        <v>91.325583553700866</v>
      </c>
      <c r="AL100" s="52">
        <f t="shared" si="84"/>
        <v>78.952860100141024</v>
      </c>
      <c r="AM100" s="58">
        <f t="shared" si="85"/>
        <v>9.8807045650692302</v>
      </c>
      <c r="AN100" s="56">
        <f t="shared" si="86"/>
        <v>0.12514688578142569</v>
      </c>
    </row>
    <row r="101" spans="1:40">
      <c r="A101" s="242"/>
      <c r="B101" s="242" t="str">
        <f>B89</f>
        <v>Combined</v>
      </c>
      <c r="C101" s="242"/>
      <c r="D101" s="46" t="str">
        <f t="shared" si="82"/>
        <v>ΔIR</v>
      </c>
      <c r="F101" s="100" t="str">
        <f>IF(AND(F$78,F15&lt;&gt;""),(F94+F99)/2,"")</f>
        <v/>
      </c>
      <c r="G101" s="100" t="str">
        <f t="shared" ref="G101:AK101" si="95">IF(AND(G$78,G15&lt;&gt;""),(G94+G99)/2,"")</f>
        <v/>
      </c>
      <c r="H101" s="100">
        <f t="shared" si="95"/>
        <v>-1.4405711521716082E-2</v>
      </c>
      <c r="I101" s="100">
        <f t="shared" si="95"/>
        <v>-1.4355740496685108E-2</v>
      </c>
      <c r="J101" s="100" t="str">
        <f t="shared" si="95"/>
        <v/>
      </c>
      <c r="K101" s="100">
        <f t="shared" si="95"/>
        <v>-1.251453237302658E-2</v>
      </c>
      <c r="L101" s="100">
        <f t="shared" si="95"/>
        <v>-1.3224159382506338E-2</v>
      </c>
      <c r="M101" s="100" t="str">
        <f t="shared" si="95"/>
        <v/>
      </c>
      <c r="N101" s="100">
        <f t="shared" si="95"/>
        <v>-1.3467310718847986E-2</v>
      </c>
      <c r="O101" s="100">
        <f t="shared" si="95"/>
        <v>-1.2528439176351266E-2</v>
      </c>
      <c r="P101" s="100">
        <f t="shared" si="95"/>
        <v>-1.1756096802203662E-2</v>
      </c>
      <c r="Q101" s="100">
        <f t="shared" si="95"/>
        <v>-1.3233451833466636E-2</v>
      </c>
      <c r="R101" s="100">
        <f t="shared" si="95"/>
        <v>-1.1694939577975138E-2</v>
      </c>
      <c r="S101" s="100">
        <f t="shared" si="95"/>
        <v>-1.1468098717126004E-2</v>
      </c>
      <c r="T101" s="100">
        <f t="shared" si="95"/>
        <v>-1.1935207797211318E-2</v>
      </c>
      <c r="U101" s="100">
        <f t="shared" si="95"/>
        <v>-9.92645599608033E-3</v>
      </c>
      <c r="V101" s="100">
        <f t="shared" si="95"/>
        <v>-1.3416512983164337E-2</v>
      </c>
      <c r="W101" s="100">
        <f t="shared" si="95"/>
        <v>-1.3936165626740205E-2</v>
      </c>
      <c r="X101" s="100">
        <f t="shared" si="95"/>
        <v>-1.3404154423160043E-2</v>
      </c>
      <c r="Y101" s="100">
        <f t="shared" si="95"/>
        <v>-1.3776473830891846E-2</v>
      </c>
      <c r="Z101" s="100">
        <f t="shared" si="95"/>
        <v>-1.2643459511937193E-2</v>
      </c>
      <c r="AA101" s="100">
        <f t="shared" si="95"/>
        <v>-1.2041539846328483E-2</v>
      </c>
      <c r="AB101" s="100">
        <f t="shared" si="95"/>
        <v>-1.4353373160771562E-2</v>
      </c>
      <c r="AC101" s="100">
        <f t="shared" si="95"/>
        <v>-1.3556600720384521E-2</v>
      </c>
      <c r="AD101" s="100">
        <f t="shared" si="95"/>
        <v>-1.4379201535366537E-2</v>
      </c>
      <c r="AE101" s="100">
        <f t="shared" si="95"/>
        <v>-1.5504677503241117E-2</v>
      </c>
      <c r="AF101" s="100" t="str">
        <f t="shared" si="95"/>
        <v/>
      </c>
      <c r="AG101" s="100">
        <f t="shared" si="95"/>
        <v>-1.1199236050369526E-2</v>
      </c>
      <c r="AH101" s="100">
        <f t="shared" si="95"/>
        <v>-1.4507588556275926E-2</v>
      </c>
      <c r="AI101" s="100">
        <f t="shared" si="95"/>
        <v>-9.4324708349786714E-3</v>
      </c>
      <c r="AJ101" s="100">
        <f t="shared" si="95"/>
        <v>-1.2938626490963001E-2</v>
      </c>
      <c r="AK101" s="100">
        <f t="shared" si="95"/>
        <v>-1.0899354724506061E-2</v>
      </c>
      <c r="AL101" s="103">
        <f t="shared" si="84"/>
        <v>-1.2833317784899092E-2</v>
      </c>
      <c r="AM101" s="103">
        <f t="shared" si="85"/>
        <v>1.4657762515877576E-3</v>
      </c>
      <c r="AN101" s="56">
        <f t="shared" si="86"/>
        <v>0.11421646967337862</v>
      </c>
    </row>
    <row r="102" spans="1:40">
      <c r="A102" s="242"/>
      <c r="B102" s="242"/>
      <c r="C102" s="242"/>
      <c r="D102" s="46" t="str">
        <f t="shared" si="82"/>
        <v>code</v>
      </c>
      <c r="F102" s="112" t="str">
        <f>IF(AND(F$78,F15&lt;&gt;""),(F95+F100)/2,"")</f>
        <v/>
      </c>
      <c r="G102" s="112" t="str">
        <f t="shared" ref="G102:AK102" si="96">IF(AND(G$78,G15&lt;&gt;""),(G95+G100)/2,"")</f>
        <v/>
      </c>
      <c r="H102" s="112">
        <f t="shared" si="96"/>
        <v>69.41693671022152</v>
      </c>
      <c r="I102" s="112">
        <f t="shared" si="96"/>
        <v>69.658546267216863</v>
      </c>
      <c r="J102" s="112" t="str">
        <f t="shared" si="96"/>
        <v/>
      </c>
      <c r="K102" s="112">
        <f t="shared" si="96"/>
        <v>79.907113722155486</v>
      </c>
      <c r="L102" s="112">
        <f t="shared" si="96"/>
        <v>75.431898857527017</v>
      </c>
      <c r="M102" s="112" t="str">
        <f t="shared" si="96"/>
        <v/>
      </c>
      <c r="N102" s="112">
        <f t="shared" si="96"/>
        <v>74.253891118896831</v>
      </c>
      <c r="O102" s="112">
        <f t="shared" si="96"/>
        <v>79.818417852151342</v>
      </c>
      <c r="P102" s="112">
        <f t="shared" si="96"/>
        <v>84.839745719960675</v>
      </c>
      <c r="Q102" s="112">
        <f t="shared" si="96"/>
        <v>75.566089177744516</v>
      </c>
      <c r="R102" s="112">
        <f t="shared" si="96"/>
        <v>85.507110709826435</v>
      </c>
      <c r="S102" s="112">
        <f t="shared" si="96"/>
        <v>87.198460814394508</v>
      </c>
      <c r="T102" s="112">
        <f t="shared" si="96"/>
        <v>83.785784220470276</v>
      </c>
      <c r="U102" s="112">
        <f t="shared" si="96"/>
        <v>100.74090480873517</v>
      </c>
      <c r="V102" s="112">
        <f t="shared" si="96"/>
        <v>74.342943616327801</v>
      </c>
      <c r="W102" s="112">
        <f t="shared" si="96"/>
        <v>71.755749264385372</v>
      </c>
      <c r="X102" s="112">
        <f t="shared" si="96"/>
        <v>74.403113989479522</v>
      </c>
      <c r="Y102" s="112">
        <f t="shared" si="96"/>
        <v>72.587561876870964</v>
      </c>
      <c r="Z102" s="112">
        <f t="shared" si="96"/>
        <v>79.09227759936735</v>
      </c>
      <c r="AA102" s="112">
        <f t="shared" si="96"/>
        <v>83.04586183968749</v>
      </c>
      <c r="AB102" s="112">
        <f t="shared" si="96"/>
        <v>69.670057237398169</v>
      </c>
      <c r="AC102" s="112">
        <f t="shared" si="96"/>
        <v>73.764968494542671</v>
      </c>
      <c r="AD102" s="112">
        <f t="shared" si="96"/>
        <v>69.544929535712953</v>
      </c>
      <c r="AE102" s="112">
        <f t="shared" si="96"/>
        <v>64.343031725955854</v>
      </c>
      <c r="AF102" s="112" t="str">
        <f t="shared" si="96"/>
        <v/>
      </c>
      <c r="AG102" s="112">
        <f t="shared" si="96"/>
        <v>89.291946519915527</v>
      </c>
      <c r="AH102" s="112">
        <f t="shared" si="96"/>
        <v>68.929487812790711</v>
      </c>
      <c r="AI102" s="112">
        <f t="shared" si="96"/>
        <v>106.01677076164299</v>
      </c>
      <c r="AJ102" s="112">
        <f t="shared" si="96"/>
        <v>77.287985393128821</v>
      </c>
      <c r="AK102" s="112">
        <f t="shared" si="96"/>
        <v>91.504411248959116</v>
      </c>
      <c r="AL102" s="52">
        <f t="shared" si="84"/>
        <v>78.952073959091351</v>
      </c>
      <c r="AM102" s="58">
        <f t="shared" si="85"/>
        <v>9.8738549801516147</v>
      </c>
      <c r="AN102" s="56">
        <f t="shared" si="86"/>
        <v>0.1250613756551564</v>
      </c>
    </row>
    <row r="103" spans="1:40">
      <c r="A103" s="242" t="str">
        <f>A27</f>
        <v>U30</v>
      </c>
      <c r="B103" s="242" t="str">
        <f>B91</f>
        <v>LO</v>
      </c>
      <c r="C103" s="242"/>
      <c r="D103" s="46" t="str">
        <f>D91</f>
        <v>seg0</v>
      </c>
      <c r="E103" s="111"/>
      <c r="F103" s="100" t="str">
        <f>IF(AND(F$78,F27&lt;&gt;""),(F30-F28)/$D30/F28,"")</f>
        <v/>
      </c>
      <c r="G103" s="100" t="str">
        <f t="shared" ref="G103:AK103" si="97">IF(AND(G$78,G27&lt;&gt;""),(G30-G28)/$D30/G28,"")</f>
        <v/>
      </c>
      <c r="H103" s="100">
        <f t="shared" si="97"/>
        <v>-1.497847346152418E-3</v>
      </c>
      <c r="I103" s="100">
        <f t="shared" si="97"/>
        <v>-1.5056686664547878E-3</v>
      </c>
      <c r="J103" s="100" t="str">
        <f t="shared" si="97"/>
        <v/>
      </c>
      <c r="K103" s="100">
        <f t="shared" si="97"/>
        <v>-1.5629438819174952E-3</v>
      </c>
      <c r="L103" s="100">
        <f t="shared" si="97"/>
        <v>-1.2698401455197444E-3</v>
      </c>
      <c r="M103" s="100" t="str">
        <f t="shared" si="97"/>
        <v/>
      </c>
      <c r="N103" s="100">
        <f t="shared" si="97"/>
        <v>-1.5570258199400762E-3</v>
      </c>
      <c r="O103" s="100">
        <f t="shared" si="97"/>
        <v>-1.5223767578867937E-3</v>
      </c>
      <c r="P103" s="100">
        <f t="shared" si="97"/>
        <v>-1.5847859874407013E-3</v>
      </c>
      <c r="Q103" s="100">
        <f t="shared" si="97"/>
        <v>-1.4814809759042275E-3</v>
      </c>
      <c r="R103" s="100">
        <f t="shared" si="97"/>
        <v>-1.5798954241117674E-3</v>
      </c>
      <c r="S103" s="100">
        <f t="shared" si="97"/>
        <v>-1.4909617430123349E-3</v>
      </c>
      <c r="T103" s="100">
        <f t="shared" si="97"/>
        <v>-1.480864052687089E-3</v>
      </c>
      <c r="U103" s="100">
        <f t="shared" si="97"/>
        <v>-1.5795330770143551E-3</v>
      </c>
      <c r="V103" s="100">
        <f t="shared" si="97"/>
        <v>-1.4504300634863639E-3</v>
      </c>
      <c r="W103" s="100">
        <f t="shared" si="97"/>
        <v>-1.4379746179240534E-3</v>
      </c>
      <c r="X103" s="100">
        <f t="shared" si="97"/>
        <v>-1.3489286449525609E-3</v>
      </c>
      <c r="Y103" s="100">
        <f t="shared" si="97"/>
        <v>-1.4880946844968226E-3</v>
      </c>
      <c r="Z103" s="100">
        <f t="shared" si="97"/>
        <v>-1.4703795352044393E-3</v>
      </c>
      <c r="AA103" s="100">
        <f t="shared" si="97"/>
        <v>-1.5149463136904925E-3</v>
      </c>
      <c r="AB103" s="100">
        <f t="shared" si="97"/>
        <v>-1.459133535384549E-3</v>
      </c>
      <c r="AC103" s="100">
        <f t="shared" si="97"/>
        <v>-1.4295010068466555E-3</v>
      </c>
      <c r="AD103" s="100">
        <f t="shared" si="97"/>
        <v>-1.5379360266743862E-3</v>
      </c>
      <c r="AE103" s="100">
        <f t="shared" si="97"/>
        <v>-1.5892639382722145E-3</v>
      </c>
      <c r="AF103" s="100" t="str">
        <f t="shared" si="97"/>
        <v/>
      </c>
      <c r="AG103" s="100">
        <f t="shared" si="97"/>
        <v>-1.5021782043998845E-3</v>
      </c>
      <c r="AH103" s="100">
        <f t="shared" si="97"/>
        <v>-1.5949880005623304E-3</v>
      </c>
      <c r="AI103" s="100">
        <f t="shared" si="97"/>
        <v>-1.5760446531784471E-3</v>
      </c>
      <c r="AJ103" s="100">
        <f t="shared" si="97"/>
        <v>-1.3930582715689823E-3</v>
      </c>
      <c r="AK103" s="100">
        <f t="shared" si="97"/>
        <v>-1.43158441973907E-3</v>
      </c>
      <c r="AL103" s="103">
        <f t="shared" si="84"/>
        <v>-1.4939876220156686E-3</v>
      </c>
      <c r="AM103" s="103">
        <f t="shared" si="85"/>
        <v>7.7900680975913838E-5</v>
      </c>
      <c r="AN103" s="56">
        <f>ABS(AM103/AL103)</f>
        <v>5.214278875404018E-2</v>
      </c>
    </row>
    <row r="104" spans="1:40">
      <c r="A104" s="242"/>
      <c r="B104" s="242"/>
      <c r="C104" s="242"/>
      <c r="D104" s="46" t="str">
        <f t="shared" si="82"/>
        <v>seg1</v>
      </c>
      <c r="E104" s="111"/>
      <c r="F104" s="100" t="str">
        <f t="shared" ref="F104:AK104" si="98">IF(AND(F$78,F27&lt;&gt;"",comp38&gt;63),(F32-F31)/($D32-$D31)/F28,"")</f>
        <v/>
      </c>
      <c r="G104" s="100" t="str">
        <f t="shared" si="98"/>
        <v/>
      </c>
      <c r="H104" s="100" t="str">
        <f t="shared" si="98"/>
        <v/>
      </c>
      <c r="I104" s="100" t="str">
        <f t="shared" si="98"/>
        <v/>
      </c>
      <c r="J104" s="100" t="str">
        <f t="shared" si="98"/>
        <v/>
      </c>
      <c r="K104" s="100" t="str">
        <f t="shared" si="98"/>
        <v/>
      </c>
      <c r="L104" s="100" t="str">
        <f t="shared" si="98"/>
        <v/>
      </c>
      <c r="M104" s="100" t="str">
        <f t="shared" si="98"/>
        <v/>
      </c>
      <c r="N104" s="100" t="str">
        <f t="shared" si="98"/>
        <v/>
      </c>
      <c r="O104" s="100" t="str">
        <f t="shared" si="98"/>
        <v/>
      </c>
      <c r="P104" s="100" t="str">
        <f t="shared" si="98"/>
        <v/>
      </c>
      <c r="Q104" s="100" t="str">
        <f t="shared" si="98"/>
        <v/>
      </c>
      <c r="R104" s="100" t="str">
        <f t="shared" si="98"/>
        <v/>
      </c>
      <c r="S104" s="100" t="str">
        <f t="shared" si="98"/>
        <v/>
      </c>
      <c r="T104" s="100" t="str">
        <f t="shared" si="98"/>
        <v/>
      </c>
      <c r="U104" s="100" t="str">
        <f t="shared" si="98"/>
        <v/>
      </c>
      <c r="V104" s="100" t="str">
        <f t="shared" si="98"/>
        <v/>
      </c>
      <c r="W104" s="100" t="str">
        <f t="shared" si="98"/>
        <v/>
      </c>
      <c r="X104" s="100" t="str">
        <f t="shared" si="98"/>
        <v/>
      </c>
      <c r="Y104" s="100" t="str">
        <f t="shared" si="98"/>
        <v/>
      </c>
      <c r="Z104" s="100" t="str">
        <f t="shared" si="98"/>
        <v/>
      </c>
      <c r="AA104" s="100" t="str">
        <f t="shared" si="98"/>
        <v/>
      </c>
      <c r="AB104" s="100" t="str">
        <f t="shared" si="98"/>
        <v/>
      </c>
      <c r="AC104" s="100" t="str">
        <f t="shared" si="98"/>
        <v/>
      </c>
      <c r="AD104" s="100" t="str">
        <f t="shared" si="98"/>
        <v/>
      </c>
      <c r="AE104" s="100" t="str">
        <f t="shared" si="98"/>
        <v/>
      </c>
      <c r="AF104" s="100" t="str">
        <f t="shared" si="98"/>
        <v/>
      </c>
      <c r="AG104" s="100" t="str">
        <f t="shared" si="98"/>
        <v/>
      </c>
      <c r="AH104" s="100" t="str">
        <f t="shared" si="98"/>
        <v/>
      </c>
      <c r="AI104" s="100" t="str">
        <f t="shared" si="98"/>
        <v/>
      </c>
      <c r="AJ104" s="100" t="str">
        <f t="shared" si="98"/>
        <v/>
      </c>
      <c r="AK104" s="100" t="str">
        <f t="shared" si="98"/>
        <v/>
      </c>
      <c r="AL104" s="103" t="e">
        <f t="shared" ref="AL104:AL115" si="99">AVERAGE(F104:AK104)</f>
        <v>#DIV/0!</v>
      </c>
      <c r="AM104" s="103" t="e">
        <f t="shared" ref="AM104:AM115" si="100">STDEV(F104:AK104)</f>
        <v>#DIV/0!</v>
      </c>
      <c r="AN104" s="56" t="e">
        <f t="shared" ref="AN104:AN114" si="101">ABS(AM104/AL104)</f>
        <v>#DIV/0!</v>
      </c>
    </row>
    <row r="105" spans="1:40">
      <c r="A105" s="242"/>
      <c r="B105" s="242"/>
      <c r="C105" s="242"/>
      <c r="D105" s="46" t="str">
        <f t="shared" si="82"/>
        <v>off</v>
      </c>
      <c r="E105" s="111"/>
      <c r="F105" s="135" t="str">
        <f>IF(AND(F$78,F27&lt;&gt;""),(F31-F28)/F28,"")</f>
        <v/>
      </c>
      <c r="G105" s="154" t="str">
        <f t="shared" ref="G105:AK105" si="102">IF(AND(G$78,G27&lt;&gt;""),(G31-G28)/G28,"")</f>
        <v/>
      </c>
      <c r="H105" s="154">
        <f t="shared" si="102"/>
        <v>-0.19790304648028537</v>
      </c>
      <c r="I105" s="154">
        <f t="shared" si="102"/>
        <v>-0.2</v>
      </c>
      <c r="J105" s="154" t="str">
        <f t="shared" si="102"/>
        <v/>
      </c>
      <c r="K105" s="154">
        <f t="shared" si="102"/>
        <v>-0.20076724107891367</v>
      </c>
      <c r="L105" s="154">
        <f t="shared" si="102"/>
        <v>-0.18749996093809407</v>
      </c>
      <c r="M105" s="154" t="str">
        <f t="shared" si="102"/>
        <v/>
      </c>
      <c r="N105" s="154">
        <f t="shared" si="102"/>
        <v>-0.20435962940618296</v>
      </c>
      <c r="O105" s="154">
        <f t="shared" si="102"/>
        <v>-0.19887166745218984</v>
      </c>
      <c r="P105" s="154">
        <f t="shared" si="102"/>
        <v>-0.21553091735063998</v>
      </c>
      <c r="Q105" s="154">
        <f t="shared" si="102"/>
        <v>-0.20266663718563396</v>
      </c>
      <c r="R105" s="154">
        <f t="shared" si="102"/>
        <v>-0.20839813546126015</v>
      </c>
      <c r="S105" s="154">
        <f t="shared" si="102"/>
        <v>-0.19508668371080329</v>
      </c>
      <c r="T105" s="154">
        <f t="shared" si="102"/>
        <v>-0.20116615083188419</v>
      </c>
      <c r="U105" s="154">
        <f t="shared" si="102"/>
        <v>-0.20391512527269839</v>
      </c>
      <c r="V105" s="154">
        <f t="shared" si="102"/>
        <v>-0.19562416574093358</v>
      </c>
      <c r="W105" s="154">
        <f t="shared" si="102"/>
        <v>-0.19047622965115321</v>
      </c>
      <c r="X105" s="154">
        <f t="shared" si="102"/>
        <v>-0.18859137477242538</v>
      </c>
      <c r="Y105" s="154">
        <f t="shared" si="102"/>
        <v>-0.19531249709360832</v>
      </c>
      <c r="Z105" s="154">
        <f t="shared" si="102"/>
        <v>-0.20200891653066302</v>
      </c>
      <c r="AA105" s="154">
        <f t="shared" si="102"/>
        <v>-0.19943023189697118</v>
      </c>
      <c r="AB105" s="154">
        <f t="shared" si="102"/>
        <v>-0.19751547259063448</v>
      </c>
      <c r="AC105" s="154">
        <f t="shared" si="102"/>
        <v>-0.19298247580422015</v>
      </c>
      <c r="AD105" s="154">
        <f t="shared" si="102"/>
        <v>-0.21052629480431567</v>
      </c>
      <c r="AE105" s="154">
        <f t="shared" si="102"/>
        <v>-0.21260816172147354</v>
      </c>
      <c r="AF105" s="154" t="str">
        <f t="shared" si="102"/>
        <v/>
      </c>
      <c r="AG105" s="154">
        <f t="shared" si="102"/>
        <v>-0.19400630852631584</v>
      </c>
      <c r="AH105" s="154">
        <f t="shared" si="102"/>
        <v>-0.21791763462844746</v>
      </c>
      <c r="AI105" s="154">
        <f t="shared" si="102"/>
        <v>-0.20921990924045414</v>
      </c>
      <c r="AJ105" s="154">
        <f t="shared" si="102"/>
        <v>-0.18541409751890886</v>
      </c>
      <c r="AK105" s="154">
        <f t="shared" si="102"/>
        <v>-0.20727848883630531</v>
      </c>
      <c r="AL105" s="103">
        <f t="shared" si="99"/>
        <v>-0.20055842424168205</v>
      </c>
      <c r="AM105" s="103">
        <f t="shared" si="100"/>
        <v>8.3941354696454237E-3</v>
      </c>
      <c r="AN105" s="56">
        <f t="shared" si="101"/>
        <v>4.1853816419748627E-2</v>
      </c>
    </row>
    <row r="106" spans="1:40">
      <c r="A106" s="242"/>
      <c r="B106" s="242"/>
      <c r="C106" s="242"/>
      <c r="D106" s="46" t="str">
        <f t="shared" si="82"/>
        <v>ΔIR</v>
      </c>
      <c r="E106" s="111"/>
      <c r="F106" s="100" t="str">
        <f>IF(AND(F$78,F27&lt;&gt;""),AVERAGE(F103:F104),"")</f>
        <v/>
      </c>
      <c r="G106" s="100" t="str">
        <f t="shared" ref="G106:AK106" si="103">IF(AND(G$78,G27&lt;&gt;""),AVERAGE(G103:G104),"")</f>
        <v/>
      </c>
      <c r="H106" s="100">
        <f t="shared" si="103"/>
        <v>-1.497847346152418E-3</v>
      </c>
      <c r="I106" s="100">
        <f t="shared" si="103"/>
        <v>-1.5056686664547878E-3</v>
      </c>
      <c r="J106" s="100" t="str">
        <f t="shared" si="103"/>
        <v/>
      </c>
      <c r="K106" s="100">
        <f t="shared" si="103"/>
        <v>-1.5629438819174952E-3</v>
      </c>
      <c r="L106" s="100">
        <f t="shared" si="103"/>
        <v>-1.2698401455197444E-3</v>
      </c>
      <c r="M106" s="100" t="str">
        <f t="shared" si="103"/>
        <v/>
      </c>
      <c r="N106" s="100">
        <f t="shared" si="103"/>
        <v>-1.5570258199400762E-3</v>
      </c>
      <c r="O106" s="100">
        <f t="shared" si="103"/>
        <v>-1.5223767578867937E-3</v>
      </c>
      <c r="P106" s="100">
        <f t="shared" si="103"/>
        <v>-1.5847859874407013E-3</v>
      </c>
      <c r="Q106" s="100">
        <f t="shared" si="103"/>
        <v>-1.4814809759042275E-3</v>
      </c>
      <c r="R106" s="100">
        <f t="shared" si="103"/>
        <v>-1.5798954241117674E-3</v>
      </c>
      <c r="S106" s="100">
        <f t="shared" si="103"/>
        <v>-1.4909617430123349E-3</v>
      </c>
      <c r="T106" s="100">
        <f t="shared" si="103"/>
        <v>-1.480864052687089E-3</v>
      </c>
      <c r="U106" s="100">
        <f t="shared" si="103"/>
        <v>-1.5795330770143551E-3</v>
      </c>
      <c r="V106" s="100">
        <f t="shared" si="103"/>
        <v>-1.4504300634863639E-3</v>
      </c>
      <c r="W106" s="100">
        <f t="shared" si="103"/>
        <v>-1.4379746179240534E-3</v>
      </c>
      <c r="X106" s="100">
        <f t="shared" si="103"/>
        <v>-1.3489286449525609E-3</v>
      </c>
      <c r="Y106" s="100">
        <f t="shared" si="103"/>
        <v>-1.4880946844968226E-3</v>
      </c>
      <c r="Z106" s="100">
        <f t="shared" si="103"/>
        <v>-1.4703795352044393E-3</v>
      </c>
      <c r="AA106" s="100">
        <f t="shared" si="103"/>
        <v>-1.5149463136904925E-3</v>
      </c>
      <c r="AB106" s="100">
        <f t="shared" si="103"/>
        <v>-1.459133535384549E-3</v>
      </c>
      <c r="AC106" s="100">
        <f t="shared" si="103"/>
        <v>-1.4295010068466555E-3</v>
      </c>
      <c r="AD106" s="100">
        <f t="shared" si="103"/>
        <v>-1.5379360266743862E-3</v>
      </c>
      <c r="AE106" s="100">
        <f t="shared" si="103"/>
        <v>-1.5892639382722145E-3</v>
      </c>
      <c r="AF106" s="100" t="str">
        <f t="shared" si="103"/>
        <v/>
      </c>
      <c r="AG106" s="100">
        <f t="shared" si="103"/>
        <v>-1.5021782043998845E-3</v>
      </c>
      <c r="AH106" s="100">
        <f t="shared" si="103"/>
        <v>-1.5949880005623304E-3</v>
      </c>
      <c r="AI106" s="100">
        <f t="shared" si="103"/>
        <v>-1.5760446531784471E-3</v>
      </c>
      <c r="AJ106" s="100">
        <f t="shared" si="103"/>
        <v>-1.3930582715689823E-3</v>
      </c>
      <c r="AK106" s="100">
        <f t="shared" si="103"/>
        <v>-1.43158441973907E-3</v>
      </c>
      <c r="AL106" s="103">
        <f t="shared" si="99"/>
        <v>-1.4939876220156686E-3</v>
      </c>
      <c r="AM106" s="103">
        <f t="shared" si="100"/>
        <v>7.7900680975913838E-5</v>
      </c>
      <c r="AN106" s="56">
        <f t="shared" si="101"/>
        <v>5.214278875404018E-2</v>
      </c>
    </row>
    <row r="107" spans="1:40">
      <c r="A107" s="242"/>
      <c r="B107" s="242"/>
      <c r="C107" s="242"/>
      <c r="D107" s="46" t="str">
        <f t="shared" si="82"/>
        <v>code</v>
      </c>
      <c r="E107" s="111"/>
      <c r="F107" s="112" t="str">
        <f>IF(AND(F$78,F27&lt;&gt;""),F105/F106,"")</f>
        <v/>
      </c>
      <c r="G107" s="112" t="str">
        <f t="shared" ref="G107:AK107" si="104">IF(AND(G$78,G27&lt;&gt;""),G105/G106,"")</f>
        <v/>
      </c>
      <c r="H107" s="112">
        <f t="shared" si="104"/>
        <v>132.12497721389769</v>
      </c>
      <c r="I107" s="112">
        <f t="shared" si="104"/>
        <v>132.83134892546801</v>
      </c>
      <c r="J107" s="112" t="str">
        <f t="shared" si="104"/>
        <v/>
      </c>
      <c r="K107" s="112">
        <f t="shared" si="104"/>
        <v>128.45454235541885</v>
      </c>
      <c r="L107" s="112">
        <f t="shared" si="104"/>
        <v>147.65634997415404</v>
      </c>
      <c r="M107" s="112" t="str">
        <f t="shared" si="104"/>
        <v/>
      </c>
      <c r="N107" s="112">
        <f t="shared" si="104"/>
        <v>131.24999392370253</v>
      </c>
      <c r="O107" s="112">
        <f t="shared" si="104"/>
        <v>130.63235918567423</v>
      </c>
      <c r="P107" s="112">
        <f t="shared" si="104"/>
        <v>136.0000145500432</v>
      </c>
      <c r="Q107" s="112">
        <f t="shared" si="104"/>
        <v>136.80002678531571</v>
      </c>
      <c r="R107" s="112">
        <f t="shared" si="104"/>
        <v>131.9062846064154</v>
      </c>
      <c r="S107" s="112">
        <f t="shared" si="104"/>
        <v>130.84620354956306</v>
      </c>
      <c r="T107" s="112">
        <f t="shared" si="104"/>
        <v>135.84376666234817</v>
      </c>
      <c r="U107" s="112">
        <f t="shared" si="104"/>
        <v>129.0983571285131</v>
      </c>
      <c r="V107" s="112">
        <f t="shared" si="104"/>
        <v>134.87321496268251</v>
      </c>
      <c r="W107" s="112">
        <f t="shared" si="104"/>
        <v>132.46146856620888</v>
      </c>
      <c r="X107" s="112">
        <f t="shared" si="104"/>
        <v>139.80826597322186</v>
      </c>
      <c r="Y107" s="112">
        <f t="shared" si="104"/>
        <v>131.25004687430248</v>
      </c>
      <c r="Z107" s="112">
        <f t="shared" si="104"/>
        <v>137.38556045842682</v>
      </c>
      <c r="AA107" s="112">
        <f t="shared" si="104"/>
        <v>131.64178168871751</v>
      </c>
      <c r="AB107" s="112">
        <f t="shared" si="104"/>
        <v>135.36490513089333</v>
      </c>
      <c r="AC107" s="112">
        <f t="shared" si="104"/>
        <v>134.99988798883138</v>
      </c>
      <c r="AD107" s="112">
        <f t="shared" si="104"/>
        <v>136.88885048070244</v>
      </c>
      <c r="AE107" s="112">
        <f t="shared" si="104"/>
        <v>133.77775497291708</v>
      </c>
      <c r="AF107" s="112" t="str">
        <f t="shared" si="104"/>
        <v/>
      </c>
      <c r="AG107" s="112">
        <f t="shared" si="104"/>
        <v>129.14999562506685</v>
      </c>
      <c r="AH107" s="112">
        <f t="shared" si="104"/>
        <v>136.62650411891389</v>
      </c>
      <c r="AI107" s="112">
        <f t="shared" si="104"/>
        <v>132.7499882814331</v>
      </c>
      <c r="AJ107" s="112">
        <f t="shared" si="104"/>
        <v>133.09859415290612</v>
      </c>
      <c r="AK107" s="112">
        <f t="shared" si="104"/>
        <v>144.78956740398533</v>
      </c>
      <c r="AL107" s="52">
        <f t="shared" si="99"/>
        <v>134.38187450147123</v>
      </c>
      <c r="AM107" s="58">
        <f t="shared" si="100"/>
        <v>4.4402484739994739</v>
      </c>
      <c r="AN107" s="56">
        <f t="shared" si="101"/>
        <v>3.3042019174623592E-2</v>
      </c>
    </row>
    <row r="108" spans="1:40">
      <c r="A108" s="242"/>
      <c r="B108" s="242" t="str">
        <f>B96</f>
        <v>HI</v>
      </c>
      <c r="C108" s="242"/>
      <c r="D108" s="46" t="str">
        <f t="shared" si="82"/>
        <v>seg0</v>
      </c>
      <c r="E108" s="111"/>
      <c r="F108" s="100" t="str">
        <f>IF(AND(F$78,F27&lt;&gt;""),(F36-F34)/$D36/F34,"")</f>
        <v/>
      </c>
      <c r="G108" s="100" t="str">
        <f t="shared" ref="G108:AK108" si="105">IF(AND(G$78,G27&lt;&gt;""),(G36-G34)/$D36/G34,"")</f>
        <v/>
      </c>
      <c r="H108" s="100">
        <f t="shared" si="105"/>
        <v>-1.0582010582010583E-3</v>
      </c>
      <c r="I108" s="100">
        <f t="shared" si="105"/>
        <v>-1.4005602240896359E-3</v>
      </c>
      <c r="J108" s="100" t="str">
        <f t="shared" si="105"/>
        <v/>
      </c>
      <c r="K108" s="100">
        <f t="shared" si="105"/>
        <v>-1.5360983102918587E-3</v>
      </c>
      <c r="L108" s="100">
        <f t="shared" si="105"/>
        <v>-1.5360983102918587E-3</v>
      </c>
      <c r="M108" s="100" t="str">
        <f t="shared" si="105"/>
        <v/>
      </c>
      <c r="N108" s="100">
        <f t="shared" si="105"/>
        <v>-1.5360983102918587E-3</v>
      </c>
      <c r="O108" s="100">
        <f t="shared" si="105"/>
        <v>-1.5873015873015873E-3</v>
      </c>
      <c r="P108" s="100">
        <f t="shared" si="105"/>
        <v>-1.221001221001221E-3</v>
      </c>
      <c r="Q108" s="100">
        <f t="shared" si="105"/>
        <v>-1.7006802721088435E-3</v>
      </c>
      <c r="R108" s="100">
        <f t="shared" si="105"/>
        <v>-1.3227513227513227E-3</v>
      </c>
      <c r="S108" s="100">
        <f t="shared" si="105"/>
        <v>-1.7006802721088435E-3</v>
      </c>
      <c r="T108" s="100">
        <f t="shared" si="105"/>
        <v>-1.1757789535567313E-3</v>
      </c>
      <c r="U108" s="100">
        <f t="shared" si="105"/>
        <v>-1.984126984126984E-3</v>
      </c>
      <c r="V108" s="100">
        <f t="shared" si="105"/>
        <v>-1.5873015873015873E-3</v>
      </c>
      <c r="W108" s="100">
        <f t="shared" si="105"/>
        <v>-1.4005602240896359E-3</v>
      </c>
      <c r="X108" s="100">
        <f t="shared" si="105"/>
        <v>-1.5360983102918587E-3</v>
      </c>
      <c r="Y108" s="100">
        <f t="shared" si="105"/>
        <v>-1.221001221001221E-3</v>
      </c>
      <c r="Z108" s="100">
        <f t="shared" si="105"/>
        <v>-1.4005602240896359E-3</v>
      </c>
      <c r="AA108" s="100">
        <f t="shared" si="105"/>
        <v>-1.1757789535567313E-3</v>
      </c>
      <c r="AB108" s="100">
        <f t="shared" si="105"/>
        <v>-1.488095238095238E-3</v>
      </c>
      <c r="AC108" s="100">
        <f t="shared" si="105"/>
        <v>-1.443001443001443E-3</v>
      </c>
      <c r="AD108" s="100">
        <f t="shared" si="105"/>
        <v>-1.9240019240019241E-3</v>
      </c>
      <c r="AE108" s="100">
        <f t="shared" si="105"/>
        <v>-1.4005602240896359E-3</v>
      </c>
      <c r="AF108" s="100" t="str">
        <f t="shared" si="105"/>
        <v/>
      </c>
      <c r="AG108" s="100">
        <f t="shared" si="105"/>
        <v>-1.2698412698412698E-3</v>
      </c>
      <c r="AH108" s="100">
        <f t="shared" si="105"/>
        <v>-1.4005602240896359E-3</v>
      </c>
      <c r="AI108" s="100">
        <f t="shared" si="105"/>
        <v>-1.443001443001443E-3</v>
      </c>
      <c r="AJ108" s="100">
        <f t="shared" si="105"/>
        <v>-1.488095238095238E-3</v>
      </c>
      <c r="AK108" s="100">
        <f t="shared" si="105"/>
        <v>-1.2698412698412698E-3</v>
      </c>
      <c r="AL108" s="103">
        <f t="shared" si="99"/>
        <v>-1.4521361340929467E-3</v>
      </c>
      <c r="AM108" s="103">
        <f t="shared" si="100"/>
        <v>2.1554873729666497E-4</v>
      </c>
      <c r="AN108" s="56">
        <f t="shared" si="101"/>
        <v>0.14843562682317246</v>
      </c>
    </row>
    <row r="109" spans="1:40">
      <c r="A109" s="242"/>
      <c r="B109" s="242"/>
      <c r="C109" s="242"/>
      <c r="D109" s="46" t="str">
        <f t="shared" si="82"/>
        <v>seg1</v>
      </c>
      <c r="E109" s="111"/>
      <c r="F109" s="100" t="str">
        <f t="shared" ref="F109:AK109" si="106">IF(AND(F$78,F27&lt;&gt;"",comp38&gt;63),(F38-F37)/($D38-$D37)/F34,"")</f>
        <v/>
      </c>
      <c r="G109" s="100" t="str">
        <f t="shared" si="106"/>
        <v/>
      </c>
      <c r="H109" s="100" t="str">
        <f t="shared" si="106"/>
        <v/>
      </c>
      <c r="I109" s="100" t="str">
        <f t="shared" si="106"/>
        <v/>
      </c>
      <c r="J109" s="100" t="str">
        <f t="shared" si="106"/>
        <v/>
      </c>
      <c r="K109" s="100" t="str">
        <f t="shared" si="106"/>
        <v/>
      </c>
      <c r="L109" s="100" t="str">
        <f t="shared" si="106"/>
        <v/>
      </c>
      <c r="M109" s="100" t="str">
        <f t="shared" si="106"/>
        <v/>
      </c>
      <c r="N109" s="100" t="str">
        <f t="shared" si="106"/>
        <v/>
      </c>
      <c r="O109" s="100" t="str">
        <f t="shared" si="106"/>
        <v/>
      </c>
      <c r="P109" s="100" t="str">
        <f t="shared" si="106"/>
        <v/>
      </c>
      <c r="Q109" s="100" t="str">
        <f t="shared" si="106"/>
        <v/>
      </c>
      <c r="R109" s="100" t="str">
        <f t="shared" si="106"/>
        <v/>
      </c>
      <c r="S109" s="100" t="str">
        <f t="shared" si="106"/>
        <v/>
      </c>
      <c r="T109" s="100" t="str">
        <f t="shared" si="106"/>
        <v/>
      </c>
      <c r="U109" s="100" t="str">
        <f t="shared" si="106"/>
        <v/>
      </c>
      <c r="V109" s="100" t="str">
        <f t="shared" si="106"/>
        <v/>
      </c>
      <c r="W109" s="100" t="str">
        <f t="shared" si="106"/>
        <v/>
      </c>
      <c r="X109" s="100" t="str">
        <f t="shared" si="106"/>
        <v/>
      </c>
      <c r="Y109" s="100" t="str">
        <f t="shared" si="106"/>
        <v/>
      </c>
      <c r="Z109" s="100" t="str">
        <f t="shared" si="106"/>
        <v/>
      </c>
      <c r="AA109" s="100" t="str">
        <f t="shared" si="106"/>
        <v/>
      </c>
      <c r="AB109" s="100" t="str">
        <f t="shared" si="106"/>
        <v/>
      </c>
      <c r="AC109" s="100" t="str">
        <f t="shared" si="106"/>
        <v/>
      </c>
      <c r="AD109" s="100" t="str">
        <f t="shared" si="106"/>
        <v/>
      </c>
      <c r="AE109" s="100" t="str">
        <f t="shared" si="106"/>
        <v/>
      </c>
      <c r="AF109" s="100" t="str">
        <f t="shared" si="106"/>
        <v/>
      </c>
      <c r="AG109" s="100" t="str">
        <f t="shared" si="106"/>
        <v/>
      </c>
      <c r="AH109" s="100" t="str">
        <f t="shared" si="106"/>
        <v/>
      </c>
      <c r="AI109" s="100" t="str">
        <f t="shared" si="106"/>
        <v/>
      </c>
      <c r="AJ109" s="100" t="str">
        <f t="shared" si="106"/>
        <v/>
      </c>
      <c r="AK109" s="100" t="str">
        <f t="shared" si="106"/>
        <v/>
      </c>
      <c r="AL109" s="103" t="e">
        <f t="shared" si="99"/>
        <v>#DIV/0!</v>
      </c>
      <c r="AM109" s="103" t="e">
        <f t="shared" si="100"/>
        <v>#DIV/0!</v>
      </c>
      <c r="AN109" s="56" t="e">
        <f t="shared" si="101"/>
        <v>#DIV/0!</v>
      </c>
    </row>
    <row r="110" spans="1:40">
      <c r="A110" s="242"/>
      <c r="B110" s="242"/>
      <c r="C110" s="242"/>
      <c r="D110" s="46" t="str">
        <f t="shared" si="82"/>
        <v>off</v>
      </c>
      <c r="E110" s="111"/>
      <c r="F110" s="135" t="str">
        <f>IF(AND(F$78,F27&lt;&gt;""),(F37-F34)/F34,"")</f>
        <v/>
      </c>
      <c r="G110" s="154" t="str">
        <f t="shared" ref="G110:AK110" si="107">IF(AND(G$78,G27&lt;&gt;""),(G37-G34)/G34,"")</f>
        <v/>
      </c>
      <c r="H110" s="154">
        <f t="shared" si="107"/>
        <v>-0.16666666666666666</v>
      </c>
      <c r="I110" s="154">
        <f t="shared" si="107"/>
        <v>-0.20588235294117646</v>
      </c>
      <c r="J110" s="154" t="str">
        <f t="shared" si="107"/>
        <v/>
      </c>
      <c r="K110" s="154">
        <f t="shared" si="107"/>
        <v>-0.19354838709677419</v>
      </c>
      <c r="L110" s="154">
        <f t="shared" si="107"/>
        <v>-0.19354838709677419</v>
      </c>
      <c r="M110" s="154" t="str">
        <f t="shared" si="107"/>
        <v/>
      </c>
      <c r="N110" s="154">
        <f t="shared" si="107"/>
        <v>-0.19354838709677419</v>
      </c>
      <c r="O110" s="154">
        <f t="shared" si="107"/>
        <v>-0.2</v>
      </c>
      <c r="P110" s="154">
        <f t="shared" si="107"/>
        <v>-0.19230769230769232</v>
      </c>
      <c r="Q110" s="154">
        <f t="shared" si="107"/>
        <v>-0.21428571428571427</v>
      </c>
      <c r="R110" s="154">
        <f t="shared" si="107"/>
        <v>-0.16666666666666666</v>
      </c>
      <c r="S110" s="154">
        <f t="shared" si="107"/>
        <v>-0.21428571428571427</v>
      </c>
      <c r="T110" s="154">
        <f t="shared" si="107"/>
        <v>-0.18518518518518517</v>
      </c>
      <c r="U110" s="154">
        <f t="shared" si="107"/>
        <v>-0.20833333333333334</v>
      </c>
      <c r="V110" s="154">
        <f t="shared" si="107"/>
        <v>-0.2</v>
      </c>
      <c r="W110" s="154">
        <f t="shared" si="107"/>
        <v>-0.17647058823529413</v>
      </c>
      <c r="X110" s="154">
        <f t="shared" si="107"/>
        <v>-0.19354838709677419</v>
      </c>
      <c r="Y110" s="154">
        <f t="shared" si="107"/>
        <v>-0.17948717948717949</v>
      </c>
      <c r="Z110" s="154">
        <f t="shared" si="107"/>
        <v>-0.20588235294117646</v>
      </c>
      <c r="AA110" s="154">
        <f t="shared" si="107"/>
        <v>-0.18518518518518517</v>
      </c>
      <c r="AB110" s="154">
        <f t="shared" si="107"/>
        <v>-0.1875</v>
      </c>
      <c r="AC110" s="154">
        <f t="shared" si="107"/>
        <v>-0.18181818181818182</v>
      </c>
      <c r="AD110" s="154">
        <f t="shared" si="107"/>
        <v>-0.21212121212121213</v>
      </c>
      <c r="AE110" s="154">
        <f t="shared" si="107"/>
        <v>-0.20588235294117646</v>
      </c>
      <c r="AF110" s="154" t="str">
        <f t="shared" si="107"/>
        <v/>
      </c>
      <c r="AG110" s="154">
        <f t="shared" si="107"/>
        <v>-0.2</v>
      </c>
      <c r="AH110" s="154">
        <f t="shared" si="107"/>
        <v>-0.20588235294117646</v>
      </c>
      <c r="AI110" s="154">
        <f t="shared" si="107"/>
        <v>-0.22727272727272727</v>
      </c>
      <c r="AJ110" s="154">
        <f t="shared" si="107"/>
        <v>-0.1875</v>
      </c>
      <c r="AK110" s="154">
        <f t="shared" si="107"/>
        <v>-0.2</v>
      </c>
      <c r="AL110" s="103">
        <f t="shared" si="99"/>
        <v>-0.19565959285194653</v>
      </c>
      <c r="AM110" s="103">
        <f t="shared" si="100"/>
        <v>1.4547557149646902E-2</v>
      </c>
      <c r="AN110" s="56">
        <f t="shared" si="101"/>
        <v>7.4351361656235682E-2</v>
      </c>
    </row>
    <row r="111" spans="1:40">
      <c r="A111" s="242"/>
      <c r="B111" s="242"/>
      <c r="C111" s="242"/>
      <c r="D111" s="46" t="str">
        <f t="shared" si="82"/>
        <v>ΔIR</v>
      </c>
      <c r="E111" s="111"/>
      <c r="F111" s="100" t="str">
        <f>IF(AND(F$78,F27&lt;&gt;""),AVERAGE(F108:F109),"")</f>
        <v/>
      </c>
      <c r="G111" s="100" t="str">
        <f t="shared" ref="G111:AK111" si="108">IF(AND(G$78,G27&lt;&gt;""),AVERAGE(G108:G109),"")</f>
        <v/>
      </c>
      <c r="H111" s="100">
        <f t="shared" si="108"/>
        <v>-1.0582010582010583E-3</v>
      </c>
      <c r="I111" s="100">
        <f t="shared" si="108"/>
        <v>-1.4005602240896359E-3</v>
      </c>
      <c r="J111" s="100" t="str">
        <f t="shared" si="108"/>
        <v/>
      </c>
      <c r="K111" s="100">
        <f t="shared" si="108"/>
        <v>-1.5360983102918587E-3</v>
      </c>
      <c r="L111" s="100">
        <f t="shared" si="108"/>
        <v>-1.5360983102918587E-3</v>
      </c>
      <c r="M111" s="100" t="str">
        <f t="shared" si="108"/>
        <v/>
      </c>
      <c r="N111" s="100">
        <f t="shared" si="108"/>
        <v>-1.5360983102918587E-3</v>
      </c>
      <c r="O111" s="100">
        <f t="shared" si="108"/>
        <v>-1.5873015873015873E-3</v>
      </c>
      <c r="P111" s="100">
        <f t="shared" si="108"/>
        <v>-1.221001221001221E-3</v>
      </c>
      <c r="Q111" s="100">
        <f t="shared" si="108"/>
        <v>-1.7006802721088435E-3</v>
      </c>
      <c r="R111" s="100">
        <f t="shared" si="108"/>
        <v>-1.3227513227513227E-3</v>
      </c>
      <c r="S111" s="100">
        <f t="shared" si="108"/>
        <v>-1.7006802721088435E-3</v>
      </c>
      <c r="T111" s="100">
        <f t="shared" si="108"/>
        <v>-1.1757789535567313E-3</v>
      </c>
      <c r="U111" s="100">
        <f t="shared" si="108"/>
        <v>-1.984126984126984E-3</v>
      </c>
      <c r="V111" s="100">
        <f t="shared" si="108"/>
        <v>-1.5873015873015873E-3</v>
      </c>
      <c r="W111" s="100">
        <f t="shared" si="108"/>
        <v>-1.4005602240896359E-3</v>
      </c>
      <c r="X111" s="100">
        <f t="shared" si="108"/>
        <v>-1.5360983102918587E-3</v>
      </c>
      <c r="Y111" s="100">
        <f t="shared" si="108"/>
        <v>-1.221001221001221E-3</v>
      </c>
      <c r="Z111" s="100">
        <f t="shared" si="108"/>
        <v>-1.4005602240896359E-3</v>
      </c>
      <c r="AA111" s="100">
        <f t="shared" si="108"/>
        <v>-1.1757789535567313E-3</v>
      </c>
      <c r="AB111" s="100">
        <f t="shared" si="108"/>
        <v>-1.488095238095238E-3</v>
      </c>
      <c r="AC111" s="100">
        <f t="shared" si="108"/>
        <v>-1.443001443001443E-3</v>
      </c>
      <c r="AD111" s="100">
        <f t="shared" si="108"/>
        <v>-1.9240019240019241E-3</v>
      </c>
      <c r="AE111" s="100">
        <f t="shared" si="108"/>
        <v>-1.4005602240896359E-3</v>
      </c>
      <c r="AF111" s="100" t="str">
        <f t="shared" si="108"/>
        <v/>
      </c>
      <c r="AG111" s="100">
        <f t="shared" si="108"/>
        <v>-1.2698412698412698E-3</v>
      </c>
      <c r="AH111" s="100">
        <f t="shared" si="108"/>
        <v>-1.4005602240896359E-3</v>
      </c>
      <c r="AI111" s="100">
        <f t="shared" si="108"/>
        <v>-1.443001443001443E-3</v>
      </c>
      <c r="AJ111" s="100">
        <f t="shared" si="108"/>
        <v>-1.488095238095238E-3</v>
      </c>
      <c r="AK111" s="100">
        <f t="shared" si="108"/>
        <v>-1.2698412698412698E-3</v>
      </c>
      <c r="AL111" s="103">
        <f t="shared" si="99"/>
        <v>-1.4521361340929467E-3</v>
      </c>
      <c r="AM111" s="103">
        <f t="shared" si="100"/>
        <v>2.1554873729666497E-4</v>
      </c>
      <c r="AN111" s="56">
        <f t="shared" si="101"/>
        <v>0.14843562682317246</v>
      </c>
    </row>
    <row r="112" spans="1:40">
      <c r="A112" s="242"/>
      <c r="B112" s="242"/>
      <c r="C112" s="242"/>
      <c r="D112" s="46" t="str">
        <f t="shared" si="82"/>
        <v>code</v>
      </c>
      <c r="E112" s="111"/>
      <c r="F112" s="112" t="str">
        <f>IF(AND(F$78,F27&lt;&gt;""),F110/F111,"")</f>
        <v/>
      </c>
      <c r="G112" s="112" t="str">
        <f t="shared" ref="G112:AK112" si="109">IF(AND(G$78,G27&lt;&gt;""),G110/G111,"")</f>
        <v/>
      </c>
      <c r="H112" s="112">
        <f t="shared" si="109"/>
        <v>157.49999999999997</v>
      </c>
      <c r="I112" s="112">
        <f t="shared" si="109"/>
        <v>147</v>
      </c>
      <c r="J112" s="112" t="str">
        <f t="shared" si="109"/>
        <v/>
      </c>
      <c r="K112" s="112">
        <f t="shared" si="109"/>
        <v>126</v>
      </c>
      <c r="L112" s="112">
        <f t="shared" si="109"/>
        <v>126</v>
      </c>
      <c r="M112" s="112" t="str">
        <f t="shared" si="109"/>
        <v/>
      </c>
      <c r="N112" s="112">
        <f t="shared" si="109"/>
        <v>126</v>
      </c>
      <c r="O112" s="112">
        <f t="shared" si="109"/>
        <v>126</v>
      </c>
      <c r="P112" s="112">
        <f t="shared" si="109"/>
        <v>157.5</v>
      </c>
      <c r="Q112" s="112">
        <f t="shared" si="109"/>
        <v>126</v>
      </c>
      <c r="R112" s="112">
        <f t="shared" si="109"/>
        <v>126</v>
      </c>
      <c r="S112" s="112">
        <f t="shared" si="109"/>
        <v>126</v>
      </c>
      <c r="T112" s="112">
        <f t="shared" si="109"/>
        <v>157.5</v>
      </c>
      <c r="U112" s="112">
        <f t="shared" si="109"/>
        <v>105.00000000000001</v>
      </c>
      <c r="V112" s="112">
        <f t="shared" si="109"/>
        <v>126</v>
      </c>
      <c r="W112" s="112">
        <f t="shared" si="109"/>
        <v>126.00000000000001</v>
      </c>
      <c r="X112" s="112">
        <f t="shared" si="109"/>
        <v>126</v>
      </c>
      <c r="Y112" s="112">
        <f t="shared" si="109"/>
        <v>147</v>
      </c>
      <c r="Z112" s="112">
        <f t="shared" si="109"/>
        <v>147</v>
      </c>
      <c r="AA112" s="112">
        <f t="shared" si="109"/>
        <v>157.5</v>
      </c>
      <c r="AB112" s="112">
        <f t="shared" si="109"/>
        <v>126</v>
      </c>
      <c r="AC112" s="112">
        <f t="shared" si="109"/>
        <v>126</v>
      </c>
      <c r="AD112" s="112">
        <f t="shared" si="109"/>
        <v>110.25</v>
      </c>
      <c r="AE112" s="112">
        <f t="shared" si="109"/>
        <v>147</v>
      </c>
      <c r="AF112" s="112" t="str">
        <f t="shared" si="109"/>
        <v/>
      </c>
      <c r="AG112" s="112">
        <f t="shared" si="109"/>
        <v>157.5</v>
      </c>
      <c r="AH112" s="112">
        <f t="shared" si="109"/>
        <v>147</v>
      </c>
      <c r="AI112" s="112">
        <f t="shared" si="109"/>
        <v>157.5</v>
      </c>
      <c r="AJ112" s="112">
        <f t="shared" si="109"/>
        <v>126</v>
      </c>
      <c r="AK112" s="112">
        <f t="shared" si="109"/>
        <v>157.5</v>
      </c>
      <c r="AL112" s="52">
        <f t="shared" si="99"/>
        <v>136.69444444444446</v>
      </c>
      <c r="AM112" s="58">
        <f t="shared" si="100"/>
        <v>16.114722922588388</v>
      </c>
      <c r="AN112" s="56">
        <f t="shared" si="101"/>
        <v>0.11788864564380856</v>
      </c>
    </row>
    <row r="113" spans="1:40">
      <c r="A113" s="242"/>
      <c r="B113" s="242" t="str">
        <f>B101</f>
        <v>Combined</v>
      </c>
      <c r="C113" s="242"/>
      <c r="D113" s="46" t="str">
        <f t="shared" si="82"/>
        <v>ΔIR</v>
      </c>
      <c r="E113" s="111"/>
      <c r="F113" s="100" t="str">
        <f>IF(AND(F$78,F27&lt;&gt;""),(F106+F111)/2,"")</f>
        <v/>
      </c>
      <c r="G113" s="100" t="str">
        <f t="shared" ref="G113:AK113" si="110">IF(AND(G$78,G27&lt;&gt;""),(G106+G111)/2,"")</f>
        <v/>
      </c>
      <c r="H113" s="100">
        <f t="shared" si="110"/>
        <v>-1.278024202176738E-3</v>
      </c>
      <c r="I113" s="100">
        <f t="shared" si="110"/>
        <v>-1.4531144452722118E-3</v>
      </c>
      <c r="J113" s="100" t="str">
        <f t="shared" si="110"/>
        <v/>
      </c>
      <c r="K113" s="100">
        <f t="shared" si="110"/>
        <v>-1.5495210961046771E-3</v>
      </c>
      <c r="L113" s="100">
        <f t="shared" si="110"/>
        <v>-1.4029692279058014E-3</v>
      </c>
      <c r="M113" s="100" t="str">
        <f t="shared" si="110"/>
        <v/>
      </c>
      <c r="N113" s="100">
        <f t="shared" si="110"/>
        <v>-1.5465620651159673E-3</v>
      </c>
      <c r="O113" s="100">
        <f t="shared" si="110"/>
        <v>-1.5548391725941904E-3</v>
      </c>
      <c r="P113" s="100">
        <f t="shared" si="110"/>
        <v>-1.4028936042209611E-3</v>
      </c>
      <c r="Q113" s="100">
        <f t="shared" si="110"/>
        <v>-1.5910806240065356E-3</v>
      </c>
      <c r="R113" s="100">
        <f t="shared" si="110"/>
        <v>-1.451323373431545E-3</v>
      </c>
      <c r="S113" s="100">
        <f t="shared" si="110"/>
        <v>-1.5958210075605892E-3</v>
      </c>
      <c r="T113" s="100">
        <f t="shared" si="110"/>
        <v>-1.3283215031219102E-3</v>
      </c>
      <c r="U113" s="100">
        <f t="shared" si="110"/>
        <v>-1.7818300305706696E-3</v>
      </c>
      <c r="V113" s="100">
        <f t="shared" si="110"/>
        <v>-1.5188658253939757E-3</v>
      </c>
      <c r="W113" s="100">
        <f t="shared" si="110"/>
        <v>-1.4192674210068445E-3</v>
      </c>
      <c r="X113" s="100">
        <f t="shared" si="110"/>
        <v>-1.4425134776222099E-3</v>
      </c>
      <c r="Y113" s="100">
        <f t="shared" si="110"/>
        <v>-1.3545479527490218E-3</v>
      </c>
      <c r="Z113" s="100">
        <f t="shared" si="110"/>
        <v>-1.4354698796470375E-3</v>
      </c>
      <c r="AA113" s="100">
        <f t="shared" si="110"/>
        <v>-1.345362633623612E-3</v>
      </c>
      <c r="AB113" s="100">
        <f t="shared" si="110"/>
        <v>-1.4736143867398934E-3</v>
      </c>
      <c r="AC113" s="100">
        <f t="shared" si="110"/>
        <v>-1.4362512249240494E-3</v>
      </c>
      <c r="AD113" s="100">
        <f t="shared" si="110"/>
        <v>-1.7309689753381551E-3</v>
      </c>
      <c r="AE113" s="100">
        <f t="shared" si="110"/>
        <v>-1.4949120811809252E-3</v>
      </c>
      <c r="AF113" s="100" t="str">
        <f t="shared" si="110"/>
        <v/>
      </c>
      <c r="AG113" s="100">
        <f t="shared" si="110"/>
        <v>-1.3860097371205771E-3</v>
      </c>
      <c r="AH113" s="100">
        <f t="shared" si="110"/>
        <v>-1.497774112325983E-3</v>
      </c>
      <c r="AI113" s="100">
        <f t="shared" si="110"/>
        <v>-1.509523048089945E-3</v>
      </c>
      <c r="AJ113" s="100">
        <f t="shared" si="110"/>
        <v>-1.4405767548321103E-3</v>
      </c>
      <c r="AK113" s="100">
        <f t="shared" si="110"/>
        <v>-1.3507128447901699E-3</v>
      </c>
      <c r="AL113" s="103">
        <f t="shared" si="99"/>
        <v>-1.473061878054308E-3</v>
      </c>
      <c r="AM113" s="103">
        <f t="shared" si="100"/>
        <v>1.1494994882633341E-4</v>
      </c>
      <c r="AN113" s="56">
        <f t="shared" si="101"/>
        <v>7.8034704813734576E-2</v>
      </c>
    </row>
    <row r="114" spans="1:40">
      <c r="A114" s="242"/>
      <c r="B114" s="242"/>
      <c r="C114" s="242"/>
      <c r="D114" s="46" t="str">
        <f t="shared" si="82"/>
        <v>code</v>
      </c>
      <c r="E114" s="111"/>
      <c r="F114" s="112" t="str">
        <f>IF(AND(F$78,F27&lt;&gt;""),(F107+F112)/2,"")</f>
        <v/>
      </c>
      <c r="G114" s="112" t="str">
        <f t="shared" ref="G114:AK114" si="111">IF(AND(G$78,G27&lt;&gt;""),(G107+G112)/2,"")</f>
        <v/>
      </c>
      <c r="H114" s="112">
        <f t="shared" si="111"/>
        <v>144.81248860694882</v>
      </c>
      <c r="I114" s="112">
        <f t="shared" si="111"/>
        <v>139.91567446273399</v>
      </c>
      <c r="J114" s="112" t="str">
        <f t="shared" si="111"/>
        <v/>
      </c>
      <c r="K114" s="112">
        <f t="shared" si="111"/>
        <v>127.22727117770943</v>
      </c>
      <c r="L114" s="112">
        <f t="shared" si="111"/>
        <v>136.82817498707703</v>
      </c>
      <c r="M114" s="112" t="str">
        <f t="shared" si="111"/>
        <v/>
      </c>
      <c r="N114" s="112">
        <f t="shared" si="111"/>
        <v>128.62499696185125</v>
      </c>
      <c r="O114" s="112">
        <f t="shared" si="111"/>
        <v>128.3161795928371</v>
      </c>
      <c r="P114" s="112">
        <f t="shared" si="111"/>
        <v>146.7500072750216</v>
      </c>
      <c r="Q114" s="112">
        <f t="shared" si="111"/>
        <v>131.40001339265785</v>
      </c>
      <c r="R114" s="112">
        <f t="shared" si="111"/>
        <v>128.9531423032077</v>
      </c>
      <c r="S114" s="112">
        <f t="shared" si="111"/>
        <v>128.42310177478151</v>
      </c>
      <c r="T114" s="112">
        <f t="shared" si="111"/>
        <v>146.67188333117409</v>
      </c>
      <c r="U114" s="112">
        <f t="shared" si="111"/>
        <v>117.04917856425655</v>
      </c>
      <c r="V114" s="112">
        <f t="shared" si="111"/>
        <v>130.43660748134124</v>
      </c>
      <c r="W114" s="112">
        <f t="shared" si="111"/>
        <v>129.23073428310445</v>
      </c>
      <c r="X114" s="112">
        <f t="shared" si="111"/>
        <v>132.90413298661093</v>
      </c>
      <c r="Y114" s="112">
        <f t="shared" si="111"/>
        <v>139.12502343715124</v>
      </c>
      <c r="Z114" s="112">
        <f t="shared" si="111"/>
        <v>142.19278022921341</v>
      </c>
      <c r="AA114" s="112">
        <f t="shared" si="111"/>
        <v>144.57089084435876</v>
      </c>
      <c r="AB114" s="112">
        <f t="shared" si="111"/>
        <v>130.68245256544668</v>
      </c>
      <c r="AC114" s="112">
        <f t="shared" si="111"/>
        <v>130.49994399441567</v>
      </c>
      <c r="AD114" s="112">
        <f t="shared" si="111"/>
        <v>123.56942524035122</v>
      </c>
      <c r="AE114" s="112">
        <f t="shared" si="111"/>
        <v>140.38887748645854</v>
      </c>
      <c r="AF114" s="112" t="str">
        <f t="shared" si="111"/>
        <v/>
      </c>
      <c r="AG114" s="112">
        <f t="shared" si="111"/>
        <v>143.32499781253341</v>
      </c>
      <c r="AH114" s="112">
        <f t="shared" si="111"/>
        <v>141.81325205945694</v>
      </c>
      <c r="AI114" s="112">
        <f t="shared" si="111"/>
        <v>145.12499414071655</v>
      </c>
      <c r="AJ114" s="112">
        <f t="shared" si="111"/>
        <v>129.54929707645306</v>
      </c>
      <c r="AK114" s="112">
        <f t="shared" si="111"/>
        <v>151.14478370199265</v>
      </c>
      <c r="AL114" s="52">
        <f t="shared" si="99"/>
        <v>135.53815947295786</v>
      </c>
      <c r="AM114" s="58">
        <f t="shared" si="100"/>
        <v>8.4967398308434987</v>
      </c>
      <c r="AN114" s="56">
        <f t="shared" si="101"/>
        <v>6.2688912582871112E-2</v>
      </c>
    </row>
    <row r="115" spans="1:40">
      <c r="A115" s="242" t="str">
        <f>A39</f>
        <v>U35</v>
      </c>
      <c r="B115" s="242" t="str">
        <f>B103</f>
        <v>LO</v>
      </c>
      <c r="C115" s="242"/>
      <c r="D115" s="46" t="str">
        <f>D103</f>
        <v>seg0</v>
      </c>
      <c r="F115" s="100" t="str">
        <f>IF(AND(F$78,F39&lt;&gt;""),(F42-F40)/$D42/F40,"")</f>
        <v/>
      </c>
      <c r="G115" s="100" t="str">
        <f t="shared" ref="G115:AK115" si="112">IF(AND(G$78,G39&lt;&gt;""),(G42-G40)/$D42/G40,"")</f>
        <v/>
      </c>
      <c r="H115" s="100">
        <f t="shared" si="112"/>
        <v>-1.455350265423461E-3</v>
      </c>
      <c r="I115" s="100">
        <f t="shared" si="112"/>
        <v>-1.4844051906186633E-3</v>
      </c>
      <c r="J115" s="100" t="str">
        <f t="shared" si="112"/>
        <v/>
      </c>
      <c r="K115" s="100">
        <f t="shared" si="112"/>
        <v>-1.5081240309992763E-3</v>
      </c>
      <c r="L115" s="100">
        <f t="shared" si="112"/>
        <v>-1.236618322579321E-3</v>
      </c>
      <c r="M115" s="100" t="str">
        <f t="shared" si="112"/>
        <v/>
      </c>
      <c r="N115" s="100">
        <f t="shared" si="112"/>
        <v>-1.5212475953668948E-3</v>
      </c>
      <c r="O115" s="100">
        <f t="shared" si="112"/>
        <v>-1.497847346152418E-3</v>
      </c>
      <c r="P115" s="100">
        <f t="shared" si="112"/>
        <v>-1.5480237898599773E-3</v>
      </c>
      <c r="Q115" s="100">
        <f t="shared" si="112"/>
        <v>-1.4697225427967387E-3</v>
      </c>
      <c r="R115" s="100">
        <f t="shared" si="112"/>
        <v>-1.5691096759819685E-3</v>
      </c>
      <c r="S115" s="100">
        <f t="shared" si="112"/>
        <v>-1.6127664604955003E-3</v>
      </c>
      <c r="T115" s="100">
        <f t="shared" si="112"/>
        <v>-1.474075267083808E-3</v>
      </c>
      <c r="U115" s="100">
        <f t="shared" si="112"/>
        <v>-1.3792103682120601E-3</v>
      </c>
      <c r="V115" s="100">
        <f t="shared" si="112"/>
        <v>-1.456760483489713E-3</v>
      </c>
      <c r="W115" s="100">
        <f t="shared" si="112"/>
        <v>-1.388460536853695E-3</v>
      </c>
      <c r="X115" s="100">
        <f t="shared" si="112"/>
        <v>-1.388460536853695E-3</v>
      </c>
      <c r="Y115" s="100">
        <f t="shared" si="112"/>
        <v>-1.5030643977860876E-3</v>
      </c>
      <c r="Z115" s="100">
        <f t="shared" si="112"/>
        <v>-1.4921938002139001E-3</v>
      </c>
      <c r="AA115" s="100">
        <f t="shared" si="112"/>
        <v>-1.5266539290272349E-3</v>
      </c>
      <c r="AB115" s="100">
        <f t="shared" si="112"/>
        <v>-1.4915481302402306E-3</v>
      </c>
      <c r="AC115" s="100">
        <f t="shared" si="112"/>
        <v>-1.4524322881820698E-3</v>
      </c>
      <c r="AD115" s="100">
        <f t="shared" si="112"/>
        <v>-1.1389528383431572E-3</v>
      </c>
      <c r="AE115" s="100">
        <f t="shared" si="112"/>
        <v>-1.5963717438742583E-3</v>
      </c>
      <c r="AF115" s="100" t="str">
        <f t="shared" si="112"/>
        <v/>
      </c>
      <c r="AG115" s="100">
        <f t="shared" si="112"/>
        <v>-1.480864052687089E-3</v>
      </c>
      <c r="AH115" s="100">
        <f t="shared" si="112"/>
        <v>-1.592609617533801E-3</v>
      </c>
      <c r="AI115" s="100">
        <f t="shared" si="112"/>
        <v>-1.5252576343357733E-3</v>
      </c>
      <c r="AJ115" s="100">
        <f t="shared" si="112"/>
        <v>-1.4744431969512626E-3</v>
      </c>
      <c r="AK115" s="100">
        <f t="shared" si="112"/>
        <v>-1.5061987626761729E-3</v>
      </c>
      <c r="AL115" s="103">
        <f t="shared" si="99"/>
        <v>-1.4729915853562304E-3</v>
      </c>
      <c r="AM115" s="103">
        <f t="shared" si="100"/>
        <v>1.0156328849335788E-4</v>
      </c>
      <c r="AN115" s="56">
        <f>ABS(AM115/AL115)</f>
        <v>6.895035212899446E-2</v>
      </c>
    </row>
    <row r="116" spans="1:40">
      <c r="A116" s="242"/>
      <c r="B116" s="242"/>
      <c r="C116" s="242"/>
      <c r="D116" s="46" t="str">
        <f t="shared" si="82"/>
        <v>seg1</v>
      </c>
      <c r="F116" s="100" t="str">
        <f t="shared" ref="F116:AK116" si="113">IF(AND(F$78,F39&lt;&gt;"",comp38&gt;63),(F44-F43)/($D44-$D43)/F40,"")</f>
        <v/>
      </c>
      <c r="G116" s="100" t="str">
        <f t="shared" si="113"/>
        <v/>
      </c>
      <c r="H116" s="100" t="str">
        <f t="shared" si="113"/>
        <v/>
      </c>
      <c r="I116" s="100" t="str">
        <f t="shared" si="113"/>
        <v/>
      </c>
      <c r="J116" s="100" t="str">
        <f t="shared" si="113"/>
        <v/>
      </c>
      <c r="K116" s="100" t="str">
        <f t="shared" si="113"/>
        <v/>
      </c>
      <c r="L116" s="100" t="str">
        <f t="shared" si="113"/>
        <v/>
      </c>
      <c r="M116" s="100" t="str">
        <f t="shared" si="113"/>
        <v/>
      </c>
      <c r="N116" s="100" t="str">
        <f t="shared" si="113"/>
        <v/>
      </c>
      <c r="O116" s="100" t="str">
        <f t="shared" si="113"/>
        <v/>
      </c>
      <c r="P116" s="100" t="str">
        <f t="shared" si="113"/>
        <v/>
      </c>
      <c r="Q116" s="100" t="str">
        <f t="shared" si="113"/>
        <v/>
      </c>
      <c r="R116" s="100" t="str">
        <f t="shared" si="113"/>
        <v/>
      </c>
      <c r="S116" s="100" t="str">
        <f t="shared" si="113"/>
        <v/>
      </c>
      <c r="T116" s="100" t="str">
        <f t="shared" si="113"/>
        <v/>
      </c>
      <c r="U116" s="100" t="str">
        <f t="shared" si="113"/>
        <v/>
      </c>
      <c r="V116" s="100" t="str">
        <f t="shared" si="113"/>
        <v/>
      </c>
      <c r="W116" s="100" t="str">
        <f t="shared" si="113"/>
        <v/>
      </c>
      <c r="X116" s="100" t="str">
        <f t="shared" si="113"/>
        <v/>
      </c>
      <c r="Y116" s="100" t="str">
        <f t="shared" si="113"/>
        <v/>
      </c>
      <c r="Z116" s="100" t="str">
        <f t="shared" si="113"/>
        <v/>
      </c>
      <c r="AA116" s="100" t="str">
        <f t="shared" si="113"/>
        <v/>
      </c>
      <c r="AB116" s="100" t="str">
        <f t="shared" si="113"/>
        <v/>
      </c>
      <c r="AC116" s="100" t="str">
        <f t="shared" si="113"/>
        <v/>
      </c>
      <c r="AD116" s="100" t="str">
        <f t="shared" si="113"/>
        <v/>
      </c>
      <c r="AE116" s="100" t="str">
        <f t="shared" si="113"/>
        <v/>
      </c>
      <c r="AF116" s="100" t="str">
        <f t="shared" si="113"/>
        <v/>
      </c>
      <c r="AG116" s="100" t="str">
        <f t="shared" si="113"/>
        <v/>
      </c>
      <c r="AH116" s="100" t="str">
        <f t="shared" si="113"/>
        <v/>
      </c>
      <c r="AI116" s="100" t="str">
        <f t="shared" si="113"/>
        <v/>
      </c>
      <c r="AJ116" s="100" t="str">
        <f t="shared" si="113"/>
        <v/>
      </c>
      <c r="AK116" s="100" t="str">
        <f t="shared" si="113"/>
        <v/>
      </c>
      <c r="AL116" s="103" t="e">
        <f t="shared" ref="AL116:AL126" si="114">AVERAGE(F116:AK116)</f>
        <v>#DIV/0!</v>
      </c>
      <c r="AM116" s="103" t="e">
        <f t="shared" ref="AM116:AM126" si="115">STDEV(F116:AK116)</f>
        <v>#DIV/0!</v>
      </c>
      <c r="AN116" s="56" t="e">
        <f t="shared" ref="AN116:AN126" si="116">ABS(AM116/AL116)</f>
        <v>#DIV/0!</v>
      </c>
    </row>
    <row r="117" spans="1:40">
      <c r="A117" s="242"/>
      <c r="B117" s="242"/>
      <c r="C117" s="242"/>
      <c r="D117" s="46" t="str">
        <f t="shared" si="82"/>
        <v>off</v>
      </c>
      <c r="F117" s="135" t="str">
        <f>IF(AND(F$78,F39&lt;&gt;""),(F43-F40)/F40,"")</f>
        <v/>
      </c>
      <c r="G117" s="154" t="str">
        <f t="shared" ref="G117:AK117" si="117">IF(AND(G$78,G39&lt;&gt;""),(G43-G40)/G40,"")</f>
        <v/>
      </c>
      <c r="H117" s="154">
        <f t="shared" si="117"/>
        <v>-0.20293399143248625</v>
      </c>
      <c r="I117" s="154">
        <f t="shared" si="117"/>
        <v>-0.20403824879748556</v>
      </c>
      <c r="J117" s="154" t="str">
        <f t="shared" si="117"/>
        <v/>
      </c>
      <c r="K117" s="154">
        <f t="shared" si="117"/>
        <v>-0.20546316891052926</v>
      </c>
      <c r="L117" s="154">
        <f t="shared" si="117"/>
        <v>-0.1918604048368644</v>
      </c>
      <c r="M117" s="154" t="str">
        <f t="shared" si="117"/>
        <v/>
      </c>
      <c r="N117" s="154">
        <f t="shared" si="117"/>
        <v>-0.2068095851839164</v>
      </c>
      <c r="O117" s="154">
        <f t="shared" si="117"/>
        <v>-0.20314548488773654</v>
      </c>
      <c r="P117" s="154">
        <f t="shared" si="117"/>
        <v>-0.21979625250754295</v>
      </c>
      <c r="Q117" s="154">
        <f t="shared" si="117"/>
        <v>-0.20864193631619601</v>
      </c>
      <c r="R117" s="154">
        <f t="shared" si="117"/>
        <v>-0.21060172432895008</v>
      </c>
      <c r="S117" s="154">
        <f t="shared" si="117"/>
        <v>-0.20320857402243303</v>
      </c>
      <c r="T117" s="154">
        <f t="shared" si="117"/>
        <v>-0.20861374254497689</v>
      </c>
      <c r="U117" s="154">
        <f t="shared" si="117"/>
        <v>-0.19817069607678744</v>
      </c>
      <c r="V117" s="154">
        <f t="shared" si="117"/>
        <v>-0.20143032178490713</v>
      </c>
      <c r="W117" s="154">
        <f t="shared" si="117"/>
        <v>-0.1965443293254153</v>
      </c>
      <c r="X117" s="154">
        <f t="shared" si="117"/>
        <v>-0.1933045480765683</v>
      </c>
      <c r="Y117" s="154">
        <f t="shared" si="117"/>
        <v>-0.20291365653802024</v>
      </c>
      <c r="Z117" s="154">
        <f t="shared" si="117"/>
        <v>-0.20557847904693602</v>
      </c>
      <c r="AA117" s="154">
        <f t="shared" si="117"/>
        <v>-0.20685114708943286</v>
      </c>
      <c r="AB117" s="154">
        <f t="shared" si="117"/>
        <v>-0.20301623389743273</v>
      </c>
      <c r="AC117" s="154">
        <f t="shared" si="117"/>
        <v>-0.19607843671229414</v>
      </c>
      <c r="AD117" s="154">
        <f t="shared" si="117"/>
        <v>-0.19362185145044766</v>
      </c>
      <c r="AE117" s="154">
        <f t="shared" si="117"/>
        <v>-0.21714283401395787</v>
      </c>
      <c r="AF117" s="154" t="str">
        <f t="shared" si="117"/>
        <v/>
      </c>
      <c r="AG117" s="154">
        <f t="shared" si="117"/>
        <v>-0.19970844710761515</v>
      </c>
      <c r="AH117" s="154">
        <f t="shared" si="117"/>
        <v>-0.22296543419442513</v>
      </c>
      <c r="AI117" s="154">
        <f t="shared" si="117"/>
        <v>-0.21172640890051556</v>
      </c>
      <c r="AJ117" s="154">
        <f t="shared" si="117"/>
        <v>-0.17889911851500742</v>
      </c>
      <c r="AK117" s="154">
        <f t="shared" si="117"/>
        <v>-0.21313871667774414</v>
      </c>
      <c r="AL117" s="103">
        <f t="shared" si="114"/>
        <v>-0.20393347308061571</v>
      </c>
      <c r="AM117" s="103">
        <f t="shared" si="115"/>
        <v>9.2270803205418625E-3</v>
      </c>
      <c r="AN117" s="56">
        <f t="shared" si="116"/>
        <v>4.5245541014712974E-2</v>
      </c>
    </row>
    <row r="118" spans="1:40">
      <c r="A118" s="242"/>
      <c r="B118" s="242"/>
      <c r="C118" s="242"/>
      <c r="D118" s="46" t="str">
        <f t="shared" si="82"/>
        <v>ΔIR</v>
      </c>
      <c r="F118" s="100" t="str">
        <f>IF(AND(F$78,F39&lt;&gt;""),AVERAGE(F115:F116),"")</f>
        <v/>
      </c>
      <c r="G118" s="100" t="str">
        <f t="shared" ref="G118:AK118" si="118">IF(AND(G$78,G39&lt;&gt;""),AVERAGE(G115:G116),"")</f>
        <v/>
      </c>
      <c r="H118" s="100">
        <f t="shared" si="118"/>
        <v>-1.455350265423461E-3</v>
      </c>
      <c r="I118" s="100">
        <f t="shared" si="118"/>
        <v>-1.4844051906186633E-3</v>
      </c>
      <c r="J118" s="100" t="str">
        <f t="shared" si="118"/>
        <v/>
      </c>
      <c r="K118" s="100">
        <f t="shared" si="118"/>
        <v>-1.5081240309992763E-3</v>
      </c>
      <c r="L118" s="100">
        <f t="shared" si="118"/>
        <v>-1.236618322579321E-3</v>
      </c>
      <c r="M118" s="100" t="str">
        <f t="shared" si="118"/>
        <v/>
      </c>
      <c r="N118" s="100">
        <f t="shared" si="118"/>
        <v>-1.5212475953668948E-3</v>
      </c>
      <c r="O118" s="100">
        <f t="shared" si="118"/>
        <v>-1.497847346152418E-3</v>
      </c>
      <c r="P118" s="100">
        <f t="shared" si="118"/>
        <v>-1.5480237898599773E-3</v>
      </c>
      <c r="Q118" s="100">
        <f t="shared" si="118"/>
        <v>-1.4697225427967387E-3</v>
      </c>
      <c r="R118" s="100">
        <f t="shared" si="118"/>
        <v>-1.5691096759819685E-3</v>
      </c>
      <c r="S118" s="100">
        <f t="shared" si="118"/>
        <v>-1.6127664604955003E-3</v>
      </c>
      <c r="T118" s="100">
        <f t="shared" si="118"/>
        <v>-1.474075267083808E-3</v>
      </c>
      <c r="U118" s="100">
        <f t="shared" si="118"/>
        <v>-1.3792103682120601E-3</v>
      </c>
      <c r="V118" s="100">
        <f t="shared" si="118"/>
        <v>-1.456760483489713E-3</v>
      </c>
      <c r="W118" s="100">
        <f t="shared" si="118"/>
        <v>-1.388460536853695E-3</v>
      </c>
      <c r="X118" s="100">
        <f t="shared" si="118"/>
        <v>-1.388460536853695E-3</v>
      </c>
      <c r="Y118" s="100">
        <f t="shared" si="118"/>
        <v>-1.5030643977860876E-3</v>
      </c>
      <c r="Z118" s="100">
        <f t="shared" si="118"/>
        <v>-1.4921938002139001E-3</v>
      </c>
      <c r="AA118" s="100">
        <f t="shared" si="118"/>
        <v>-1.5266539290272349E-3</v>
      </c>
      <c r="AB118" s="100">
        <f t="shared" si="118"/>
        <v>-1.4915481302402306E-3</v>
      </c>
      <c r="AC118" s="100">
        <f t="shared" si="118"/>
        <v>-1.4524322881820698E-3</v>
      </c>
      <c r="AD118" s="100">
        <f t="shared" si="118"/>
        <v>-1.1389528383431572E-3</v>
      </c>
      <c r="AE118" s="100">
        <f t="shared" si="118"/>
        <v>-1.5963717438742583E-3</v>
      </c>
      <c r="AF118" s="100" t="str">
        <f t="shared" si="118"/>
        <v/>
      </c>
      <c r="AG118" s="100">
        <f t="shared" si="118"/>
        <v>-1.480864052687089E-3</v>
      </c>
      <c r="AH118" s="100">
        <f t="shared" si="118"/>
        <v>-1.592609617533801E-3</v>
      </c>
      <c r="AI118" s="100">
        <f t="shared" si="118"/>
        <v>-1.5252576343357733E-3</v>
      </c>
      <c r="AJ118" s="100">
        <f t="shared" si="118"/>
        <v>-1.4744431969512626E-3</v>
      </c>
      <c r="AK118" s="100">
        <f t="shared" si="118"/>
        <v>-1.5061987626761729E-3</v>
      </c>
      <c r="AL118" s="103">
        <f t="shared" si="114"/>
        <v>-1.4729915853562304E-3</v>
      </c>
      <c r="AM118" s="103">
        <f t="shared" si="115"/>
        <v>1.0156328849335788E-4</v>
      </c>
      <c r="AN118" s="56">
        <f t="shared" si="116"/>
        <v>6.895035212899446E-2</v>
      </c>
    </row>
    <row r="119" spans="1:40">
      <c r="A119" s="242"/>
      <c r="B119" s="242"/>
      <c r="C119" s="242"/>
      <c r="D119" s="46" t="str">
        <f t="shared" si="82"/>
        <v>code</v>
      </c>
      <c r="F119" s="112" t="str">
        <f>IF(AND(F$78,F39&lt;&gt;""),F117/F118,"")</f>
        <v/>
      </c>
      <c r="G119" s="112" t="str">
        <f t="shared" ref="G119:AK119" si="119">IF(AND(G$78,G39&lt;&gt;""),G117/G118,"")</f>
        <v/>
      </c>
      <c r="H119" s="112">
        <f t="shared" si="119"/>
        <v>139.43996593386325</v>
      </c>
      <c r="I119" s="112">
        <f t="shared" si="119"/>
        <v>137.45455087801699</v>
      </c>
      <c r="J119" s="112" t="str">
        <f t="shared" si="119"/>
        <v/>
      </c>
      <c r="K119" s="112">
        <f t="shared" si="119"/>
        <v>136.23758038945263</v>
      </c>
      <c r="L119" s="112">
        <f t="shared" si="119"/>
        <v>155.1492496380651</v>
      </c>
      <c r="M119" s="112" t="str">
        <f t="shared" si="119"/>
        <v/>
      </c>
      <c r="N119" s="112">
        <f t="shared" si="119"/>
        <v>135.94735387833958</v>
      </c>
      <c r="O119" s="112">
        <f t="shared" si="119"/>
        <v>135.62495898501587</v>
      </c>
      <c r="P119" s="112">
        <f t="shared" si="119"/>
        <v>141.98506117753143</v>
      </c>
      <c r="Q119" s="112">
        <f t="shared" si="119"/>
        <v>141.96008446544661</v>
      </c>
      <c r="R119" s="112">
        <f t="shared" si="119"/>
        <v>134.2173383751221</v>
      </c>
      <c r="S119" s="112">
        <f t="shared" si="119"/>
        <v>126</v>
      </c>
      <c r="T119" s="112">
        <f t="shared" si="119"/>
        <v>141.52177110852796</v>
      </c>
      <c r="U119" s="112">
        <f t="shared" si="119"/>
        <v>143.68416932196217</v>
      </c>
      <c r="V119" s="112">
        <f t="shared" si="119"/>
        <v>138.27277995787944</v>
      </c>
      <c r="W119" s="112">
        <f t="shared" si="119"/>
        <v>141.55557475964878</v>
      </c>
      <c r="X119" s="112">
        <f t="shared" si="119"/>
        <v>139.22221262017561</v>
      </c>
      <c r="Y119" s="112">
        <f t="shared" si="119"/>
        <v>134.99997527511022</v>
      </c>
      <c r="Z119" s="112">
        <f t="shared" si="119"/>
        <v>137.76928909466528</v>
      </c>
      <c r="AA119" s="112">
        <f t="shared" si="119"/>
        <v>135.49314822203081</v>
      </c>
      <c r="AB119" s="112">
        <f t="shared" si="119"/>
        <v>136.11108470548294</v>
      </c>
      <c r="AC119" s="112">
        <f t="shared" si="119"/>
        <v>135.00005357063137</v>
      </c>
      <c r="AD119" s="112">
        <f t="shared" si="119"/>
        <v>169.99988492246155</v>
      </c>
      <c r="AE119" s="112">
        <f t="shared" si="119"/>
        <v>136.02272456099149</v>
      </c>
      <c r="AF119" s="112" t="str">
        <f t="shared" si="119"/>
        <v/>
      </c>
      <c r="AG119" s="112">
        <f t="shared" si="119"/>
        <v>134.85940640211768</v>
      </c>
      <c r="AH119" s="112">
        <f t="shared" si="119"/>
        <v>140.00005509177643</v>
      </c>
      <c r="AI119" s="112">
        <f t="shared" si="119"/>
        <v>138.81353820773973</v>
      </c>
      <c r="AJ119" s="112">
        <f t="shared" si="119"/>
        <v>121.3333405348683</v>
      </c>
      <c r="AK119" s="112">
        <f t="shared" si="119"/>
        <v>141.5076960354456</v>
      </c>
      <c r="AL119" s="52">
        <f t="shared" si="114"/>
        <v>138.89566104119885</v>
      </c>
      <c r="AM119" s="58">
        <f t="shared" si="115"/>
        <v>8.5417017938598097</v>
      </c>
      <c r="AN119" s="56">
        <f t="shared" si="116"/>
        <v>6.1497254340624745E-2</v>
      </c>
    </row>
    <row r="120" spans="1:40">
      <c r="A120" s="242"/>
      <c r="B120" s="242" t="str">
        <f>B108</f>
        <v>HI</v>
      </c>
      <c r="C120" s="242"/>
      <c r="D120" s="46" t="str">
        <f t="shared" si="82"/>
        <v>seg0</v>
      </c>
      <c r="F120" s="100" t="str">
        <f>IF(AND(F$78,F39&lt;&gt;""),(F48-F46)/$D48/F46,"")</f>
        <v/>
      </c>
      <c r="G120" s="100" t="str">
        <f t="shared" ref="G120:AK120" si="120">IF(AND(G$78,G39&lt;&gt;""),(G48-G46)/$D48/G46,"")</f>
        <v/>
      </c>
      <c r="H120" s="100">
        <f t="shared" si="120"/>
        <v>-1.443001443001443E-3</v>
      </c>
      <c r="I120" s="100">
        <f t="shared" si="120"/>
        <v>-1.716001716001716E-3</v>
      </c>
      <c r="J120" s="100" t="str">
        <f t="shared" si="120"/>
        <v/>
      </c>
      <c r="K120" s="100">
        <f t="shared" si="120"/>
        <v>-1.443001443001443E-3</v>
      </c>
      <c r="L120" s="100">
        <f t="shared" si="120"/>
        <v>-1.4005602240896359E-3</v>
      </c>
      <c r="M120" s="100" t="str">
        <f t="shared" si="120"/>
        <v/>
      </c>
      <c r="N120" s="100">
        <f t="shared" si="120"/>
        <v>-1.443001443001443E-3</v>
      </c>
      <c r="O120" s="100">
        <f t="shared" si="120"/>
        <v>-1.488095238095238E-3</v>
      </c>
      <c r="P120" s="100">
        <f t="shared" si="120"/>
        <v>-1.1337868480725624E-3</v>
      </c>
      <c r="Q120" s="100">
        <f t="shared" si="120"/>
        <v>-1.5873015873015873E-3</v>
      </c>
      <c r="R120" s="100">
        <f t="shared" si="120"/>
        <v>-1.7636684303350969E-3</v>
      </c>
      <c r="S120" s="100">
        <f t="shared" si="120"/>
        <v>-1.5873015873015873E-3</v>
      </c>
      <c r="T120" s="100">
        <f t="shared" si="120"/>
        <v>-1.0946907498631637E-3</v>
      </c>
      <c r="U120" s="100">
        <f t="shared" si="120"/>
        <v>-1.2698412698412698E-3</v>
      </c>
      <c r="V120" s="100">
        <f t="shared" si="120"/>
        <v>-1.488095238095238E-3</v>
      </c>
      <c r="W120" s="100">
        <f t="shared" si="120"/>
        <v>-1.287001287001287E-3</v>
      </c>
      <c r="X120" s="100">
        <f t="shared" si="120"/>
        <v>-1.443001443001443E-3</v>
      </c>
      <c r="Y120" s="100">
        <f t="shared" si="120"/>
        <v>-1.5117157974300832E-3</v>
      </c>
      <c r="Z120" s="100">
        <f t="shared" si="120"/>
        <v>-1.3227513227513227E-3</v>
      </c>
      <c r="AA120" s="100">
        <f t="shared" si="120"/>
        <v>-1.0946907498631637E-3</v>
      </c>
      <c r="AB120" s="100">
        <f t="shared" si="120"/>
        <v>-1.4005602240896359E-3</v>
      </c>
      <c r="AC120" s="100">
        <f t="shared" si="120"/>
        <v>-1.3605442176870747E-3</v>
      </c>
      <c r="AD120" s="100">
        <f t="shared" si="120"/>
        <v>-1.3605442176870747E-3</v>
      </c>
      <c r="AE120" s="100">
        <f t="shared" si="120"/>
        <v>-1.716001716001716E-3</v>
      </c>
      <c r="AF120" s="100" t="str">
        <f t="shared" si="120"/>
        <v/>
      </c>
      <c r="AG120" s="100">
        <f t="shared" si="120"/>
        <v>-1.7636684303350969E-3</v>
      </c>
      <c r="AH120" s="100">
        <f t="shared" si="120"/>
        <v>-1.716001716001716E-3</v>
      </c>
      <c r="AI120" s="100">
        <f t="shared" si="120"/>
        <v>-1.984126984126984E-3</v>
      </c>
      <c r="AJ120" s="100">
        <f t="shared" si="120"/>
        <v>-1.8140589569160999E-3</v>
      </c>
      <c r="AK120" s="100">
        <f t="shared" si="120"/>
        <v>-1.1757789535567313E-3</v>
      </c>
      <c r="AL120" s="103">
        <f t="shared" si="114"/>
        <v>-1.4743997494241058E-3</v>
      </c>
      <c r="AM120" s="103">
        <f t="shared" si="115"/>
        <v>2.3031766348528642E-4</v>
      </c>
      <c r="AN120" s="56">
        <f t="shared" si="116"/>
        <v>0.1562111385160283</v>
      </c>
    </row>
    <row r="121" spans="1:40">
      <c r="A121" s="242"/>
      <c r="B121" s="242"/>
      <c r="C121" s="242"/>
      <c r="D121" s="46" t="str">
        <f t="shared" si="82"/>
        <v>seg1</v>
      </c>
      <c r="F121" s="100" t="str">
        <f t="shared" ref="F121:AK121" si="121">IF(AND(F$78,F39&lt;&gt;"",comp38&gt;63),(F50-F49)/($D50-$D49)/F46,"")</f>
        <v/>
      </c>
      <c r="G121" s="100" t="str">
        <f t="shared" si="121"/>
        <v/>
      </c>
      <c r="H121" s="100" t="str">
        <f t="shared" si="121"/>
        <v/>
      </c>
      <c r="I121" s="100" t="str">
        <f t="shared" si="121"/>
        <v/>
      </c>
      <c r="J121" s="100" t="str">
        <f t="shared" si="121"/>
        <v/>
      </c>
      <c r="K121" s="100" t="str">
        <f t="shared" si="121"/>
        <v/>
      </c>
      <c r="L121" s="100" t="str">
        <f t="shared" si="121"/>
        <v/>
      </c>
      <c r="M121" s="100" t="str">
        <f t="shared" si="121"/>
        <v/>
      </c>
      <c r="N121" s="100" t="str">
        <f t="shared" si="121"/>
        <v/>
      </c>
      <c r="O121" s="100" t="str">
        <f t="shared" si="121"/>
        <v/>
      </c>
      <c r="P121" s="100" t="str">
        <f t="shared" si="121"/>
        <v/>
      </c>
      <c r="Q121" s="100" t="str">
        <f t="shared" si="121"/>
        <v/>
      </c>
      <c r="R121" s="100" t="str">
        <f t="shared" si="121"/>
        <v/>
      </c>
      <c r="S121" s="100" t="str">
        <f t="shared" si="121"/>
        <v/>
      </c>
      <c r="T121" s="100" t="str">
        <f t="shared" si="121"/>
        <v/>
      </c>
      <c r="U121" s="100" t="str">
        <f t="shared" si="121"/>
        <v/>
      </c>
      <c r="V121" s="100" t="str">
        <f t="shared" si="121"/>
        <v/>
      </c>
      <c r="W121" s="100" t="str">
        <f t="shared" si="121"/>
        <v/>
      </c>
      <c r="X121" s="100" t="str">
        <f t="shared" si="121"/>
        <v/>
      </c>
      <c r="Y121" s="100" t="str">
        <f t="shared" si="121"/>
        <v/>
      </c>
      <c r="Z121" s="100" t="str">
        <f t="shared" si="121"/>
        <v/>
      </c>
      <c r="AA121" s="100" t="str">
        <f t="shared" si="121"/>
        <v/>
      </c>
      <c r="AB121" s="100" t="str">
        <f t="shared" si="121"/>
        <v/>
      </c>
      <c r="AC121" s="100" t="str">
        <f t="shared" si="121"/>
        <v/>
      </c>
      <c r="AD121" s="100" t="str">
        <f t="shared" si="121"/>
        <v/>
      </c>
      <c r="AE121" s="100" t="str">
        <f t="shared" si="121"/>
        <v/>
      </c>
      <c r="AF121" s="100" t="str">
        <f t="shared" si="121"/>
        <v/>
      </c>
      <c r="AG121" s="100" t="str">
        <f t="shared" si="121"/>
        <v/>
      </c>
      <c r="AH121" s="100" t="str">
        <f t="shared" si="121"/>
        <v/>
      </c>
      <c r="AI121" s="100" t="str">
        <f t="shared" si="121"/>
        <v/>
      </c>
      <c r="AJ121" s="100" t="str">
        <f t="shared" si="121"/>
        <v/>
      </c>
      <c r="AK121" s="100" t="str">
        <f t="shared" si="121"/>
        <v/>
      </c>
      <c r="AL121" s="103" t="e">
        <f t="shared" si="114"/>
        <v>#DIV/0!</v>
      </c>
      <c r="AM121" s="103" t="e">
        <f t="shared" si="115"/>
        <v>#DIV/0!</v>
      </c>
      <c r="AN121" s="56" t="e">
        <f t="shared" si="116"/>
        <v>#DIV/0!</v>
      </c>
    </row>
    <row r="122" spans="1:40">
      <c r="A122" s="242"/>
      <c r="B122" s="242"/>
      <c r="C122" s="242"/>
      <c r="D122" s="46" t="str">
        <f t="shared" si="82"/>
        <v>off</v>
      </c>
      <c r="F122" s="135" t="str">
        <f>IF(AND(F$78,F39&lt;&gt;""),(F49-F46)/F46,"")</f>
        <v/>
      </c>
      <c r="G122" s="154" t="str">
        <f t="shared" ref="G122:AK122" si="122">IF(AND(G$78,G39&lt;&gt;""),(G49-G46)/G46,"")</f>
        <v/>
      </c>
      <c r="H122" s="154">
        <f t="shared" si="122"/>
        <v>-0.21212121212121213</v>
      </c>
      <c r="I122" s="154">
        <f t="shared" si="122"/>
        <v>-0.21621621621621623</v>
      </c>
      <c r="J122" s="154" t="str">
        <f t="shared" si="122"/>
        <v/>
      </c>
      <c r="K122" s="154">
        <f t="shared" si="122"/>
        <v>-0.21212121212121213</v>
      </c>
      <c r="L122" s="154">
        <f t="shared" si="122"/>
        <v>-0.20588235294117646</v>
      </c>
      <c r="M122" s="154" t="str">
        <f t="shared" si="122"/>
        <v/>
      </c>
      <c r="N122" s="154">
        <f t="shared" si="122"/>
        <v>-0.21212121212121213</v>
      </c>
      <c r="O122" s="154">
        <f t="shared" si="122"/>
        <v>-0.21875</v>
      </c>
      <c r="P122" s="154">
        <f t="shared" si="122"/>
        <v>-0.21428571428571427</v>
      </c>
      <c r="Q122" s="154">
        <f t="shared" si="122"/>
        <v>-0.2</v>
      </c>
      <c r="R122" s="154">
        <f t="shared" si="122"/>
        <v>-0.22222222222222221</v>
      </c>
      <c r="S122" s="154">
        <f t="shared" si="122"/>
        <v>-0.2</v>
      </c>
      <c r="T122" s="154">
        <f t="shared" si="122"/>
        <v>-0.20689655172413793</v>
      </c>
      <c r="U122" s="154">
        <f t="shared" si="122"/>
        <v>-0.2</v>
      </c>
      <c r="V122" s="154">
        <f t="shared" si="122"/>
        <v>-0.1875</v>
      </c>
      <c r="W122" s="154">
        <f t="shared" si="122"/>
        <v>-0.1891891891891892</v>
      </c>
      <c r="X122" s="154">
        <f t="shared" si="122"/>
        <v>-0.18181818181818182</v>
      </c>
      <c r="Y122" s="154">
        <f t="shared" si="122"/>
        <v>-0.21428571428571427</v>
      </c>
      <c r="Z122" s="154">
        <f t="shared" si="122"/>
        <v>-0.19444444444444445</v>
      </c>
      <c r="AA122" s="154">
        <f t="shared" si="122"/>
        <v>-0.17241379310344829</v>
      </c>
      <c r="AB122" s="154">
        <f t="shared" si="122"/>
        <v>-0.20588235294117646</v>
      </c>
      <c r="AC122" s="154">
        <f t="shared" si="122"/>
        <v>-0.17142857142857143</v>
      </c>
      <c r="AD122" s="154">
        <f t="shared" si="122"/>
        <v>-0.2</v>
      </c>
      <c r="AE122" s="154">
        <f t="shared" si="122"/>
        <v>-0.21621621621621623</v>
      </c>
      <c r="AF122" s="154" t="str">
        <f t="shared" si="122"/>
        <v/>
      </c>
      <c r="AG122" s="154">
        <f t="shared" si="122"/>
        <v>-0.18518518518518517</v>
      </c>
      <c r="AH122" s="154">
        <f t="shared" si="122"/>
        <v>-0.21621621621621623</v>
      </c>
      <c r="AI122" s="154">
        <f t="shared" si="122"/>
        <v>-0.20833333333333334</v>
      </c>
      <c r="AJ122" s="154">
        <f t="shared" si="122"/>
        <v>-0.2</v>
      </c>
      <c r="AK122" s="154">
        <f t="shared" si="122"/>
        <v>-0.18518518518518517</v>
      </c>
      <c r="AL122" s="103">
        <f t="shared" si="114"/>
        <v>-0.20180426211481353</v>
      </c>
      <c r="AM122" s="103">
        <f t="shared" si="115"/>
        <v>1.4186107360293148E-2</v>
      </c>
      <c r="AN122" s="56">
        <f t="shared" si="116"/>
        <v>7.0296371402810975E-2</v>
      </c>
    </row>
    <row r="123" spans="1:40">
      <c r="A123" s="242"/>
      <c r="B123" s="242"/>
      <c r="C123" s="242"/>
      <c r="D123" s="46" t="str">
        <f t="shared" si="82"/>
        <v>ΔIR</v>
      </c>
      <c r="F123" s="100" t="str">
        <f>IF(AND(F$78,F39&lt;&gt;""),AVERAGE(F120:F121),"")</f>
        <v/>
      </c>
      <c r="G123" s="100" t="str">
        <f t="shared" ref="G123:AK123" si="123">IF(AND(G$78,G39&lt;&gt;""),AVERAGE(G120:G121),"")</f>
        <v/>
      </c>
      <c r="H123" s="100">
        <f t="shared" si="123"/>
        <v>-1.443001443001443E-3</v>
      </c>
      <c r="I123" s="100">
        <f t="shared" si="123"/>
        <v>-1.716001716001716E-3</v>
      </c>
      <c r="J123" s="100" t="str">
        <f t="shared" si="123"/>
        <v/>
      </c>
      <c r="K123" s="100">
        <f t="shared" si="123"/>
        <v>-1.443001443001443E-3</v>
      </c>
      <c r="L123" s="100">
        <f t="shared" si="123"/>
        <v>-1.4005602240896359E-3</v>
      </c>
      <c r="M123" s="100" t="str">
        <f t="shared" si="123"/>
        <v/>
      </c>
      <c r="N123" s="100">
        <f t="shared" si="123"/>
        <v>-1.443001443001443E-3</v>
      </c>
      <c r="O123" s="100">
        <f t="shared" si="123"/>
        <v>-1.488095238095238E-3</v>
      </c>
      <c r="P123" s="100">
        <f t="shared" si="123"/>
        <v>-1.1337868480725624E-3</v>
      </c>
      <c r="Q123" s="100">
        <f t="shared" si="123"/>
        <v>-1.5873015873015873E-3</v>
      </c>
      <c r="R123" s="100">
        <f t="shared" si="123"/>
        <v>-1.7636684303350969E-3</v>
      </c>
      <c r="S123" s="100">
        <f t="shared" si="123"/>
        <v>-1.5873015873015873E-3</v>
      </c>
      <c r="T123" s="100">
        <f t="shared" si="123"/>
        <v>-1.0946907498631637E-3</v>
      </c>
      <c r="U123" s="100">
        <f t="shared" si="123"/>
        <v>-1.2698412698412698E-3</v>
      </c>
      <c r="V123" s="100">
        <f t="shared" si="123"/>
        <v>-1.488095238095238E-3</v>
      </c>
      <c r="W123" s="100">
        <f t="shared" si="123"/>
        <v>-1.287001287001287E-3</v>
      </c>
      <c r="X123" s="100">
        <f t="shared" si="123"/>
        <v>-1.443001443001443E-3</v>
      </c>
      <c r="Y123" s="100">
        <f t="shared" si="123"/>
        <v>-1.5117157974300832E-3</v>
      </c>
      <c r="Z123" s="100">
        <f t="shared" si="123"/>
        <v>-1.3227513227513227E-3</v>
      </c>
      <c r="AA123" s="100">
        <f t="shared" si="123"/>
        <v>-1.0946907498631637E-3</v>
      </c>
      <c r="AB123" s="100">
        <f t="shared" si="123"/>
        <v>-1.4005602240896359E-3</v>
      </c>
      <c r="AC123" s="100">
        <f t="shared" si="123"/>
        <v>-1.3605442176870747E-3</v>
      </c>
      <c r="AD123" s="100">
        <f t="shared" si="123"/>
        <v>-1.3605442176870747E-3</v>
      </c>
      <c r="AE123" s="100">
        <f t="shared" si="123"/>
        <v>-1.716001716001716E-3</v>
      </c>
      <c r="AF123" s="100" t="str">
        <f t="shared" si="123"/>
        <v/>
      </c>
      <c r="AG123" s="100">
        <f t="shared" si="123"/>
        <v>-1.7636684303350969E-3</v>
      </c>
      <c r="AH123" s="100">
        <f t="shared" si="123"/>
        <v>-1.716001716001716E-3</v>
      </c>
      <c r="AI123" s="100">
        <f t="shared" si="123"/>
        <v>-1.984126984126984E-3</v>
      </c>
      <c r="AJ123" s="100">
        <f t="shared" si="123"/>
        <v>-1.8140589569160999E-3</v>
      </c>
      <c r="AK123" s="100">
        <f t="shared" si="123"/>
        <v>-1.1757789535567313E-3</v>
      </c>
      <c r="AL123" s="103">
        <f t="shared" si="114"/>
        <v>-1.4743997494241058E-3</v>
      </c>
      <c r="AM123" s="103">
        <f t="shared" si="115"/>
        <v>2.3031766348528642E-4</v>
      </c>
      <c r="AN123" s="56">
        <f t="shared" si="116"/>
        <v>0.1562111385160283</v>
      </c>
    </row>
    <row r="124" spans="1:40">
      <c r="A124" s="242"/>
      <c r="B124" s="242"/>
      <c r="C124" s="242"/>
      <c r="D124" s="46" t="str">
        <f t="shared" si="82"/>
        <v>code</v>
      </c>
      <c r="F124" s="112" t="str">
        <f>IF(AND(F$78,F39&lt;&gt;""),F122/F123,"")</f>
        <v/>
      </c>
      <c r="G124" s="112" t="str">
        <f t="shared" ref="G124:AK124" si="124">IF(AND(G$78,G39&lt;&gt;""),G122/G123,"")</f>
        <v/>
      </c>
      <c r="H124" s="112">
        <f t="shared" si="124"/>
        <v>147</v>
      </c>
      <c r="I124" s="112">
        <f t="shared" si="124"/>
        <v>126</v>
      </c>
      <c r="J124" s="112" t="str">
        <f t="shared" si="124"/>
        <v/>
      </c>
      <c r="K124" s="112">
        <f t="shared" si="124"/>
        <v>147</v>
      </c>
      <c r="L124" s="112">
        <f t="shared" si="124"/>
        <v>147</v>
      </c>
      <c r="M124" s="112" t="str">
        <f t="shared" si="124"/>
        <v/>
      </c>
      <c r="N124" s="112">
        <f t="shared" si="124"/>
        <v>147</v>
      </c>
      <c r="O124" s="112">
        <f t="shared" si="124"/>
        <v>147</v>
      </c>
      <c r="P124" s="112">
        <f t="shared" si="124"/>
        <v>188.99999999999997</v>
      </c>
      <c r="Q124" s="112">
        <f t="shared" si="124"/>
        <v>126</v>
      </c>
      <c r="R124" s="112">
        <f t="shared" si="124"/>
        <v>126</v>
      </c>
      <c r="S124" s="112">
        <f t="shared" si="124"/>
        <v>126</v>
      </c>
      <c r="T124" s="112">
        <f t="shared" si="124"/>
        <v>189</v>
      </c>
      <c r="U124" s="112">
        <f t="shared" si="124"/>
        <v>157.5</v>
      </c>
      <c r="V124" s="112">
        <f t="shared" si="124"/>
        <v>126</v>
      </c>
      <c r="W124" s="112">
        <f t="shared" si="124"/>
        <v>147</v>
      </c>
      <c r="X124" s="112">
        <f t="shared" si="124"/>
        <v>126</v>
      </c>
      <c r="Y124" s="112">
        <f t="shared" si="124"/>
        <v>141.75</v>
      </c>
      <c r="Z124" s="112">
        <f t="shared" si="124"/>
        <v>147</v>
      </c>
      <c r="AA124" s="112">
        <f t="shared" si="124"/>
        <v>157.5</v>
      </c>
      <c r="AB124" s="112">
        <f t="shared" si="124"/>
        <v>147</v>
      </c>
      <c r="AC124" s="112">
        <f t="shared" si="124"/>
        <v>126.00000000000001</v>
      </c>
      <c r="AD124" s="112">
        <f t="shared" si="124"/>
        <v>147.00000000000003</v>
      </c>
      <c r="AE124" s="112">
        <f t="shared" si="124"/>
        <v>126</v>
      </c>
      <c r="AF124" s="112" t="str">
        <f t="shared" si="124"/>
        <v/>
      </c>
      <c r="AG124" s="112">
        <f t="shared" si="124"/>
        <v>105</v>
      </c>
      <c r="AH124" s="112">
        <f t="shared" si="124"/>
        <v>126</v>
      </c>
      <c r="AI124" s="112">
        <f t="shared" si="124"/>
        <v>105.00000000000001</v>
      </c>
      <c r="AJ124" s="112">
        <f t="shared" si="124"/>
        <v>110.25</v>
      </c>
      <c r="AK124" s="112">
        <f t="shared" si="124"/>
        <v>157.5</v>
      </c>
      <c r="AL124" s="52">
        <f t="shared" si="114"/>
        <v>139.61111111111111</v>
      </c>
      <c r="AM124" s="58">
        <f t="shared" si="115"/>
        <v>20.810307788603435</v>
      </c>
      <c r="AN124" s="56">
        <f t="shared" si="116"/>
        <v>0.149059108712639</v>
      </c>
    </row>
    <row r="125" spans="1:40">
      <c r="A125" s="242"/>
      <c r="B125" s="242" t="str">
        <f>B113</f>
        <v>Combined</v>
      </c>
      <c r="C125" s="242"/>
      <c r="D125" s="46" t="str">
        <f t="shared" si="82"/>
        <v>ΔIR</v>
      </c>
      <c r="F125" s="100" t="str">
        <f>IF(AND(F$78,F39&lt;&gt;""),(F118+F123)/2,"")</f>
        <v/>
      </c>
      <c r="G125" s="100" t="str">
        <f t="shared" ref="G125:AK125" si="125">IF(AND(G$78,G39&lt;&gt;""),(G118+G123)/2,"")</f>
        <v/>
      </c>
      <c r="H125" s="100">
        <f t="shared" si="125"/>
        <v>-1.4491758542124521E-3</v>
      </c>
      <c r="I125" s="100">
        <f t="shared" si="125"/>
        <v>-1.6002034533101896E-3</v>
      </c>
      <c r="J125" s="100" t="str">
        <f t="shared" si="125"/>
        <v/>
      </c>
      <c r="K125" s="100">
        <f t="shared" si="125"/>
        <v>-1.4755627370003598E-3</v>
      </c>
      <c r="L125" s="100">
        <f t="shared" si="125"/>
        <v>-1.3185892733344785E-3</v>
      </c>
      <c r="M125" s="100" t="str">
        <f t="shared" si="125"/>
        <v/>
      </c>
      <c r="N125" s="100">
        <f t="shared" si="125"/>
        <v>-1.4821245191841688E-3</v>
      </c>
      <c r="O125" s="100">
        <f t="shared" si="125"/>
        <v>-1.492971292123828E-3</v>
      </c>
      <c r="P125" s="100">
        <f t="shared" si="125"/>
        <v>-1.3409053189662699E-3</v>
      </c>
      <c r="Q125" s="100">
        <f t="shared" si="125"/>
        <v>-1.528512065049163E-3</v>
      </c>
      <c r="R125" s="100">
        <f t="shared" si="125"/>
        <v>-1.6663890531585326E-3</v>
      </c>
      <c r="S125" s="100">
        <f t="shared" si="125"/>
        <v>-1.6000340238985439E-3</v>
      </c>
      <c r="T125" s="100">
        <f t="shared" si="125"/>
        <v>-1.2843830084734859E-3</v>
      </c>
      <c r="U125" s="100">
        <f t="shared" si="125"/>
        <v>-1.3245258190266651E-3</v>
      </c>
      <c r="V125" s="100">
        <f t="shared" si="125"/>
        <v>-1.4724278607924756E-3</v>
      </c>
      <c r="W125" s="100">
        <f t="shared" si="125"/>
        <v>-1.3377309119274911E-3</v>
      </c>
      <c r="X125" s="100">
        <f t="shared" si="125"/>
        <v>-1.415730989927569E-3</v>
      </c>
      <c r="Y125" s="100">
        <f t="shared" si="125"/>
        <v>-1.5073900976080854E-3</v>
      </c>
      <c r="Z125" s="100">
        <f t="shared" si="125"/>
        <v>-1.4074725614826114E-3</v>
      </c>
      <c r="AA125" s="100">
        <f t="shared" si="125"/>
        <v>-1.3106723394451993E-3</v>
      </c>
      <c r="AB125" s="100">
        <f t="shared" si="125"/>
        <v>-1.4460541771649333E-3</v>
      </c>
      <c r="AC125" s="100">
        <f t="shared" si="125"/>
        <v>-1.4064882529345722E-3</v>
      </c>
      <c r="AD125" s="100">
        <f t="shared" si="125"/>
        <v>-1.249748528015116E-3</v>
      </c>
      <c r="AE125" s="100">
        <f t="shared" si="125"/>
        <v>-1.6561867299379873E-3</v>
      </c>
      <c r="AF125" s="100" t="str">
        <f t="shared" si="125"/>
        <v/>
      </c>
      <c r="AG125" s="100">
        <f t="shared" si="125"/>
        <v>-1.6222662415110931E-3</v>
      </c>
      <c r="AH125" s="100">
        <f t="shared" si="125"/>
        <v>-1.6543056667677586E-3</v>
      </c>
      <c r="AI125" s="100">
        <f t="shared" si="125"/>
        <v>-1.7546923092313788E-3</v>
      </c>
      <c r="AJ125" s="100">
        <f t="shared" si="125"/>
        <v>-1.6442510769336812E-3</v>
      </c>
      <c r="AK125" s="100">
        <f t="shared" si="125"/>
        <v>-1.340988858116452E-3</v>
      </c>
      <c r="AL125" s="103">
        <f t="shared" si="114"/>
        <v>-1.4736956673901682E-3</v>
      </c>
      <c r="AM125" s="103">
        <f t="shared" si="115"/>
        <v>1.381143291870572E-4</v>
      </c>
      <c r="AN125" s="56">
        <f t="shared" si="116"/>
        <v>9.3719709057467654E-2</v>
      </c>
    </row>
    <row r="126" spans="1:40">
      <c r="A126" s="242"/>
      <c r="B126" s="242"/>
      <c r="C126" s="242"/>
      <c r="D126" s="46" t="str">
        <f t="shared" si="82"/>
        <v>code</v>
      </c>
      <c r="F126" s="112" t="str">
        <f>IF(AND(F$78,F39&lt;&gt;""),(F119+F124)/2,"")</f>
        <v/>
      </c>
      <c r="G126" s="112" t="str">
        <f t="shared" ref="G126:AK126" si="126">IF(AND(G$78,G39&lt;&gt;""),(G119+G124)/2,"")</f>
        <v/>
      </c>
      <c r="H126" s="112">
        <f t="shared" si="126"/>
        <v>143.21998296693164</v>
      </c>
      <c r="I126" s="112">
        <f t="shared" si="126"/>
        <v>131.72727543900851</v>
      </c>
      <c r="J126" s="112" t="str">
        <f t="shared" si="126"/>
        <v/>
      </c>
      <c r="K126" s="112">
        <f t="shared" si="126"/>
        <v>141.61879019472633</v>
      </c>
      <c r="L126" s="112">
        <f t="shared" si="126"/>
        <v>151.07462481903255</v>
      </c>
      <c r="M126" s="112" t="str">
        <f t="shared" si="126"/>
        <v/>
      </c>
      <c r="N126" s="112">
        <f t="shared" si="126"/>
        <v>141.47367693916979</v>
      </c>
      <c r="O126" s="112">
        <f t="shared" si="126"/>
        <v>141.31247949250792</v>
      </c>
      <c r="P126" s="112">
        <f t="shared" si="126"/>
        <v>165.4925305887657</v>
      </c>
      <c r="Q126" s="112">
        <f t="shared" si="126"/>
        <v>133.98004223272329</v>
      </c>
      <c r="R126" s="112">
        <f t="shared" si="126"/>
        <v>130.10866918756105</v>
      </c>
      <c r="S126" s="112">
        <f t="shared" si="126"/>
        <v>126</v>
      </c>
      <c r="T126" s="112">
        <f t="shared" si="126"/>
        <v>165.26088555426398</v>
      </c>
      <c r="U126" s="112">
        <f t="shared" si="126"/>
        <v>150.59208466098107</v>
      </c>
      <c r="V126" s="112">
        <f t="shared" si="126"/>
        <v>132.13638997893972</v>
      </c>
      <c r="W126" s="112">
        <f t="shared" si="126"/>
        <v>144.27778737982439</v>
      </c>
      <c r="X126" s="112">
        <f t="shared" si="126"/>
        <v>132.61110631008779</v>
      </c>
      <c r="Y126" s="112">
        <f t="shared" si="126"/>
        <v>138.37498763755511</v>
      </c>
      <c r="Z126" s="112">
        <f t="shared" si="126"/>
        <v>142.38464454733264</v>
      </c>
      <c r="AA126" s="112">
        <f t="shared" si="126"/>
        <v>146.49657411101541</v>
      </c>
      <c r="AB126" s="112">
        <f t="shared" si="126"/>
        <v>141.55554235274147</v>
      </c>
      <c r="AC126" s="112">
        <f t="shared" si="126"/>
        <v>130.5000267853157</v>
      </c>
      <c r="AD126" s="112">
        <f t="shared" si="126"/>
        <v>158.49994246123077</v>
      </c>
      <c r="AE126" s="112">
        <f t="shared" si="126"/>
        <v>131.01136228049575</v>
      </c>
      <c r="AF126" s="112" t="str">
        <f t="shared" si="126"/>
        <v/>
      </c>
      <c r="AG126" s="112">
        <f t="shared" si="126"/>
        <v>119.92970320105884</v>
      </c>
      <c r="AH126" s="112">
        <f t="shared" si="126"/>
        <v>133.0000275458882</v>
      </c>
      <c r="AI126" s="112">
        <f t="shared" si="126"/>
        <v>121.90676910386986</v>
      </c>
      <c r="AJ126" s="112">
        <f t="shared" si="126"/>
        <v>115.79167026743414</v>
      </c>
      <c r="AK126" s="112">
        <f t="shared" si="126"/>
        <v>149.50384801772282</v>
      </c>
      <c r="AL126" s="52">
        <f t="shared" si="114"/>
        <v>139.25338607615498</v>
      </c>
      <c r="AM126" s="58">
        <f t="shared" si="115"/>
        <v>12.526425080315624</v>
      </c>
      <c r="AN126" s="56">
        <f t="shared" si="116"/>
        <v>8.9954186632597674E-2</v>
      </c>
    </row>
    <row r="127" spans="1:40">
      <c r="A127" s="242" t="str">
        <f>A51</f>
        <v>CWF</v>
      </c>
      <c r="B127" s="242" t="str">
        <f>B115</f>
        <v>LO</v>
      </c>
      <c r="C127" s="242"/>
      <c r="D127" s="46" t="str">
        <f>D115</f>
        <v>seg0</v>
      </c>
      <c r="E127" s="111"/>
      <c r="F127" s="100" t="str">
        <f>IF(AND(F$78,F51&lt;&gt;""),(F54-F52)/$D54/F52,"")</f>
        <v/>
      </c>
      <c r="G127" s="100" t="str">
        <f t="shared" ref="G127:AK127" si="127">IF(AND(G$78,G51&lt;&gt;""),(G54-G52)/$D54/G52,"")</f>
        <v/>
      </c>
      <c r="H127" s="100">
        <f t="shared" si="127"/>
        <v>-1.6862265165495675E-3</v>
      </c>
      <c r="I127" s="100">
        <f t="shared" si="127"/>
        <v>-1.6627020981400482E-3</v>
      </c>
      <c r="J127" s="100" t="str">
        <f t="shared" si="127"/>
        <v/>
      </c>
      <c r="K127" s="100">
        <f t="shared" si="127"/>
        <v>-1.6844836293178069E-3</v>
      </c>
      <c r="L127" s="100">
        <f t="shared" si="127"/>
        <v>-1.6664588833212675E-3</v>
      </c>
      <c r="M127" s="100" t="str">
        <f t="shared" si="127"/>
        <v/>
      </c>
      <c r="N127" s="100">
        <f t="shared" si="127"/>
        <v>-1.7079998567009614E-3</v>
      </c>
      <c r="O127" s="100">
        <f t="shared" si="127"/>
        <v>-1.6683353535568754E-3</v>
      </c>
      <c r="P127" s="100">
        <f t="shared" si="127"/>
        <v>-1.7462928931233706E-3</v>
      </c>
      <c r="Q127" s="100">
        <f t="shared" si="127"/>
        <v>-1.6613896894359392E-3</v>
      </c>
      <c r="R127" s="100">
        <f t="shared" si="127"/>
        <v>-1.6858597550177417E-3</v>
      </c>
      <c r="S127" s="100">
        <f t="shared" si="127"/>
        <v>-1.6746766731476446E-3</v>
      </c>
      <c r="T127" s="100">
        <f t="shared" si="127"/>
        <v>-1.6018647757841348E-3</v>
      </c>
      <c r="U127" s="100">
        <f t="shared" si="127"/>
        <v>-1.6851492634467982E-3</v>
      </c>
      <c r="V127" s="100">
        <f t="shared" si="127"/>
        <v>-1.6525332487394254E-3</v>
      </c>
      <c r="W127" s="100">
        <f t="shared" si="127"/>
        <v>-1.5853204630904348E-3</v>
      </c>
      <c r="X127" s="100">
        <f t="shared" si="127"/>
        <v>-1.5635522964120502E-3</v>
      </c>
      <c r="Y127" s="100">
        <f t="shared" si="127"/>
        <v>-1.6373870260203509E-3</v>
      </c>
      <c r="Z127" s="100">
        <f t="shared" si="127"/>
        <v>-1.6304043513388513E-3</v>
      </c>
      <c r="AA127" s="100">
        <f t="shared" si="127"/>
        <v>-1.680955154685573E-3</v>
      </c>
      <c r="AB127" s="100">
        <f t="shared" si="127"/>
        <v>-1.676428201391E-3</v>
      </c>
      <c r="AC127" s="100">
        <f t="shared" si="127"/>
        <v>-1.6351598598142987E-3</v>
      </c>
      <c r="AD127" s="100">
        <f t="shared" si="127"/>
        <v>-1.7143654613604247E-3</v>
      </c>
      <c r="AE127" s="100">
        <f t="shared" si="127"/>
        <v>-1.7867535126215731E-3</v>
      </c>
      <c r="AF127" s="100" t="str">
        <f t="shared" si="127"/>
        <v/>
      </c>
      <c r="AG127" s="100">
        <f t="shared" si="127"/>
        <v>-1.6903040483518318E-3</v>
      </c>
      <c r="AH127" s="100">
        <f t="shared" si="127"/>
        <v>-1.7392349234486399E-3</v>
      </c>
      <c r="AI127" s="100">
        <f t="shared" si="127"/>
        <v>-1.695459947210093E-3</v>
      </c>
      <c r="AJ127" s="100">
        <f t="shared" si="127"/>
        <v>-1.5684802908625469E-3</v>
      </c>
      <c r="AK127" s="100">
        <f t="shared" si="127"/>
        <v>-1.6402119341518879E-3</v>
      </c>
      <c r="AL127" s="103">
        <f t="shared" ref="AL127:AL138" si="128">AVERAGE(F127:AK127)</f>
        <v>-1.6677033372978203E-3</v>
      </c>
      <c r="AM127" s="103">
        <f t="shared" ref="AM127:AM138" si="129">STDEV(F127:AK127)</f>
        <v>5.1269982080241484E-5</v>
      </c>
      <c r="AN127" s="56">
        <f>ABS(AM127/AL127)</f>
        <v>3.0742867111673611E-2</v>
      </c>
    </row>
    <row r="128" spans="1:40">
      <c r="A128" s="242"/>
      <c r="B128" s="242"/>
      <c r="C128" s="242"/>
      <c r="D128" s="46" t="str">
        <f t="shared" si="82"/>
        <v>seg1</v>
      </c>
      <c r="E128" s="111"/>
      <c r="F128" s="100" t="str">
        <f t="shared" ref="F128:AK128" si="130">IF(AND(F$78,F51&lt;&gt;"",comp38&gt;63),(F56-F55)/($D56-$D55)/F52,"")</f>
        <v/>
      </c>
      <c r="G128" s="100" t="str">
        <f t="shared" si="130"/>
        <v/>
      </c>
      <c r="H128" s="100" t="str">
        <f t="shared" si="130"/>
        <v/>
      </c>
      <c r="I128" s="100" t="str">
        <f t="shared" si="130"/>
        <v/>
      </c>
      <c r="J128" s="100" t="str">
        <f t="shared" si="130"/>
        <v/>
      </c>
      <c r="K128" s="100" t="str">
        <f t="shared" si="130"/>
        <v/>
      </c>
      <c r="L128" s="100" t="str">
        <f t="shared" si="130"/>
        <v/>
      </c>
      <c r="M128" s="100" t="str">
        <f t="shared" si="130"/>
        <v/>
      </c>
      <c r="N128" s="100" t="str">
        <f t="shared" si="130"/>
        <v/>
      </c>
      <c r="O128" s="100" t="str">
        <f t="shared" si="130"/>
        <v/>
      </c>
      <c r="P128" s="100" t="str">
        <f t="shared" si="130"/>
        <v/>
      </c>
      <c r="Q128" s="100" t="str">
        <f t="shared" si="130"/>
        <v/>
      </c>
      <c r="R128" s="100" t="str">
        <f t="shared" si="130"/>
        <v/>
      </c>
      <c r="S128" s="100" t="str">
        <f t="shared" si="130"/>
        <v/>
      </c>
      <c r="T128" s="100" t="str">
        <f t="shared" si="130"/>
        <v/>
      </c>
      <c r="U128" s="100" t="str">
        <f t="shared" si="130"/>
        <v/>
      </c>
      <c r="V128" s="100" t="str">
        <f t="shared" si="130"/>
        <v/>
      </c>
      <c r="W128" s="100" t="str">
        <f t="shared" si="130"/>
        <v/>
      </c>
      <c r="X128" s="100" t="str">
        <f t="shared" si="130"/>
        <v/>
      </c>
      <c r="Y128" s="100" t="str">
        <f t="shared" si="130"/>
        <v/>
      </c>
      <c r="Z128" s="100" t="str">
        <f t="shared" si="130"/>
        <v/>
      </c>
      <c r="AA128" s="100" t="str">
        <f t="shared" si="130"/>
        <v/>
      </c>
      <c r="AB128" s="100" t="str">
        <f t="shared" si="130"/>
        <v/>
      </c>
      <c r="AC128" s="100" t="str">
        <f t="shared" si="130"/>
        <v/>
      </c>
      <c r="AD128" s="100" t="str">
        <f t="shared" si="130"/>
        <v/>
      </c>
      <c r="AE128" s="100" t="str">
        <f t="shared" si="130"/>
        <v/>
      </c>
      <c r="AF128" s="100" t="str">
        <f t="shared" si="130"/>
        <v/>
      </c>
      <c r="AG128" s="100" t="str">
        <f t="shared" si="130"/>
        <v/>
      </c>
      <c r="AH128" s="100" t="str">
        <f t="shared" si="130"/>
        <v/>
      </c>
      <c r="AI128" s="100" t="str">
        <f t="shared" si="130"/>
        <v/>
      </c>
      <c r="AJ128" s="100" t="str">
        <f t="shared" si="130"/>
        <v/>
      </c>
      <c r="AK128" s="100" t="str">
        <f t="shared" si="130"/>
        <v/>
      </c>
      <c r="AL128" s="103" t="e">
        <f t="shared" si="128"/>
        <v>#DIV/0!</v>
      </c>
      <c r="AM128" s="103" t="e">
        <f t="shared" si="129"/>
        <v>#DIV/0!</v>
      </c>
      <c r="AN128" s="56" t="e">
        <f t="shared" ref="AN128:AN138" si="131">ABS(AM128/AL128)</f>
        <v>#DIV/0!</v>
      </c>
    </row>
    <row r="129" spans="1:40">
      <c r="A129" s="242"/>
      <c r="B129" s="242"/>
      <c r="C129" s="242"/>
      <c r="D129" s="46" t="str">
        <f t="shared" si="82"/>
        <v>off</v>
      </c>
      <c r="E129" s="111"/>
      <c r="F129" s="135" t="str">
        <f>IF(AND(F$78,F51&lt;&gt;""),(F55-F52)/F52,"")</f>
        <v/>
      </c>
      <c r="G129" s="154" t="str">
        <f t="shared" ref="G129:AK129" si="132">IF(AND(G$78,G51&lt;&gt;""),(G55-G52)/G52,"")</f>
        <v/>
      </c>
      <c r="H129" s="154">
        <f t="shared" si="132"/>
        <v>-0.22804527645884523</v>
      </c>
      <c r="I129" s="154">
        <f t="shared" si="132"/>
        <v>-0.23142506965484691</v>
      </c>
      <c r="J129" s="154" t="str">
        <f t="shared" si="132"/>
        <v/>
      </c>
      <c r="K129" s="154">
        <f t="shared" si="132"/>
        <v>-0.22857144476813562</v>
      </c>
      <c r="L129" s="154">
        <f t="shared" si="132"/>
        <v>-0.23228351709400774</v>
      </c>
      <c r="M129" s="154" t="str">
        <f t="shared" si="132"/>
        <v/>
      </c>
      <c r="N129" s="154">
        <f t="shared" si="132"/>
        <v>-0.23098996279050027</v>
      </c>
      <c r="O129" s="154">
        <f t="shared" si="132"/>
        <v>-0.22672670662434832</v>
      </c>
      <c r="P129" s="154">
        <f t="shared" si="132"/>
        <v>-0.23973724265153865</v>
      </c>
      <c r="Q129" s="154">
        <f t="shared" si="132"/>
        <v>-0.23479487405248081</v>
      </c>
      <c r="R129" s="154">
        <f t="shared" si="132"/>
        <v>-0.2320261455707647</v>
      </c>
      <c r="S129" s="154">
        <f t="shared" si="132"/>
        <v>-0.2262997380264318</v>
      </c>
      <c r="T129" s="154">
        <f t="shared" si="132"/>
        <v>-0.22935779524268232</v>
      </c>
      <c r="U129" s="154">
        <f t="shared" si="132"/>
        <v>-0.22773974484122461</v>
      </c>
      <c r="V129" s="154">
        <f t="shared" si="132"/>
        <v>-0.22602742149834695</v>
      </c>
      <c r="W129" s="154">
        <f t="shared" si="132"/>
        <v>-0.21972536416681934</v>
      </c>
      <c r="X129" s="154">
        <f t="shared" si="132"/>
        <v>-0.21446383767828983</v>
      </c>
      <c r="Y129" s="154">
        <f t="shared" si="132"/>
        <v>-0.22572814674856806</v>
      </c>
      <c r="Z129" s="154">
        <f t="shared" si="132"/>
        <v>-0.23022430295484475</v>
      </c>
      <c r="AA129" s="154">
        <f t="shared" si="132"/>
        <v>-0.22692890085766468</v>
      </c>
      <c r="AB129" s="154">
        <f t="shared" si="132"/>
        <v>-0.22727271208093192</v>
      </c>
      <c r="AC129" s="154">
        <f t="shared" si="132"/>
        <v>-0.2211055505223643</v>
      </c>
      <c r="AD129" s="154">
        <f t="shared" si="132"/>
        <v>-0.24269377934093339</v>
      </c>
      <c r="AE129" s="154">
        <f t="shared" si="132"/>
        <v>-0.24476442331814305</v>
      </c>
      <c r="AF129" s="154" t="str">
        <f t="shared" si="132"/>
        <v/>
      </c>
      <c r="AG129" s="154">
        <f t="shared" si="132"/>
        <v>-0.2246255950061771</v>
      </c>
      <c r="AH129" s="154">
        <f t="shared" si="132"/>
        <v>-0.2468513545921058</v>
      </c>
      <c r="AI129" s="154">
        <f t="shared" si="132"/>
        <v>-0.23388585456683098</v>
      </c>
      <c r="AJ129" s="154">
        <f t="shared" si="132"/>
        <v>-0.21739128048001902</v>
      </c>
      <c r="AK129" s="154">
        <f t="shared" si="132"/>
        <v>-0.23500002083301505</v>
      </c>
      <c r="AL129" s="103">
        <f t="shared" si="128"/>
        <v>-0.22980318749706896</v>
      </c>
      <c r="AM129" s="103">
        <f t="shared" si="129"/>
        <v>7.6784741260271924E-3</v>
      </c>
      <c r="AN129" s="56">
        <f t="shared" si="131"/>
        <v>3.3413262059844698E-2</v>
      </c>
    </row>
    <row r="130" spans="1:40">
      <c r="A130" s="242"/>
      <c r="B130" s="242"/>
      <c r="C130" s="242"/>
      <c r="D130" s="46" t="str">
        <f t="shared" si="82"/>
        <v>ΔIR</v>
      </c>
      <c r="E130" s="111"/>
      <c r="F130" s="100" t="str">
        <f>IF(AND(F$78,F51&lt;&gt;""),AVERAGE(F127:F128),"")</f>
        <v/>
      </c>
      <c r="G130" s="100" t="str">
        <f t="shared" ref="G130:AK130" si="133">IF(AND(G$78,G51&lt;&gt;""),AVERAGE(G127:G128),"")</f>
        <v/>
      </c>
      <c r="H130" s="100">
        <f t="shared" si="133"/>
        <v>-1.6862265165495675E-3</v>
      </c>
      <c r="I130" s="100">
        <f t="shared" si="133"/>
        <v>-1.6627020981400482E-3</v>
      </c>
      <c r="J130" s="100" t="str">
        <f t="shared" si="133"/>
        <v/>
      </c>
      <c r="K130" s="100">
        <f t="shared" si="133"/>
        <v>-1.6844836293178069E-3</v>
      </c>
      <c r="L130" s="100">
        <f t="shared" si="133"/>
        <v>-1.6664588833212675E-3</v>
      </c>
      <c r="M130" s="100" t="str">
        <f t="shared" si="133"/>
        <v/>
      </c>
      <c r="N130" s="100">
        <f t="shared" si="133"/>
        <v>-1.7079998567009614E-3</v>
      </c>
      <c r="O130" s="100">
        <f t="shared" si="133"/>
        <v>-1.6683353535568754E-3</v>
      </c>
      <c r="P130" s="100">
        <f t="shared" si="133"/>
        <v>-1.7462928931233706E-3</v>
      </c>
      <c r="Q130" s="100">
        <f t="shared" si="133"/>
        <v>-1.6613896894359392E-3</v>
      </c>
      <c r="R130" s="100">
        <f t="shared" si="133"/>
        <v>-1.6858597550177417E-3</v>
      </c>
      <c r="S130" s="100">
        <f t="shared" si="133"/>
        <v>-1.6746766731476446E-3</v>
      </c>
      <c r="T130" s="100">
        <f t="shared" si="133"/>
        <v>-1.6018647757841348E-3</v>
      </c>
      <c r="U130" s="100">
        <f t="shared" si="133"/>
        <v>-1.6851492634467982E-3</v>
      </c>
      <c r="V130" s="100">
        <f t="shared" si="133"/>
        <v>-1.6525332487394254E-3</v>
      </c>
      <c r="W130" s="100">
        <f t="shared" si="133"/>
        <v>-1.5853204630904348E-3</v>
      </c>
      <c r="X130" s="100">
        <f t="shared" si="133"/>
        <v>-1.5635522964120502E-3</v>
      </c>
      <c r="Y130" s="100">
        <f t="shared" si="133"/>
        <v>-1.6373870260203509E-3</v>
      </c>
      <c r="Z130" s="100">
        <f t="shared" si="133"/>
        <v>-1.6304043513388513E-3</v>
      </c>
      <c r="AA130" s="100">
        <f t="shared" si="133"/>
        <v>-1.680955154685573E-3</v>
      </c>
      <c r="AB130" s="100">
        <f t="shared" si="133"/>
        <v>-1.676428201391E-3</v>
      </c>
      <c r="AC130" s="100">
        <f t="shared" si="133"/>
        <v>-1.6351598598142987E-3</v>
      </c>
      <c r="AD130" s="100">
        <f t="shared" si="133"/>
        <v>-1.7143654613604247E-3</v>
      </c>
      <c r="AE130" s="100">
        <f t="shared" si="133"/>
        <v>-1.7867535126215731E-3</v>
      </c>
      <c r="AF130" s="100" t="str">
        <f t="shared" si="133"/>
        <v/>
      </c>
      <c r="AG130" s="100">
        <f t="shared" si="133"/>
        <v>-1.6903040483518318E-3</v>
      </c>
      <c r="AH130" s="100">
        <f t="shared" si="133"/>
        <v>-1.7392349234486399E-3</v>
      </c>
      <c r="AI130" s="100">
        <f t="shared" si="133"/>
        <v>-1.695459947210093E-3</v>
      </c>
      <c r="AJ130" s="100">
        <f t="shared" si="133"/>
        <v>-1.5684802908625469E-3</v>
      </c>
      <c r="AK130" s="100">
        <f t="shared" si="133"/>
        <v>-1.6402119341518879E-3</v>
      </c>
      <c r="AL130" s="103">
        <f t="shared" si="128"/>
        <v>-1.6677033372978203E-3</v>
      </c>
      <c r="AM130" s="103">
        <f t="shared" si="129"/>
        <v>5.1269982080241484E-5</v>
      </c>
      <c r="AN130" s="56">
        <f t="shared" si="131"/>
        <v>3.0742867111673611E-2</v>
      </c>
    </row>
    <row r="131" spans="1:40">
      <c r="A131" s="242"/>
      <c r="B131" s="242"/>
      <c r="C131" s="242"/>
      <c r="D131" s="46" t="str">
        <f t="shared" si="82"/>
        <v>code</v>
      </c>
      <c r="E131" s="111"/>
      <c r="F131" s="112" t="str">
        <f>IF(AND(F$78,F51&lt;&gt;""),F129/F130,"")</f>
        <v/>
      </c>
      <c r="G131" s="112" t="str">
        <f t="shared" ref="G131:AK131" si="134">IF(AND(G$78,G51&lt;&gt;""),G129/G130,"")</f>
        <v/>
      </c>
      <c r="H131" s="112">
        <f t="shared" si="134"/>
        <v>135.24000139997901</v>
      </c>
      <c r="I131" s="112">
        <f t="shared" si="134"/>
        <v>139.18612956207031</v>
      </c>
      <c r="J131" s="112" t="str">
        <f t="shared" si="134"/>
        <v/>
      </c>
      <c r="K131" s="112">
        <f t="shared" si="134"/>
        <v>135.69229216000394</v>
      </c>
      <c r="L131" s="112">
        <f t="shared" si="134"/>
        <v>139.38748769550475</v>
      </c>
      <c r="M131" s="112" t="str">
        <f t="shared" si="134"/>
        <v/>
      </c>
      <c r="N131" s="112">
        <f t="shared" si="134"/>
        <v>135.24003639945403</v>
      </c>
      <c r="O131" s="112">
        <f t="shared" si="134"/>
        <v>135.89995928634437</v>
      </c>
      <c r="P131" s="112">
        <f t="shared" si="134"/>
        <v>137.28352419893969</v>
      </c>
      <c r="Q131" s="112">
        <f t="shared" si="134"/>
        <v>141.32438376465208</v>
      </c>
      <c r="R131" s="112">
        <f t="shared" si="134"/>
        <v>137.63075183458716</v>
      </c>
      <c r="S131" s="112">
        <f t="shared" si="134"/>
        <v>135.13040556126535</v>
      </c>
      <c r="T131" s="112">
        <f t="shared" si="134"/>
        <v>143.1817458689099</v>
      </c>
      <c r="U131" s="112">
        <f t="shared" si="134"/>
        <v>135.14514695001353</v>
      </c>
      <c r="V131" s="112">
        <f t="shared" si="134"/>
        <v>136.77632306083021</v>
      </c>
      <c r="W131" s="112">
        <f t="shared" si="134"/>
        <v>138.5999671880127</v>
      </c>
      <c r="X131" s="112">
        <f t="shared" si="134"/>
        <v>137.16447999240518</v>
      </c>
      <c r="Y131" s="112">
        <f t="shared" si="134"/>
        <v>137.85876103904252</v>
      </c>
      <c r="Z131" s="112">
        <f t="shared" si="134"/>
        <v>141.20687470306967</v>
      </c>
      <c r="AA131" s="112">
        <f t="shared" si="134"/>
        <v>134.99997321470025</v>
      </c>
      <c r="AB131" s="112">
        <f t="shared" si="134"/>
        <v>135.5696067939889</v>
      </c>
      <c r="AC131" s="112">
        <f t="shared" si="134"/>
        <v>135.21953171445557</v>
      </c>
      <c r="AD131" s="112">
        <f t="shared" si="134"/>
        <v>141.56478581197334</v>
      </c>
      <c r="AE131" s="112">
        <f t="shared" si="134"/>
        <v>136.98835434721943</v>
      </c>
      <c r="AF131" s="112" t="str">
        <f t="shared" si="134"/>
        <v/>
      </c>
      <c r="AG131" s="112">
        <f t="shared" si="134"/>
        <v>132.89064486664589</v>
      </c>
      <c r="AH131" s="112">
        <f t="shared" si="134"/>
        <v>141.93100153637491</v>
      </c>
      <c r="AI131" s="112">
        <f t="shared" si="134"/>
        <v>137.94832190031619</v>
      </c>
      <c r="AJ131" s="112">
        <f t="shared" si="134"/>
        <v>138.59994400087112</v>
      </c>
      <c r="AK131" s="112">
        <f t="shared" si="134"/>
        <v>143.27418057382178</v>
      </c>
      <c r="AL131" s="52">
        <f t="shared" si="128"/>
        <v>137.8123931639056</v>
      </c>
      <c r="AM131" s="58">
        <f t="shared" si="129"/>
        <v>2.7821910371324305</v>
      </c>
      <c r="AN131" s="56">
        <f t="shared" si="131"/>
        <v>2.0188249933541631E-2</v>
      </c>
    </row>
    <row r="132" spans="1:40">
      <c r="A132" s="242"/>
      <c r="B132" s="242" t="str">
        <f>B120</f>
        <v>HI</v>
      </c>
      <c r="C132" s="242"/>
      <c r="D132" s="46" t="str">
        <f t="shared" si="82"/>
        <v>seg0</v>
      </c>
      <c r="E132" s="111"/>
      <c r="F132" s="100" t="str">
        <f>IF(AND(F$78,F51&lt;&gt;""),(F60-F58)/$D60/F58,"")</f>
        <v/>
      </c>
      <c r="G132" s="100" t="str">
        <f t="shared" ref="G132:AK132" si="135">IF(AND(G$78,G51&lt;&gt;""),(G60-G58)/$D60/G58,"")</f>
        <v/>
      </c>
      <c r="H132" s="100">
        <f t="shared" si="135"/>
        <v>-1.7006802721088435E-3</v>
      </c>
      <c r="I132" s="100">
        <f t="shared" si="135"/>
        <v>-1.488095238095238E-3</v>
      </c>
      <c r="J132" s="100" t="str">
        <f t="shared" si="135"/>
        <v/>
      </c>
      <c r="K132" s="100">
        <f t="shared" si="135"/>
        <v>-1.6420361247947454E-3</v>
      </c>
      <c r="L132" s="100">
        <f t="shared" si="135"/>
        <v>-1.6420361247947454E-3</v>
      </c>
      <c r="M132" s="100" t="str">
        <f t="shared" si="135"/>
        <v/>
      </c>
      <c r="N132" s="100">
        <f t="shared" si="135"/>
        <v>-1.6420361247947454E-3</v>
      </c>
      <c r="O132" s="100">
        <f t="shared" si="135"/>
        <v>-1.7006802721088435E-3</v>
      </c>
      <c r="P132" s="100">
        <f t="shared" si="135"/>
        <v>-1.2698412698412698E-3</v>
      </c>
      <c r="Q132" s="100">
        <f t="shared" si="135"/>
        <v>-1.8315018315018315E-3</v>
      </c>
      <c r="R132" s="100">
        <f t="shared" si="135"/>
        <v>-1.3802622498274672E-3</v>
      </c>
      <c r="S132" s="100">
        <f t="shared" si="135"/>
        <v>-1.221001221001221E-3</v>
      </c>
      <c r="T132" s="100">
        <f t="shared" si="135"/>
        <v>-1.8315018315018315E-3</v>
      </c>
      <c r="U132" s="100">
        <f t="shared" si="135"/>
        <v>-2.0703933747412005E-3</v>
      </c>
      <c r="V132" s="100">
        <f t="shared" si="135"/>
        <v>-1.7006802721088435E-3</v>
      </c>
      <c r="W132" s="100">
        <f t="shared" si="135"/>
        <v>-1.488095238095238E-3</v>
      </c>
      <c r="X132" s="100">
        <f t="shared" si="135"/>
        <v>-1.6420361247947454E-3</v>
      </c>
      <c r="Y132" s="100">
        <f t="shared" si="135"/>
        <v>-1.7636684303350971E-3</v>
      </c>
      <c r="Z132" s="100">
        <f t="shared" si="135"/>
        <v>-1.488095238095238E-3</v>
      </c>
      <c r="AA132" s="100">
        <f t="shared" si="135"/>
        <v>-1.8315018315018315E-3</v>
      </c>
      <c r="AB132" s="100">
        <f t="shared" si="135"/>
        <v>-1.5873015873015873E-3</v>
      </c>
      <c r="AC132" s="100">
        <f t="shared" si="135"/>
        <v>-1.5360983102918587E-3</v>
      </c>
      <c r="AD132" s="100">
        <f t="shared" si="135"/>
        <v>-2.0481310803891449E-3</v>
      </c>
      <c r="AE132" s="100">
        <f t="shared" si="135"/>
        <v>-1.488095238095238E-3</v>
      </c>
      <c r="AF132" s="100" t="str">
        <f t="shared" si="135"/>
        <v/>
      </c>
      <c r="AG132" s="100">
        <f t="shared" si="135"/>
        <v>-1.984126984126984E-3</v>
      </c>
      <c r="AH132" s="100">
        <f t="shared" si="135"/>
        <v>-1.9240019240019241E-3</v>
      </c>
      <c r="AI132" s="100">
        <f t="shared" si="135"/>
        <v>-1.5117157974300832E-3</v>
      </c>
      <c r="AJ132" s="100">
        <f t="shared" si="135"/>
        <v>-1.5873015873015873E-3</v>
      </c>
      <c r="AK132" s="100">
        <f t="shared" si="135"/>
        <v>-1.3227513227513227E-3</v>
      </c>
      <c r="AL132" s="103">
        <f t="shared" si="128"/>
        <v>-1.6416172926567673E-3</v>
      </c>
      <c r="AM132" s="103">
        <f t="shared" si="129"/>
        <v>2.2300307401677759E-4</v>
      </c>
      <c r="AN132" s="56">
        <f t="shared" si="131"/>
        <v>0.1358435215164388</v>
      </c>
    </row>
    <row r="133" spans="1:40">
      <c r="A133" s="242"/>
      <c r="B133" s="242"/>
      <c r="C133" s="242"/>
      <c r="D133" s="46" t="str">
        <f t="shared" si="82"/>
        <v>seg1</v>
      </c>
      <c r="E133" s="111"/>
      <c r="F133" s="100" t="str">
        <f t="shared" ref="F133:AK133" si="136">IF(AND(F$78,F51&lt;&gt;"",comp38&gt;63),(F62-F61)/($D62-$D61)/F58,"")</f>
        <v/>
      </c>
      <c r="G133" s="100" t="str">
        <f t="shared" si="136"/>
        <v/>
      </c>
      <c r="H133" s="100" t="str">
        <f t="shared" si="136"/>
        <v/>
      </c>
      <c r="I133" s="100" t="str">
        <f t="shared" si="136"/>
        <v/>
      </c>
      <c r="J133" s="100" t="str">
        <f t="shared" si="136"/>
        <v/>
      </c>
      <c r="K133" s="100" t="str">
        <f t="shared" si="136"/>
        <v/>
      </c>
      <c r="L133" s="100" t="str">
        <f t="shared" si="136"/>
        <v/>
      </c>
      <c r="M133" s="100" t="str">
        <f t="shared" si="136"/>
        <v/>
      </c>
      <c r="N133" s="100" t="str">
        <f t="shared" si="136"/>
        <v/>
      </c>
      <c r="O133" s="100" t="str">
        <f t="shared" si="136"/>
        <v/>
      </c>
      <c r="P133" s="100" t="str">
        <f t="shared" si="136"/>
        <v/>
      </c>
      <c r="Q133" s="100" t="str">
        <f t="shared" si="136"/>
        <v/>
      </c>
      <c r="R133" s="100" t="str">
        <f t="shared" si="136"/>
        <v/>
      </c>
      <c r="S133" s="100" t="str">
        <f t="shared" si="136"/>
        <v/>
      </c>
      <c r="T133" s="100" t="str">
        <f t="shared" si="136"/>
        <v/>
      </c>
      <c r="U133" s="100" t="str">
        <f t="shared" si="136"/>
        <v/>
      </c>
      <c r="V133" s="100" t="str">
        <f t="shared" si="136"/>
        <v/>
      </c>
      <c r="W133" s="100" t="str">
        <f t="shared" si="136"/>
        <v/>
      </c>
      <c r="X133" s="100" t="str">
        <f t="shared" si="136"/>
        <v/>
      </c>
      <c r="Y133" s="100" t="str">
        <f t="shared" si="136"/>
        <v/>
      </c>
      <c r="Z133" s="100" t="str">
        <f t="shared" si="136"/>
        <v/>
      </c>
      <c r="AA133" s="100" t="str">
        <f t="shared" si="136"/>
        <v/>
      </c>
      <c r="AB133" s="100" t="str">
        <f t="shared" si="136"/>
        <v/>
      </c>
      <c r="AC133" s="100" t="str">
        <f t="shared" si="136"/>
        <v/>
      </c>
      <c r="AD133" s="100" t="str">
        <f t="shared" si="136"/>
        <v/>
      </c>
      <c r="AE133" s="100" t="str">
        <f t="shared" si="136"/>
        <v/>
      </c>
      <c r="AF133" s="100" t="str">
        <f t="shared" si="136"/>
        <v/>
      </c>
      <c r="AG133" s="100" t="str">
        <f t="shared" si="136"/>
        <v/>
      </c>
      <c r="AH133" s="100" t="str">
        <f t="shared" si="136"/>
        <v/>
      </c>
      <c r="AI133" s="100" t="str">
        <f t="shared" si="136"/>
        <v/>
      </c>
      <c r="AJ133" s="100" t="str">
        <f t="shared" si="136"/>
        <v/>
      </c>
      <c r="AK133" s="100" t="str">
        <f t="shared" si="136"/>
        <v/>
      </c>
      <c r="AL133" s="103" t="e">
        <f t="shared" si="128"/>
        <v>#DIV/0!</v>
      </c>
      <c r="AM133" s="103" t="e">
        <f t="shared" si="129"/>
        <v>#DIV/0!</v>
      </c>
      <c r="AN133" s="56" t="e">
        <f t="shared" si="131"/>
        <v>#DIV/0!</v>
      </c>
    </row>
    <row r="134" spans="1:40">
      <c r="A134" s="242"/>
      <c r="B134" s="242"/>
      <c r="C134" s="242"/>
      <c r="D134" s="46" t="str">
        <f t="shared" si="82"/>
        <v>off</v>
      </c>
      <c r="E134" s="111"/>
      <c r="F134" s="135" t="str">
        <f>IF(AND(F$78,F51&lt;&gt;""),(F61-F58)/F58,"")</f>
        <v/>
      </c>
      <c r="G134" s="154" t="str">
        <f t="shared" ref="G134:AK134" si="137">IF(AND(G$78,G51&lt;&gt;""),(G61-G58)/G58,"")</f>
        <v/>
      </c>
      <c r="H134" s="154">
        <f t="shared" si="137"/>
        <v>-0.21428571428571427</v>
      </c>
      <c r="I134" s="154">
        <f t="shared" si="137"/>
        <v>-0.21875</v>
      </c>
      <c r="J134" s="154" t="str">
        <f t="shared" si="137"/>
        <v/>
      </c>
      <c r="K134" s="154">
        <f t="shared" si="137"/>
        <v>-0.2413793103448276</v>
      </c>
      <c r="L134" s="154">
        <f t="shared" si="137"/>
        <v>-0.20689655172413793</v>
      </c>
      <c r="M134" s="154" t="str">
        <f t="shared" si="137"/>
        <v/>
      </c>
      <c r="N134" s="154">
        <f t="shared" si="137"/>
        <v>-0.20689655172413793</v>
      </c>
      <c r="O134" s="154">
        <f t="shared" si="137"/>
        <v>-0.21428571428571427</v>
      </c>
      <c r="P134" s="154">
        <f t="shared" si="137"/>
        <v>-0.24</v>
      </c>
      <c r="Q134" s="154">
        <f t="shared" si="137"/>
        <v>-0.23076923076923078</v>
      </c>
      <c r="R134" s="154">
        <f t="shared" si="137"/>
        <v>-0.21739130434782608</v>
      </c>
      <c r="S134" s="154">
        <f t="shared" si="137"/>
        <v>-0.23076923076923078</v>
      </c>
      <c r="T134" s="154">
        <f t="shared" si="137"/>
        <v>-0.23076923076923078</v>
      </c>
      <c r="U134" s="154">
        <f t="shared" si="137"/>
        <v>-0.21739130434782608</v>
      </c>
      <c r="V134" s="154">
        <f t="shared" si="137"/>
        <v>-0.21428571428571427</v>
      </c>
      <c r="W134" s="154">
        <f t="shared" si="137"/>
        <v>-0.21875</v>
      </c>
      <c r="X134" s="154">
        <f t="shared" si="137"/>
        <v>-0.20689655172413793</v>
      </c>
      <c r="Y134" s="154">
        <f t="shared" si="137"/>
        <v>-0.22222222222222221</v>
      </c>
      <c r="Z134" s="154">
        <f t="shared" si="137"/>
        <v>-0.21875</v>
      </c>
      <c r="AA134" s="154">
        <f t="shared" si="137"/>
        <v>-0.23076923076923078</v>
      </c>
      <c r="AB134" s="154">
        <f t="shared" si="137"/>
        <v>-0.23333333333333334</v>
      </c>
      <c r="AC134" s="154">
        <f t="shared" si="137"/>
        <v>-0.22580645161290322</v>
      </c>
      <c r="AD134" s="154">
        <f t="shared" si="137"/>
        <v>-0.25806451612903225</v>
      </c>
      <c r="AE134" s="154">
        <f t="shared" si="137"/>
        <v>-0.21875</v>
      </c>
      <c r="AF134" s="154" t="str">
        <f t="shared" si="137"/>
        <v/>
      </c>
      <c r="AG134" s="154">
        <f t="shared" si="137"/>
        <v>-0.25</v>
      </c>
      <c r="AH134" s="154">
        <f t="shared" si="137"/>
        <v>-0.24242424242424243</v>
      </c>
      <c r="AI134" s="154">
        <f t="shared" si="137"/>
        <v>-0.23809523809523808</v>
      </c>
      <c r="AJ134" s="154">
        <f t="shared" si="137"/>
        <v>-0.2</v>
      </c>
      <c r="AK134" s="154">
        <f t="shared" si="137"/>
        <v>-0.25</v>
      </c>
      <c r="AL134" s="103">
        <f t="shared" si="128"/>
        <v>-0.22584191273940485</v>
      </c>
      <c r="AM134" s="103">
        <f t="shared" si="129"/>
        <v>1.4842855292000672E-2</v>
      </c>
      <c r="AN134" s="56">
        <f t="shared" si="131"/>
        <v>6.5722323690765014E-2</v>
      </c>
    </row>
    <row r="135" spans="1:40">
      <c r="A135" s="242"/>
      <c r="B135" s="242"/>
      <c r="C135" s="242"/>
      <c r="D135" s="46" t="str">
        <f t="shared" si="82"/>
        <v>ΔIR</v>
      </c>
      <c r="E135" s="111"/>
      <c r="F135" s="100" t="str">
        <f>IF(AND(F$78,F51&lt;&gt;""),AVERAGE(F132:F133),"")</f>
        <v/>
      </c>
      <c r="G135" s="100" t="str">
        <f t="shared" ref="G135:AK135" si="138">IF(AND(G$78,G51&lt;&gt;""),AVERAGE(G132:G133),"")</f>
        <v/>
      </c>
      <c r="H135" s="100">
        <f t="shared" si="138"/>
        <v>-1.7006802721088435E-3</v>
      </c>
      <c r="I135" s="100">
        <f t="shared" si="138"/>
        <v>-1.488095238095238E-3</v>
      </c>
      <c r="J135" s="100" t="str">
        <f t="shared" si="138"/>
        <v/>
      </c>
      <c r="K135" s="100">
        <f t="shared" si="138"/>
        <v>-1.6420361247947454E-3</v>
      </c>
      <c r="L135" s="100">
        <f t="shared" si="138"/>
        <v>-1.6420361247947454E-3</v>
      </c>
      <c r="M135" s="100" t="str">
        <f t="shared" si="138"/>
        <v/>
      </c>
      <c r="N135" s="100">
        <f t="shared" si="138"/>
        <v>-1.6420361247947454E-3</v>
      </c>
      <c r="O135" s="100">
        <f t="shared" si="138"/>
        <v>-1.7006802721088435E-3</v>
      </c>
      <c r="P135" s="100">
        <f t="shared" si="138"/>
        <v>-1.2698412698412698E-3</v>
      </c>
      <c r="Q135" s="100">
        <f t="shared" si="138"/>
        <v>-1.8315018315018315E-3</v>
      </c>
      <c r="R135" s="100">
        <f t="shared" si="138"/>
        <v>-1.3802622498274672E-3</v>
      </c>
      <c r="S135" s="100">
        <f t="shared" si="138"/>
        <v>-1.221001221001221E-3</v>
      </c>
      <c r="T135" s="100">
        <f t="shared" si="138"/>
        <v>-1.8315018315018315E-3</v>
      </c>
      <c r="U135" s="100">
        <f t="shared" si="138"/>
        <v>-2.0703933747412005E-3</v>
      </c>
      <c r="V135" s="100">
        <f t="shared" si="138"/>
        <v>-1.7006802721088435E-3</v>
      </c>
      <c r="W135" s="100">
        <f t="shared" si="138"/>
        <v>-1.488095238095238E-3</v>
      </c>
      <c r="X135" s="100">
        <f t="shared" si="138"/>
        <v>-1.6420361247947454E-3</v>
      </c>
      <c r="Y135" s="100">
        <f t="shared" si="138"/>
        <v>-1.7636684303350971E-3</v>
      </c>
      <c r="Z135" s="100">
        <f t="shared" si="138"/>
        <v>-1.488095238095238E-3</v>
      </c>
      <c r="AA135" s="100">
        <f t="shared" si="138"/>
        <v>-1.8315018315018315E-3</v>
      </c>
      <c r="AB135" s="100">
        <f t="shared" si="138"/>
        <v>-1.5873015873015873E-3</v>
      </c>
      <c r="AC135" s="100">
        <f t="shared" si="138"/>
        <v>-1.5360983102918587E-3</v>
      </c>
      <c r="AD135" s="100">
        <f t="shared" si="138"/>
        <v>-2.0481310803891449E-3</v>
      </c>
      <c r="AE135" s="100">
        <f t="shared" si="138"/>
        <v>-1.488095238095238E-3</v>
      </c>
      <c r="AF135" s="100" t="str">
        <f t="shared" si="138"/>
        <v/>
      </c>
      <c r="AG135" s="100">
        <f t="shared" si="138"/>
        <v>-1.984126984126984E-3</v>
      </c>
      <c r="AH135" s="100">
        <f t="shared" si="138"/>
        <v>-1.9240019240019241E-3</v>
      </c>
      <c r="AI135" s="100">
        <f t="shared" si="138"/>
        <v>-1.5117157974300832E-3</v>
      </c>
      <c r="AJ135" s="100">
        <f t="shared" si="138"/>
        <v>-1.5873015873015873E-3</v>
      </c>
      <c r="AK135" s="100">
        <f t="shared" si="138"/>
        <v>-1.3227513227513227E-3</v>
      </c>
      <c r="AL135" s="103">
        <f t="shared" si="128"/>
        <v>-1.6416172926567673E-3</v>
      </c>
      <c r="AM135" s="103">
        <f t="shared" si="129"/>
        <v>2.2300307401677759E-4</v>
      </c>
      <c r="AN135" s="56">
        <f t="shared" si="131"/>
        <v>0.1358435215164388</v>
      </c>
    </row>
    <row r="136" spans="1:40">
      <c r="A136" s="242"/>
      <c r="B136" s="242"/>
      <c r="C136" s="242"/>
      <c r="D136" s="46" t="str">
        <f t="shared" si="82"/>
        <v>code</v>
      </c>
      <c r="E136" s="111"/>
      <c r="F136" s="112" t="str">
        <f>IF(AND(F$78,F51&lt;&gt;""),F134/F135,"")</f>
        <v/>
      </c>
      <c r="G136" s="112" t="str">
        <f t="shared" ref="G136:AK136" si="139">IF(AND(G$78,G51&lt;&gt;""),G134/G135,"")</f>
        <v/>
      </c>
      <c r="H136" s="112">
        <f t="shared" si="139"/>
        <v>126</v>
      </c>
      <c r="I136" s="112">
        <f t="shared" si="139"/>
        <v>147</v>
      </c>
      <c r="J136" s="112" t="str">
        <f t="shared" si="139"/>
        <v/>
      </c>
      <c r="K136" s="112">
        <f t="shared" si="139"/>
        <v>147</v>
      </c>
      <c r="L136" s="112">
        <f t="shared" si="139"/>
        <v>126</v>
      </c>
      <c r="M136" s="112" t="str">
        <f t="shared" si="139"/>
        <v/>
      </c>
      <c r="N136" s="112">
        <f t="shared" si="139"/>
        <v>126</v>
      </c>
      <c r="O136" s="112">
        <f t="shared" si="139"/>
        <v>126</v>
      </c>
      <c r="P136" s="112">
        <f t="shared" si="139"/>
        <v>189</v>
      </c>
      <c r="Q136" s="112">
        <f t="shared" si="139"/>
        <v>126</v>
      </c>
      <c r="R136" s="112">
        <f t="shared" si="139"/>
        <v>157.5</v>
      </c>
      <c r="S136" s="112">
        <f t="shared" si="139"/>
        <v>189</v>
      </c>
      <c r="T136" s="112">
        <f t="shared" si="139"/>
        <v>126</v>
      </c>
      <c r="U136" s="112">
        <f t="shared" si="139"/>
        <v>105.00000000000001</v>
      </c>
      <c r="V136" s="112">
        <f t="shared" si="139"/>
        <v>126</v>
      </c>
      <c r="W136" s="112">
        <f t="shared" si="139"/>
        <v>147</v>
      </c>
      <c r="X136" s="112">
        <f t="shared" si="139"/>
        <v>126</v>
      </c>
      <c r="Y136" s="112">
        <f t="shared" si="139"/>
        <v>125.99999999999999</v>
      </c>
      <c r="Z136" s="112">
        <f t="shared" si="139"/>
        <v>147</v>
      </c>
      <c r="AA136" s="112">
        <f t="shared" si="139"/>
        <v>126</v>
      </c>
      <c r="AB136" s="112">
        <f t="shared" si="139"/>
        <v>147</v>
      </c>
      <c r="AC136" s="112">
        <f t="shared" si="139"/>
        <v>147</v>
      </c>
      <c r="AD136" s="112">
        <f t="shared" si="139"/>
        <v>126</v>
      </c>
      <c r="AE136" s="112">
        <f t="shared" si="139"/>
        <v>147</v>
      </c>
      <c r="AF136" s="112" t="str">
        <f t="shared" si="139"/>
        <v/>
      </c>
      <c r="AG136" s="112">
        <f t="shared" si="139"/>
        <v>126</v>
      </c>
      <c r="AH136" s="112">
        <f t="shared" si="139"/>
        <v>126</v>
      </c>
      <c r="AI136" s="112">
        <f t="shared" si="139"/>
        <v>157.5</v>
      </c>
      <c r="AJ136" s="112">
        <f t="shared" si="139"/>
        <v>126</v>
      </c>
      <c r="AK136" s="112">
        <f t="shared" si="139"/>
        <v>189</v>
      </c>
      <c r="AL136" s="52">
        <f t="shared" si="128"/>
        <v>140</v>
      </c>
      <c r="AM136" s="58">
        <f t="shared" si="129"/>
        <v>21.59727546919536</v>
      </c>
      <c r="AN136" s="56">
        <f t="shared" si="131"/>
        <v>0.15426625335139543</v>
      </c>
    </row>
    <row r="137" spans="1:40">
      <c r="A137" s="242"/>
      <c r="B137" s="242" t="str">
        <f>B125</f>
        <v>Combined</v>
      </c>
      <c r="C137" s="242"/>
      <c r="D137" s="46" t="str">
        <f t="shared" si="82"/>
        <v>ΔIR</v>
      </c>
      <c r="E137" s="111"/>
      <c r="F137" s="100" t="str">
        <f>IF(AND(F$78,F51&lt;&gt;""),(F130+F135)/2,"")</f>
        <v/>
      </c>
      <c r="G137" s="100" t="str">
        <f t="shared" ref="G137:AK137" si="140">IF(AND(G$78,G51&lt;&gt;""),(G130+G135)/2,"")</f>
        <v/>
      </c>
      <c r="H137" s="100">
        <f t="shared" si="140"/>
        <v>-1.6934533943292055E-3</v>
      </c>
      <c r="I137" s="100">
        <f t="shared" si="140"/>
        <v>-1.5753986681176432E-3</v>
      </c>
      <c r="J137" s="100" t="str">
        <f t="shared" si="140"/>
        <v/>
      </c>
      <c r="K137" s="100">
        <f t="shared" si="140"/>
        <v>-1.6632598770562762E-3</v>
      </c>
      <c r="L137" s="100">
        <f t="shared" si="140"/>
        <v>-1.6542475040580065E-3</v>
      </c>
      <c r="M137" s="100" t="str">
        <f t="shared" si="140"/>
        <v/>
      </c>
      <c r="N137" s="100">
        <f t="shared" si="140"/>
        <v>-1.6750179907478535E-3</v>
      </c>
      <c r="O137" s="100">
        <f t="shared" si="140"/>
        <v>-1.6845078128328594E-3</v>
      </c>
      <c r="P137" s="100">
        <f t="shared" si="140"/>
        <v>-1.5080670814823201E-3</v>
      </c>
      <c r="Q137" s="100">
        <f t="shared" si="140"/>
        <v>-1.7464457604688855E-3</v>
      </c>
      <c r="R137" s="100">
        <f t="shared" si="140"/>
        <v>-1.5330610024226045E-3</v>
      </c>
      <c r="S137" s="100">
        <f t="shared" si="140"/>
        <v>-1.4478389470744327E-3</v>
      </c>
      <c r="T137" s="100">
        <f t="shared" si="140"/>
        <v>-1.7166833036429833E-3</v>
      </c>
      <c r="U137" s="100">
        <f t="shared" si="140"/>
        <v>-1.8777713190939994E-3</v>
      </c>
      <c r="V137" s="100">
        <f t="shared" si="140"/>
        <v>-1.6766067604241344E-3</v>
      </c>
      <c r="W137" s="100">
        <f t="shared" si="140"/>
        <v>-1.5367078505928364E-3</v>
      </c>
      <c r="X137" s="100">
        <f t="shared" si="140"/>
        <v>-1.6027942106033978E-3</v>
      </c>
      <c r="Y137" s="100">
        <f t="shared" si="140"/>
        <v>-1.7005277281777241E-3</v>
      </c>
      <c r="Z137" s="100">
        <f t="shared" si="140"/>
        <v>-1.5592497947170447E-3</v>
      </c>
      <c r="AA137" s="100">
        <f t="shared" si="140"/>
        <v>-1.7562284930937022E-3</v>
      </c>
      <c r="AB137" s="100">
        <f t="shared" si="140"/>
        <v>-1.6318648943462937E-3</v>
      </c>
      <c r="AC137" s="100">
        <f t="shared" si="140"/>
        <v>-1.5856290850530786E-3</v>
      </c>
      <c r="AD137" s="100">
        <f t="shared" si="140"/>
        <v>-1.8812482708747847E-3</v>
      </c>
      <c r="AE137" s="100">
        <f t="shared" si="140"/>
        <v>-1.6374243753584056E-3</v>
      </c>
      <c r="AF137" s="100" t="str">
        <f t="shared" si="140"/>
        <v/>
      </c>
      <c r="AG137" s="100">
        <f t="shared" si="140"/>
        <v>-1.8372155162394079E-3</v>
      </c>
      <c r="AH137" s="100">
        <f t="shared" si="140"/>
        <v>-1.831618423725282E-3</v>
      </c>
      <c r="AI137" s="100">
        <f t="shared" si="140"/>
        <v>-1.6035878723200882E-3</v>
      </c>
      <c r="AJ137" s="100">
        <f t="shared" si="140"/>
        <v>-1.5778909390820671E-3</v>
      </c>
      <c r="AK137" s="100">
        <f t="shared" si="140"/>
        <v>-1.4814816284516052E-3</v>
      </c>
      <c r="AL137" s="103">
        <f t="shared" si="128"/>
        <v>-1.6546603149772932E-3</v>
      </c>
      <c r="AM137" s="103">
        <f t="shared" si="129"/>
        <v>1.1584685147731783E-4</v>
      </c>
      <c r="AN137" s="56">
        <f t="shared" si="131"/>
        <v>7.0012467470646739E-2</v>
      </c>
    </row>
    <row r="138" spans="1:40">
      <c r="A138" s="242"/>
      <c r="B138" s="242"/>
      <c r="C138" s="242"/>
      <c r="D138" s="46" t="str">
        <f t="shared" si="82"/>
        <v>code</v>
      </c>
      <c r="E138" s="111"/>
      <c r="F138" s="112" t="str">
        <f>IF(AND(F$78,F51&lt;&gt;""),(F131+F136)/2,"")</f>
        <v/>
      </c>
      <c r="G138" s="112" t="str">
        <f t="shared" ref="G138:AK138" si="141">IF(AND(G$78,G51&lt;&gt;""),(G131+G136)/2,"")</f>
        <v/>
      </c>
      <c r="H138" s="112">
        <f t="shared" si="141"/>
        <v>130.6200006999895</v>
      </c>
      <c r="I138" s="112">
        <f t="shared" si="141"/>
        <v>143.09306478103514</v>
      </c>
      <c r="J138" s="112" t="str">
        <f t="shared" si="141"/>
        <v/>
      </c>
      <c r="K138" s="112">
        <f t="shared" si="141"/>
        <v>141.34614608000197</v>
      </c>
      <c r="L138" s="112">
        <f t="shared" si="141"/>
        <v>132.69374384775239</v>
      </c>
      <c r="M138" s="112" t="str">
        <f t="shared" si="141"/>
        <v/>
      </c>
      <c r="N138" s="112">
        <f t="shared" si="141"/>
        <v>130.62001819972701</v>
      </c>
      <c r="O138" s="112">
        <f t="shared" si="141"/>
        <v>130.94997964317218</v>
      </c>
      <c r="P138" s="112">
        <f t="shared" si="141"/>
        <v>163.14176209946984</v>
      </c>
      <c r="Q138" s="112">
        <f t="shared" si="141"/>
        <v>133.66219188232606</v>
      </c>
      <c r="R138" s="112">
        <f t="shared" si="141"/>
        <v>147.56537591729358</v>
      </c>
      <c r="S138" s="112">
        <f t="shared" si="141"/>
        <v>162.06520278063266</v>
      </c>
      <c r="T138" s="112">
        <f t="shared" si="141"/>
        <v>134.59087293445495</v>
      </c>
      <c r="U138" s="112">
        <f t="shared" si="141"/>
        <v>120.07257347500678</v>
      </c>
      <c r="V138" s="112">
        <f t="shared" si="141"/>
        <v>131.38816153041512</v>
      </c>
      <c r="W138" s="112">
        <f t="shared" si="141"/>
        <v>142.79998359400633</v>
      </c>
      <c r="X138" s="112">
        <f t="shared" si="141"/>
        <v>131.58223999620259</v>
      </c>
      <c r="Y138" s="112">
        <f t="shared" si="141"/>
        <v>131.92938051952126</v>
      </c>
      <c r="Z138" s="112">
        <f t="shared" si="141"/>
        <v>144.10343735153484</v>
      </c>
      <c r="AA138" s="112">
        <f t="shared" si="141"/>
        <v>130.49998660735014</v>
      </c>
      <c r="AB138" s="112">
        <f t="shared" si="141"/>
        <v>141.28480339699445</v>
      </c>
      <c r="AC138" s="112">
        <f t="shared" si="141"/>
        <v>141.10976585722779</v>
      </c>
      <c r="AD138" s="112">
        <f t="shared" si="141"/>
        <v>133.78239290598668</v>
      </c>
      <c r="AE138" s="112">
        <f t="shared" si="141"/>
        <v>141.99417717360973</v>
      </c>
      <c r="AF138" s="112" t="str">
        <f t="shared" si="141"/>
        <v/>
      </c>
      <c r="AG138" s="112">
        <f t="shared" si="141"/>
        <v>129.44532243332293</v>
      </c>
      <c r="AH138" s="112">
        <f t="shared" si="141"/>
        <v>133.96550076818744</v>
      </c>
      <c r="AI138" s="112">
        <f t="shared" si="141"/>
        <v>147.72416095015808</v>
      </c>
      <c r="AJ138" s="112">
        <f t="shared" si="141"/>
        <v>132.29997200043556</v>
      </c>
      <c r="AK138" s="112">
        <f t="shared" si="141"/>
        <v>166.1370902869109</v>
      </c>
      <c r="AL138" s="52">
        <f t="shared" si="128"/>
        <v>138.90619658195277</v>
      </c>
      <c r="AM138" s="58">
        <f t="shared" si="129"/>
        <v>11.019261622098123</v>
      </c>
      <c r="AN138" s="56">
        <f t="shared" si="131"/>
        <v>7.9328798089989508E-2</v>
      </c>
    </row>
    <row r="139" spans="1:40">
      <c r="A139" s="242" t="str">
        <f>A63</f>
        <v>D65</v>
      </c>
      <c r="B139" s="242" t="str">
        <f>B127</f>
        <v>LO</v>
      </c>
      <c r="C139" s="242"/>
      <c r="D139" s="46" t="str">
        <f>D127</f>
        <v>seg0</v>
      </c>
      <c r="F139" s="100" t="str">
        <f>IF(AND(F$78,F63&lt;&gt;""),(F66-F64)/$D66/F64,"")</f>
        <v/>
      </c>
      <c r="G139" s="100" t="str">
        <f t="shared" ref="G139:AK139" si="142">IF(AND(G$78,G63&lt;&gt;""),(G66-G64)/$D66/G64,"")</f>
        <v/>
      </c>
      <c r="H139" s="100">
        <f t="shared" si="142"/>
        <v>-7.5864881931524157E-3</v>
      </c>
      <c r="I139" s="100">
        <f t="shared" si="142"/>
        <v>-7.4944394349886435E-3</v>
      </c>
      <c r="J139" s="100" t="str">
        <f t="shared" si="142"/>
        <v/>
      </c>
      <c r="K139" s="100">
        <f t="shared" si="142"/>
        <v>-7.024808382567989E-3</v>
      </c>
      <c r="L139" s="100">
        <f t="shared" si="142"/>
        <v>-7.169166155305026E-3</v>
      </c>
      <c r="M139" s="100" t="str">
        <f t="shared" si="142"/>
        <v/>
      </c>
      <c r="N139" s="100">
        <f t="shared" si="142"/>
        <v>-7.2618071397942564E-3</v>
      </c>
      <c r="O139" s="100">
        <f t="shared" si="142"/>
        <v>-7.0301785490802663E-3</v>
      </c>
      <c r="P139" s="100">
        <f t="shared" si="142"/>
        <v>-6.6615169441962161E-3</v>
      </c>
      <c r="Q139" s="100">
        <f t="shared" si="142"/>
        <v>-7.2033256091879961E-3</v>
      </c>
      <c r="R139" s="100">
        <f t="shared" si="142"/>
        <v>-6.7734695795052986E-3</v>
      </c>
      <c r="S139" s="100">
        <f t="shared" si="142"/>
        <v>-6.6085179654815753E-3</v>
      </c>
      <c r="T139" s="100">
        <f t="shared" si="142"/>
        <v>-6.7254551111381282E-3</v>
      </c>
      <c r="U139" s="100">
        <f t="shared" si="142"/>
        <v>-6.0585277446679941E-3</v>
      </c>
      <c r="V139" s="100">
        <f t="shared" si="142"/>
        <v>-7.2631532990574225E-3</v>
      </c>
      <c r="W139" s="100">
        <f t="shared" si="142"/>
        <v>-7.2130342991065946E-3</v>
      </c>
      <c r="X139" s="100">
        <f t="shared" si="142"/>
        <v>-5.8170760933325032E-3</v>
      </c>
      <c r="Y139" s="100">
        <f t="shared" si="142"/>
        <v>-7.4334899344538274E-3</v>
      </c>
      <c r="Z139" s="100">
        <f t="shared" si="142"/>
        <v>-6.9509284206718015E-3</v>
      </c>
      <c r="AA139" s="100">
        <f t="shared" si="142"/>
        <v>-6.9236737417034426E-3</v>
      </c>
      <c r="AB139" s="100">
        <f t="shared" si="142"/>
        <v>-7.6288302810115262E-3</v>
      </c>
      <c r="AC139" s="100">
        <f t="shared" si="142"/>
        <v>-7.2089639693965887E-3</v>
      </c>
      <c r="AD139" s="100">
        <f t="shared" si="142"/>
        <v>-7.6618634060749338E-3</v>
      </c>
      <c r="AE139" s="100">
        <f t="shared" si="142"/>
        <v>-8.0794747078124732E-3</v>
      </c>
      <c r="AF139" s="100" t="str">
        <f t="shared" si="142"/>
        <v/>
      </c>
      <c r="AG139" s="100">
        <f t="shared" si="142"/>
        <v>-6.5943039899844123E-3</v>
      </c>
      <c r="AH139" s="100">
        <f t="shared" si="142"/>
        <v>-7.6545711971193198E-3</v>
      </c>
      <c r="AI139" s="100">
        <f t="shared" si="142"/>
        <v>-5.8319121969856915E-3</v>
      </c>
      <c r="AJ139" s="100">
        <f t="shared" si="142"/>
        <v>-6.9856066670722795E-3</v>
      </c>
      <c r="AK139" s="100">
        <f t="shared" si="142"/>
        <v>-6.3713821756194392E-3</v>
      </c>
      <c r="AL139" s="103">
        <f t="shared" ref="AL139:AL150" si="143">AVERAGE(F139:AK139)</f>
        <v>-7.0079987106840035E-3</v>
      </c>
      <c r="AM139" s="103">
        <f t="shared" ref="AM139:AM150" si="144">STDEV(F139:AK139)</f>
        <v>5.5860368485253511E-4</v>
      </c>
      <c r="AN139" s="56">
        <f>ABS(AM139/AL139)</f>
        <v>7.9709444580935651E-2</v>
      </c>
    </row>
    <row r="140" spans="1:40">
      <c r="A140" s="242"/>
      <c r="B140" s="242"/>
      <c r="C140" s="242"/>
      <c r="D140" s="46" t="str">
        <f t="shared" si="82"/>
        <v>seg1</v>
      </c>
      <c r="F140" s="100" t="str">
        <f t="shared" ref="F140:AK140" si="145">IF(AND(F$78,F63&lt;&gt;"",comp38&gt;63),(F68-F67)/($D68-$D67)/F64,"")</f>
        <v/>
      </c>
      <c r="G140" s="100" t="str">
        <f t="shared" si="145"/>
        <v/>
      </c>
      <c r="H140" s="100" t="str">
        <f t="shared" si="145"/>
        <v/>
      </c>
      <c r="I140" s="100" t="str">
        <f t="shared" si="145"/>
        <v/>
      </c>
      <c r="J140" s="100" t="str">
        <f t="shared" si="145"/>
        <v/>
      </c>
      <c r="K140" s="100" t="str">
        <f t="shared" si="145"/>
        <v/>
      </c>
      <c r="L140" s="100" t="str">
        <f t="shared" si="145"/>
        <v/>
      </c>
      <c r="M140" s="100" t="str">
        <f t="shared" si="145"/>
        <v/>
      </c>
      <c r="N140" s="100" t="str">
        <f t="shared" si="145"/>
        <v/>
      </c>
      <c r="O140" s="100" t="str">
        <f t="shared" si="145"/>
        <v/>
      </c>
      <c r="P140" s="100" t="str">
        <f t="shared" si="145"/>
        <v/>
      </c>
      <c r="Q140" s="100" t="str">
        <f t="shared" si="145"/>
        <v/>
      </c>
      <c r="R140" s="100" t="str">
        <f t="shared" si="145"/>
        <v/>
      </c>
      <c r="S140" s="100" t="str">
        <f t="shared" si="145"/>
        <v/>
      </c>
      <c r="T140" s="100" t="str">
        <f t="shared" si="145"/>
        <v/>
      </c>
      <c r="U140" s="100" t="str">
        <f t="shared" si="145"/>
        <v/>
      </c>
      <c r="V140" s="100" t="str">
        <f t="shared" si="145"/>
        <v/>
      </c>
      <c r="W140" s="100" t="str">
        <f t="shared" si="145"/>
        <v/>
      </c>
      <c r="X140" s="100" t="str">
        <f t="shared" si="145"/>
        <v/>
      </c>
      <c r="Y140" s="100" t="str">
        <f t="shared" si="145"/>
        <v/>
      </c>
      <c r="Z140" s="100" t="str">
        <f t="shared" si="145"/>
        <v/>
      </c>
      <c r="AA140" s="100" t="str">
        <f t="shared" si="145"/>
        <v/>
      </c>
      <c r="AB140" s="100" t="str">
        <f t="shared" si="145"/>
        <v/>
      </c>
      <c r="AC140" s="100" t="str">
        <f t="shared" si="145"/>
        <v/>
      </c>
      <c r="AD140" s="100" t="str">
        <f t="shared" si="145"/>
        <v/>
      </c>
      <c r="AE140" s="100" t="str">
        <f t="shared" si="145"/>
        <v/>
      </c>
      <c r="AF140" s="100" t="str">
        <f t="shared" si="145"/>
        <v/>
      </c>
      <c r="AG140" s="100" t="str">
        <f t="shared" si="145"/>
        <v/>
      </c>
      <c r="AH140" s="100" t="str">
        <f t="shared" si="145"/>
        <v/>
      </c>
      <c r="AI140" s="100" t="str">
        <f t="shared" si="145"/>
        <v/>
      </c>
      <c r="AJ140" s="100" t="str">
        <f t="shared" si="145"/>
        <v/>
      </c>
      <c r="AK140" s="100" t="str">
        <f t="shared" si="145"/>
        <v/>
      </c>
      <c r="AL140" s="103" t="e">
        <f t="shared" si="143"/>
        <v>#DIV/0!</v>
      </c>
      <c r="AM140" s="103" t="e">
        <f t="shared" si="144"/>
        <v>#DIV/0!</v>
      </c>
      <c r="AN140" s="56" t="e">
        <f t="shared" ref="AN140:AN150" si="146">ABS(AM140/AL140)</f>
        <v>#DIV/0!</v>
      </c>
    </row>
    <row r="141" spans="1:40">
      <c r="A141" s="242"/>
      <c r="B141" s="242"/>
      <c r="C141" s="242"/>
      <c r="D141" s="46" t="str">
        <f t="shared" si="82"/>
        <v>off</v>
      </c>
      <c r="F141" s="135" t="str">
        <f>IF(AND(F$78,F63&lt;&gt;""),(F67-F64)/F64,"")</f>
        <v/>
      </c>
      <c r="G141" s="154" t="str">
        <f t="shared" ref="G141:AK141" si="147">IF(AND(G$78,G63&lt;&gt;""),(G67-G64)/G64,"")</f>
        <v/>
      </c>
      <c r="H141" s="154">
        <f t="shared" si="147"/>
        <v>-0.99948717948700827</v>
      </c>
      <c r="I141" s="154">
        <f t="shared" si="147"/>
        <v>-0.99869451688140631</v>
      </c>
      <c r="J141" s="154" t="str">
        <f t="shared" si="147"/>
        <v/>
      </c>
      <c r="K141" s="154">
        <f t="shared" si="147"/>
        <v>-0.9363844373083553</v>
      </c>
      <c r="L141" s="154">
        <f t="shared" si="147"/>
        <v>-0.96593001831463743</v>
      </c>
      <c r="M141" s="154" t="str">
        <f t="shared" si="147"/>
        <v/>
      </c>
      <c r="N141" s="154">
        <f t="shared" si="147"/>
        <v>-0.95577395381200581</v>
      </c>
      <c r="O141" s="154">
        <f t="shared" si="147"/>
        <v>-0.92181069789058434</v>
      </c>
      <c r="P141" s="154">
        <f t="shared" si="147"/>
        <v>-0.89743589296343373</v>
      </c>
      <c r="Q141" s="154">
        <f t="shared" si="147"/>
        <v>-0.97190476095522993</v>
      </c>
      <c r="R141" s="154">
        <f t="shared" si="147"/>
        <v>-0.90196078241671074</v>
      </c>
      <c r="S141" s="154">
        <f t="shared" si="147"/>
        <v>-0.88118811717807932</v>
      </c>
      <c r="T141" s="154">
        <f t="shared" si="147"/>
        <v>-0.92246913318603796</v>
      </c>
      <c r="U141" s="154">
        <f t="shared" si="147"/>
        <v>-0.81018518836046571</v>
      </c>
      <c r="V141" s="154">
        <f t="shared" si="147"/>
        <v>-0.96663489035994998</v>
      </c>
      <c r="W141" s="154">
        <f t="shared" si="147"/>
        <v>-0.9753874209684279</v>
      </c>
      <c r="X141" s="154">
        <f t="shared" si="147"/>
        <v>-0.94794378248258571</v>
      </c>
      <c r="Y141" s="154">
        <f t="shared" si="147"/>
        <v>-0.98987676028894223</v>
      </c>
      <c r="Z141" s="154">
        <f t="shared" si="147"/>
        <v>-0.93668300623002476</v>
      </c>
      <c r="AA141" s="154">
        <f t="shared" si="147"/>
        <v>-0.91525423984046772</v>
      </c>
      <c r="AB141" s="154">
        <f t="shared" si="147"/>
        <v>-1</v>
      </c>
      <c r="AC141" s="154">
        <f t="shared" si="147"/>
        <v>-0.96230805173443523</v>
      </c>
      <c r="AD141" s="154">
        <f t="shared" si="147"/>
        <v>-1</v>
      </c>
      <c r="AE141" s="154">
        <f t="shared" si="147"/>
        <v>-1</v>
      </c>
      <c r="AF141" s="154" t="str">
        <f t="shared" si="147"/>
        <v/>
      </c>
      <c r="AG141" s="154">
        <f t="shared" si="147"/>
        <v>-0.87815125627463309</v>
      </c>
      <c r="AH141" s="154">
        <f t="shared" si="147"/>
        <v>-1</v>
      </c>
      <c r="AI141" s="154">
        <f t="shared" si="147"/>
        <v>-0.78930979341604901</v>
      </c>
      <c r="AJ141" s="154">
        <f t="shared" si="147"/>
        <v>-0.90396269994644995</v>
      </c>
      <c r="AK141" s="154">
        <f t="shared" si="147"/>
        <v>-0.87533583583269825</v>
      </c>
      <c r="AL141" s="103">
        <f t="shared" si="143"/>
        <v>-0.93718786726402292</v>
      </c>
      <c r="AM141" s="103">
        <f t="shared" si="144"/>
        <v>5.7169264464610264E-2</v>
      </c>
      <c r="AN141" s="56">
        <f t="shared" si="146"/>
        <v>6.1000858484763804E-2</v>
      </c>
    </row>
    <row r="142" spans="1:40">
      <c r="A142" s="242"/>
      <c r="B142" s="242"/>
      <c r="C142" s="242"/>
      <c r="D142" s="46" t="str">
        <f t="shared" si="82"/>
        <v>ΔIR</v>
      </c>
      <c r="F142" s="100" t="str">
        <f>IF(AND(F$78,F63&lt;&gt;""),AVERAGE(F139:F140),"")</f>
        <v/>
      </c>
      <c r="G142" s="100" t="str">
        <f t="shared" ref="G142:AK142" si="148">IF(AND(G$78,G63&lt;&gt;""),AVERAGE(G139:G140),"")</f>
        <v/>
      </c>
      <c r="H142" s="100">
        <f t="shared" si="148"/>
        <v>-7.5864881931524157E-3</v>
      </c>
      <c r="I142" s="100">
        <f t="shared" si="148"/>
        <v>-7.4944394349886435E-3</v>
      </c>
      <c r="J142" s="100" t="str">
        <f t="shared" si="148"/>
        <v/>
      </c>
      <c r="K142" s="100">
        <f t="shared" si="148"/>
        <v>-7.024808382567989E-3</v>
      </c>
      <c r="L142" s="100">
        <f t="shared" si="148"/>
        <v>-7.169166155305026E-3</v>
      </c>
      <c r="M142" s="100" t="str">
        <f t="shared" si="148"/>
        <v/>
      </c>
      <c r="N142" s="100">
        <f t="shared" si="148"/>
        <v>-7.2618071397942564E-3</v>
      </c>
      <c r="O142" s="100">
        <f t="shared" si="148"/>
        <v>-7.0301785490802663E-3</v>
      </c>
      <c r="P142" s="100">
        <f t="shared" si="148"/>
        <v>-6.6615169441962161E-3</v>
      </c>
      <c r="Q142" s="100">
        <f t="shared" si="148"/>
        <v>-7.2033256091879961E-3</v>
      </c>
      <c r="R142" s="100">
        <f t="shared" si="148"/>
        <v>-6.7734695795052986E-3</v>
      </c>
      <c r="S142" s="100">
        <f t="shared" si="148"/>
        <v>-6.6085179654815753E-3</v>
      </c>
      <c r="T142" s="100">
        <f t="shared" si="148"/>
        <v>-6.7254551111381282E-3</v>
      </c>
      <c r="U142" s="100">
        <f t="shared" si="148"/>
        <v>-6.0585277446679941E-3</v>
      </c>
      <c r="V142" s="100">
        <f t="shared" si="148"/>
        <v>-7.2631532990574225E-3</v>
      </c>
      <c r="W142" s="100">
        <f t="shared" si="148"/>
        <v>-7.2130342991065946E-3</v>
      </c>
      <c r="X142" s="100">
        <f t="shared" si="148"/>
        <v>-5.8170760933325032E-3</v>
      </c>
      <c r="Y142" s="100">
        <f t="shared" si="148"/>
        <v>-7.4334899344538274E-3</v>
      </c>
      <c r="Z142" s="100">
        <f t="shared" si="148"/>
        <v>-6.9509284206718015E-3</v>
      </c>
      <c r="AA142" s="100">
        <f t="shared" si="148"/>
        <v>-6.9236737417034426E-3</v>
      </c>
      <c r="AB142" s="100">
        <f t="shared" si="148"/>
        <v>-7.6288302810115262E-3</v>
      </c>
      <c r="AC142" s="100">
        <f t="shared" si="148"/>
        <v>-7.2089639693965887E-3</v>
      </c>
      <c r="AD142" s="100">
        <f t="shared" si="148"/>
        <v>-7.6618634060749338E-3</v>
      </c>
      <c r="AE142" s="100">
        <f t="shared" si="148"/>
        <v>-8.0794747078124732E-3</v>
      </c>
      <c r="AF142" s="100" t="str">
        <f t="shared" si="148"/>
        <v/>
      </c>
      <c r="AG142" s="100">
        <f t="shared" si="148"/>
        <v>-6.5943039899844123E-3</v>
      </c>
      <c r="AH142" s="100">
        <f t="shared" si="148"/>
        <v>-7.6545711971193198E-3</v>
      </c>
      <c r="AI142" s="100">
        <f t="shared" si="148"/>
        <v>-5.8319121969856915E-3</v>
      </c>
      <c r="AJ142" s="100">
        <f t="shared" si="148"/>
        <v>-6.9856066670722795E-3</v>
      </c>
      <c r="AK142" s="100">
        <f t="shared" si="148"/>
        <v>-6.3713821756194392E-3</v>
      </c>
      <c r="AL142" s="103">
        <f t="shared" si="143"/>
        <v>-7.0079987106840035E-3</v>
      </c>
      <c r="AM142" s="103">
        <f t="shared" si="144"/>
        <v>5.5860368485253511E-4</v>
      </c>
      <c r="AN142" s="56">
        <f t="shared" si="146"/>
        <v>7.9709444580935651E-2</v>
      </c>
    </row>
    <row r="143" spans="1:40">
      <c r="A143" s="242"/>
      <c r="B143" s="242"/>
      <c r="C143" s="242"/>
      <c r="D143" s="46" t="str">
        <f t="shared" si="82"/>
        <v>code</v>
      </c>
      <c r="F143" s="112" t="str">
        <f>IF(AND(F$78,F63&lt;&gt;""),F141/F142,"")</f>
        <v/>
      </c>
      <c r="G143" s="112" t="str">
        <f t="shared" ref="G143:AK143" si="149">IF(AND(G$78,G63&lt;&gt;""),G141/G142,"")</f>
        <v/>
      </c>
      <c r="H143" s="112">
        <f t="shared" si="149"/>
        <v>131.74569761924207</v>
      </c>
      <c r="I143" s="112">
        <f t="shared" si="149"/>
        <v>133.25806760394744</v>
      </c>
      <c r="J143" s="112" t="str">
        <f t="shared" si="149"/>
        <v/>
      </c>
      <c r="K143" s="112">
        <f t="shared" si="149"/>
        <v>133.2967942060863</v>
      </c>
      <c r="L143" s="112">
        <f t="shared" si="149"/>
        <v>134.73394218933961</v>
      </c>
      <c r="M143" s="112" t="str">
        <f t="shared" si="149"/>
        <v/>
      </c>
      <c r="N143" s="112">
        <f t="shared" si="149"/>
        <v>131.616543294633</v>
      </c>
      <c r="O143" s="112">
        <f t="shared" si="149"/>
        <v>131.1219468261132</v>
      </c>
      <c r="P143" s="112">
        <f t="shared" si="149"/>
        <v>134.71944911065884</v>
      </c>
      <c r="Q143" s="112">
        <f t="shared" si="149"/>
        <v>134.92445207746053</v>
      </c>
      <c r="R143" s="112">
        <f t="shared" si="149"/>
        <v>133.1608227998546</v>
      </c>
      <c r="S143" s="112">
        <f t="shared" si="149"/>
        <v>133.34126074572387</v>
      </c>
      <c r="T143" s="112">
        <f t="shared" si="149"/>
        <v>137.16084903433864</v>
      </c>
      <c r="U143" s="112">
        <f t="shared" si="149"/>
        <v>133.72641382611405</v>
      </c>
      <c r="V143" s="112">
        <f t="shared" si="149"/>
        <v>133.08749665044181</v>
      </c>
      <c r="W143" s="112">
        <f t="shared" si="149"/>
        <v>135.2256734851849</v>
      </c>
      <c r="X143" s="112">
        <f t="shared" si="149"/>
        <v>162.95880735841035</v>
      </c>
      <c r="Y143" s="112">
        <f t="shared" si="149"/>
        <v>133.16447173768495</v>
      </c>
      <c r="Z143" s="112">
        <f t="shared" si="149"/>
        <v>134.75653172378591</v>
      </c>
      <c r="AA143" s="112">
        <f t="shared" si="149"/>
        <v>132.19199430608731</v>
      </c>
      <c r="AB143" s="112">
        <f t="shared" si="149"/>
        <v>131.08169446226131</v>
      </c>
      <c r="AC143" s="112">
        <f t="shared" si="149"/>
        <v>133.48770444957339</v>
      </c>
      <c r="AD143" s="112">
        <f t="shared" si="149"/>
        <v>130.51655282801318</v>
      </c>
      <c r="AE143" s="112">
        <f t="shared" si="149"/>
        <v>123.77042272724078</v>
      </c>
      <c r="AF143" s="112" t="str">
        <f t="shared" si="149"/>
        <v/>
      </c>
      <c r="AG143" s="112">
        <f t="shared" si="149"/>
        <v>133.16814899773962</v>
      </c>
      <c r="AH143" s="112">
        <f t="shared" si="149"/>
        <v>130.64089081519481</v>
      </c>
      <c r="AI143" s="112">
        <f t="shared" si="149"/>
        <v>135.34322307253103</v>
      </c>
      <c r="AJ143" s="112">
        <f t="shared" si="149"/>
        <v>129.4036070206208</v>
      </c>
      <c r="AK143" s="112">
        <f t="shared" si="149"/>
        <v>137.38554864629452</v>
      </c>
      <c r="AL143" s="52">
        <f t="shared" si="143"/>
        <v>134.03662991165098</v>
      </c>
      <c r="AM143" s="58">
        <f t="shared" si="144"/>
        <v>6.3566516995470028</v>
      </c>
      <c r="AN143" s="56">
        <f t="shared" si="146"/>
        <v>4.7424735340905931E-2</v>
      </c>
    </row>
    <row r="144" spans="1:40">
      <c r="A144" s="242"/>
      <c r="B144" s="242" t="str">
        <f>B132</f>
        <v>HI</v>
      </c>
      <c r="C144" s="242"/>
      <c r="D144" s="46" t="str">
        <f t="shared" si="82"/>
        <v>seg0</v>
      </c>
      <c r="F144" s="100" t="str">
        <f>IF(AND(F$78,F63&lt;&gt;""),(F72-F70)/$D72/F70,"")</f>
        <v/>
      </c>
      <c r="G144" s="100" t="str">
        <f t="shared" ref="G144:AK144" si="150">IF(AND(G$78,G63&lt;&gt;""),(G72-G70)/$D72/G70,"")</f>
        <v/>
      </c>
      <c r="H144" s="100">
        <f t="shared" si="150"/>
        <v>-7.6272936680597536E-3</v>
      </c>
      <c r="I144" s="100">
        <f t="shared" si="150"/>
        <v>-7.3953823953823951E-3</v>
      </c>
      <c r="J144" s="100" t="str">
        <f t="shared" si="150"/>
        <v/>
      </c>
      <c r="K144" s="100">
        <f t="shared" si="150"/>
        <v>-6.9916855631141344E-3</v>
      </c>
      <c r="L144" s="100">
        <f t="shared" si="150"/>
        <v>-7.2671642097777815E-3</v>
      </c>
      <c r="M144" s="100" t="str">
        <f t="shared" si="150"/>
        <v/>
      </c>
      <c r="N144" s="100">
        <f t="shared" si="150"/>
        <v>-7.1806500377928949E-3</v>
      </c>
      <c r="O144" s="100">
        <f t="shared" si="150"/>
        <v>-7.0546740532512354E-3</v>
      </c>
      <c r="P144" s="100">
        <f t="shared" si="150"/>
        <v>-6.5965783924402388E-3</v>
      </c>
      <c r="Q144" s="100">
        <f t="shared" si="150"/>
        <v>-7.1010860484544691E-3</v>
      </c>
      <c r="R144" s="100">
        <f t="shared" si="150"/>
        <v>-6.7405961630932973E-3</v>
      </c>
      <c r="S144" s="100">
        <f t="shared" si="150"/>
        <v>-6.5476190476190478E-3</v>
      </c>
      <c r="T144" s="100">
        <f t="shared" si="150"/>
        <v>-6.8314249018727293E-3</v>
      </c>
      <c r="U144" s="100">
        <f t="shared" si="150"/>
        <v>-6.006006006006006E-3</v>
      </c>
      <c r="V144" s="100">
        <f t="shared" si="150"/>
        <v>-7.2332733894790906E-3</v>
      </c>
      <c r="W144" s="100">
        <f t="shared" si="150"/>
        <v>-7.2979386329168339E-3</v>
      </c>
      <c r="X144" s="100">
        <f t="shared" si="150"/>
        <v>-7.1225071225071226E-3</v>
      </c>
      <c r="Y144" s="100">
        <f t="shared" si="150"/>
        <v>-7.3753404815482702E-3</v>
      </c>
      <c r="Z144" s="100">
        <f t="shared" si="150"/>
        <v>-6.97715013232707E-3</v>
      </c>
      <c r="AA144" s="100">
        <f t="shared" si="150"/>
        <v>-6.8027214475641423E-3</v>
      </c>
      <c r="AB144" s="100">
        <f t="shared" si="150"/>
        <v>-7.5295075295075294E-3</v>
      </c>
      <c r="AC144" s="100">
        <f t="shared" si="150"/>
        <v>-7.1622144792876496E-3</v>
      </c>
      <c r="AD144" s="100">
        <f t="shared" si="150"/>
        <v>-7.6628355367508363E-3</v>
      </c>
      <c r="AE144" s="100">
        <f t="shared" si="150"/>
        <v>-8.1128747795414461E-3</v>
      </c>
      <c r="AF144" s="100" t="str">
        <f t="shared" si="150"/>
        <v/>
      </c>
      <c r="AG144" s="100">
        <f t="shared" si="150"/>
        <v>-6.6495066495066493E-3</v>
      </c>
      <c r="AH144" s="100">
        <f t="shared" si="150"/>
        <v>-7.6804918200273232E-3</v>
      </c>
      <c r="AI144" s="100">
        <f t="shared" si="150"/>
        <v>-5.8708419050054325E-3</v>
      </c>
      <c r="AJ144" s="100">
        <f t="shared" si="150"/>
        <v>-6.9916855631141344E-3</v>
      </c>
      <c r="AK144" s="100">
        <f t="shared" si="150"/>
        <v>-6.3057190340493645E-3</v>
      </c>
      <c r="AL144" s="103">
        <f t="shared" si="143"/>
        <v>-7.0412877403702549E-3</v>
      </c>
      <c r="AM144" s="103">
        <f t="shared" si="144"/>
        <v>5.0908174917616456E-4</v>
      </c>
      <c r="AN144" s="56">
        <f t="shared" si="146"/>
        <v>7.2299523602396526E-2</v>
      </c>
    </row>
    <row r="145" spans="1:45">
      <c r="A145" s="242"/>
      <c r="B145" s="242"/>
      <c r="C145" s="242"/>
      <c r="D145" s="46" t="str">
        <f t="shared" si="82"/>
        <v>seg1</v>
      </c>
      <c r="F145" s="100" t="str">
        <f t="shared" ref="F145:AK145" si="151">IF(AND(F$78,F63&lt;&gt;"",comp38&gt;63),(F74-F73)/($D74-$D73)/F70,"")</f>
        <v/>
      </c>
      <c r="G145" s="100" t="str">
        <f t="shared" si="151"/>
        <v/>
      </c>
      <c r="H145" s="100" t="str">
        <f t="shared" si="151"/>
        <v/>
      </c>
      <c r="I145" s="100" t="str">
        <f t="shared" si="151"/>
        <v/>
      </c>
      <c r="J145" s="100" t="str">
        <f t="shared" si="151"/>
        <v/>
      </c>
      <c r="K145" s="100" t="str">
        <f t="shared" si="151"/>
        <v/>
      </c>
      <c r="L145" s="100" t="str">
        <f t="shared" si="151"/>
        <v/>
      </c>
      <c r="M145" s="100" t="str">
        <f t="shared" si="151"/>
        <v/>
      </c>
      <c r="N145" s="100" t="str">
        <f t="shared" si="151"/>
        <v/>
      </c>
      <c r="O145" s="100" t="str">
        <f t="shared" si="151"/>
        <v/>
      </c>
      <c r="P145" s="100" t="str">
        <f t="shared" si="151"/>
        <v/>
      </c>
      <c r="Q145" s="100" t="str">
        <f t="shared" si="151"/>
        <v/>
      </c>
      <c r="R145" s="100" t="str">
        <f t="shared" si="151"/>
        <v/>
      </c>
      <c r="S145" s="100" t="str">
        <f t="shared" si="151"/>
        <v/>
      </c>
      <c r="T145" s="100" t="str">
        <f t="shared" si="151"/>
        <v/>
      </c>
      <c r="U145" s="100" t="str">
        <f t="shared" si="151"/>
        <v/>
      </c>
      <c r="V145" s="100" t="str">
        <f t="shared" si="151"/>
        <v/>
      </c>
      <c r="W145" s="100" t="str">
        <f t="shared" si="151"/>
        <v/>
      </c>
      <c r="X145" s="100" t="str">
        <f t="shared" si="151"/>
        <v/>
      </c>
      <c r="Y145" s="100" t="str">
        <f t="shared" si="151"/>
        <v/>
      </c>
      <c r="Z145" s="100" t="str">
        <f t="shared" si="151"/>
        <v/>
      </c>
      <c r="AA145" s="100" t="str">
        <f t="shared" si="151"/>
        <v/>
      </c>
      <c r="AB145" s="100" t="str">
        <f t="shared" si="151"/>
        <v/>
      </c>
      <c r="AC145" s="100" t="str">
        <f t="shared" si="151"/>
        <v/>
      </c>
      <c r="AD145" s="100" t="str">
        <f t="shared" si="151"/>
        <v/>
      </c>
      <c r="AE145" s="100" t="str">
        <f t="shared" si="151"/>
        <v/>
      </c>
      <c r="AF145" s="100" t="str">
        <f t="shared" si="151"/>
        <v/>
      </c>
      <c r="AG145" s="100" t="str">
        <f t="shared" si="151"/>
        <v/>
      </c>
      <c r="AH145" s="100" t="str">
        <f t="shared" si="151"/>
        <v/>
      </c>
      <c r="AI145" s="100" t="str">
        <f t="shared" si="151"/>
        <v/>
      </c>
      <c r="AJ145" s="100" t="str">
        <f t="shared" si="151"/>
        <v/>
      </c>
      <c r="AK145" s="100" t="str">
        <f t="shared" si="151"/>
        <v/>
      </c>
      <c r="AL145" s="103" t="e">
        <f t="shared" si="143"/>
        <v>#DIV/0!</v>
      </c>
      <c r="AM145" s="103" t="e">
        <f t="shared" si="144"/>
        <v>#DIV/0!</v>
      </c>
      <c r="AN145" s="56" t="e">
        <f t="shared" si="146"/>
        <v>#DIV/0!</v>
      </c>
    </row>
    <row r="146" spans="1:45">
      <c r="A146" s="242"/>
      <c r="B146" s="242"/>
      <c r="C146" s="242"/>
      <c r="D146" s="46" t="str">
        <f t="shared" si="82"/>
        <v>off</v>
      </c>
      <c r="F146" s="135" t="str">
        <f>IF(AND(F$78,F63&lt;&gt;""),(F73-F70)/F70,"")</f>
        <v/>
      </c>
      <c r="G146" s="154" t="str">
        <f t="shared" ref="G146:AK146" si="152">IF(AND(G$78,G63&lt;&gt;""),(G73-G70)/G70,"")</f>
        <v/>
      </c>
      <c r="H146" s="154">
        <f t="shared" si="152"/>
        <v>-1</v>
      </c>
      <c r="I146" s="154">
        <f t="shared" si="152"/>
        <v>-0.98863636363636365</v>
      </c>
      <c r="J146" s="154" t="str">
        <f t="shared" si="152"/>
        <v/>
      </c>
      <c r="K146" s="154">
        <f t="shared" si="152"/>
        <v>-0.9285714285714286</v>
      </c>
      <c r="L146" s="154">
        <f t="shared" si="152"/>
        <v>-0.96385542301439997</v>
      </c>
      <c r="M146" s="154" t="str">
        <f t="shared" si="152"/>
        <v/>
      </c>
      <c r="N146" s="154">
        <f t="shared" si="152"/>
        <v>-0.95238095238095233</v>
      </c>
      <c r="O146" s="154">
        <f t="shared" si="152"/>
        <v>-0.91358025016630651</v>
      </c>
      <c r="P146" s="154">
        <f t="shared" si="152"/>
        <v>-0.88311688774474706</v>
      </c>
      <c r="Q146" s="154">
        <f t="shared" si="152"/>
        <v>-0.96052631578947367</v>
      </c>
      <c r="R146" s="154">
        <f t="shared" si="152"/>
        <v>-0.89041096348092907</v>
      </c>
      <c r="S146" s="154">
        <f t="shared" si="152"/>
        <v>-0.875</v>
      </c>
      <c r="T146" s="154">
        <f t="shared" si="152"/>
        <v>-0.91139240848279723</v>
      </c>
      <c r="U146" s="154">
        <f t="shared" si="152"/>
        <v>-0.81081081081081086</v>
      </c>
      <c r="V146" s="154">
        <f t="shared" si="152"/>
        <v>-0.96202531792119883</v>
      </c>
      <c r="W146" s="154">
        <f t="shared" si="152"/>
        <v>-0.9655172425876869</v>
      </c>
      <c r="X146" s="154">
        <f t="shared" si="152"/>
        <v>-0.94871794871794868</v>
      </c>
      <c r="Y146" s="154">
        <f t="shared" si="152"/>
        <v>-0.98989899021005345</v>
      </c>
      <c r="Z146" s="154">
        <f t="shared" si="152"/>
        <v>-0.93406593627489476</v>
      </c>
      <c r="AA146" s="154">
        <f t="shared" si="152"/>
        <v>-0.9090909126903588</v>
      </c>
      <c r="AB146" s="154">
        <f t="shared" si="152"/>
        <v>-1</v>
      </c>
      <c r="AC146" s="154">
        <f t="shared" si="152"/>
        <v>-0.95121951219512191</v>
      </c>
      <c r="AD146" s="154">
        <f t="shared" si="152"/>
        <v>-1</v>
      </c>
      <c r="AE146" s="154">
        <f t="shared" si="152"/>
        <v>-0.98888888888888893</v>
      </c>
      <c r="AF146" s="154" t="str">
        <f t="shared" si="152"/>
        <v/>
      </c>
      <c r="AG146" s="154">
        <f t="shared" si="152"/>
        <v>-0.8783783783783784</v>
      </c>
      <c r="AH146" s="154">
        <f t="shared" si="152"/>
        <v>-1</v>
      </c>
      <c r="AI146" s="154">
        <f t="shared" si="152"/>
        <v>-0.78082192696185815</v>
      </c>
      <c r="AJ146" s="154">
        <f t="shared" si="152"/>
        <v>-0.8928571428571429</v>
      </c>
      <c r="AK146" s="154">
        <f t="shared" si="152"/>
        <v>-0.86301370435116131</v>
      </c>
      <c r="AL146" s="103">
        <f t="shared" si="143"/>
        <v>-0.93121398911529263</v>
      </c>
      <c r="AM146" s="103">
        <f t="shared" si="144"/>
        <v>5.836705409728523E-2</v>
      </c>
      <c r="AN146" s="56">
        <f t="shared" si="146"/>
        <v>6.2678454984055082E-2</v>
      </c>
    </row>
    <row r="147" spans="1:45">
      <c r="A147" s="242"/>
      <c r="B147" s="242"/>
      <c r="C147" s="242"/>
      <c r="D147" s="46" t="str">
        <f t="shared" si="82"/>
        <v>ΔIR</v>
      </c>
      <c r="F147" s="100" t="str">
        <f>IF(AND(F$78,F63&lt;&gt;""),AVERAGE(F144:F145),"")</f>
        <v/>
      </c>
      <c r="G147" s="100" t="str">
        <f t="shared" ref="G147:AK147" si="153">IF(AND(G$78,G63&lt;&gt;""),AVERAGE(G144:G145),"")</f>
        <v/>
      </c>
      <c r="H147" s="100">
        <f t="shared" si="153"/>
        <v>-7.6272936680597536E-3</v>
      </c>
      <c r="I147" s="100">
        <f t="shared" si="153"/>
        <v>-7.3953823953823951E-3</v>
      </c>
      <c r="J147" s="100" t="str">
        <f t="shared" si="153"/>
        <v/>
      </c>
      <c r="K147" s="100">
        <f t="shared" si="153"/>
        <v>-6.9916855631141344E-3</v>
      </c>
      <c r="L147" s="100">
        <f t="shared" si="153"/>
        <v>-7.2671642097777815E-3</v>
      </c>
      <c r="M147" s="100" t="str">
        <f t="shared" si="153"/>
        <v/>
      </c>
      <c r="N147" s="100">
        <f t="shared" si="153"/>
        <v>-7.1806500377928949E-3</v>
      </c>
      <c r="O147" s="100">
        <f t="shared" si="153"/>
        <v>-7.0546740532512354E-3</v>
      </c>
      <c r="P147" s="100">
        <f t="shared" si="153"/>
        <v>-6.5965783924402388E-3</v>
      </c>
      <c r="Q147" s="100">
        <f t="shared" si="153"/>
        <v>-7.1010860484544691E-3</v>
      </c>
      <c r="R147" s="100">
        <f t="shared" si="153"/>
        <v>-6.7405961630932973E-3</v>
      </c>
      <c r="S147" s="100">
        <f t="shared" si="153"/>
        <v>-6.5476190476190478E-3</v>
      </c>
      <c r="T147" s="100">
        <f t="shared" si="153"/>
        <v>-6.8314249018727293E-3</v>
      </c>
      <c r="U147" s="100">
        <f t="shared" si="153"/>
        <v>-6.006006006006006E-3</v>
      </c>
      <c r="V147" s="100">
        <f t="shared" si="153"/>
        <v>-7.2332733894790906E-3</v>
      </c>
      <c r="W147" s="100">
        <f t="shared" si="153"/>
        <v>-7.2979386329168339E-3</v>
      </c>
      <c r="X147" s="100">
        <f t="shared" si="153"/>
        <v>-7.1225071225071226E-3</v>
      </c>
      <c r="Y147" s="100">
        <f t="shared" si="153"/>
        <v>-7.3753404815482702E-3</v>
      </c>
      <c r="Z147" s="100">
        <f t="shared" si="153"/>
        <v>-6.97715013232707E-3</v>
      </c>
      <c r="AA147" s="100">
        <f t="shared" si="153"/>
        <v>-6.8027214475641423E-3</v>
      </c>
      <c r="AB147" s="100">
        <f t="shared" si="153"/>
        <v>-7.5295075295075294E-3</v>
      </c>
      <c r="AC147" s="100">
        <f t="shared" si="153"/>
        <v>-7.1622144792876496E-3</v>
      </c>
      <c r="AD147" s="100">
        <f t="shared" si="153"/>
        <v>-7.6628355367508363E-3</v>
      </c>
      <c r="AE147" s="100">
        <f t="shared" si="153"/>
        <v>-8.1128747795414461E-3</v>
      </c>
      <c r="AF147" s="100" t="str">
        <f t="shared" si="153"/>
        <v/>
      </c>
      <c r="AG147" s="100">
        <f t="shared" si="153"/>
        <v>-6.6495066495066493E-3</v>
      </c>
      <c r="AH147" s="100">
        <f t="shared" si="153"/>
        <v>-7.6804918200273232E-3</v>
      </c>
      <c r="AI147" s="100">
        <f t="shared" si="153"/>
        <v>-5.8708419050054325E-3</v>
      </c>
      <c r="AJ147" s="100">
        <f t="shared" si="153"/>
        <v>-6.9916855631141344E-3</v>
      </c>
      <c r="AK147" s="100">
        <f t="shared" si="153"/>
        <v>-6.3057190340493645E-3</v>
      </c>
      <c r="AL147" s="103">
        <f t="shared" si="143"/>
        <v>-7.0412877403702549E-3</v>
      </c>
      <c r="AM147" s="103">
        <f t="shared" si="144"/>
        <v>5.0908174917616456E-4</v>
      </c>
      <c r="AN147" s="56">
        <f t="shared" si="146"/>
        <v>7.2299523602396526E-2</v>
      </c>
    </row>
    <row r="148" spans="1:45">
      <c r="A148" s="242"/>
      <c r="B148" s="242"/>
      <c r="C148" s="242"/>
      <c r="D148" s="46" t="str">
        <f t="shared" si="82"/>
        <v>code</v>
      </c>
      <c r="F148" s="112" t="str">
        <f>IF(AND(F$78,F63&lt;&gt;""),F146/F147,"")</f>
        <v/>
      </c>
      <c r="G148" s="112" t="str">
        <f t="shared" ref="G148:AK148" si="154">IF(AND(G$78,G63&lt;&gt;""),G146/G147,"")</f>
        <v/>
      </c>
      <c r="H148" s="112">
        <f t="shared" si="154"/>
        <v>131.10810249612194</v>
      </c>
      <c r="I148" s="112">
        <f t="shared" si="154"/>
        <v>133.6829268292683</v>
      </c>
      <c r="J148" s="112" t="str">
        <f t="shared" si="154"/>
        <v/>
      </c>
      <c r="K148" s="112">
        <f t="shared" si="154"/>
        <v>132.81081081081081</v>
      </c>
      <c r="L148" s="112">
        <f t="shared" si="154"/>
        <v>132.63157336083825</v>
      </c>
      <c r="M148" s="112" t="str">
        <f t="shared" si="154"/>
        <v/>
      </c>
      <c r="N148" s="112">
        <f t="shared" si="154"/>
        <v>132.63157894736841</v>
      </c>
      <c r="O148" s="112">
        <f t="shared" si="154"/>
        <v>129.49999436831126</v>
      </c>
      <c r="P148" s="112">
        <f t="shared" si="154"/>
        <v>133.87499324753119</v>
      </c>
      <c r="Q148" s="112">
        <f t="shared" si="154"/>
        <v>135.26470588235296</v>
      </c>
      <c r="R148" s="112">
        <f t="shared" si="154"/>
        <v>132.09676739813983</v>
      </c>
      <c r="S148" s="112">
        <f t="shared" si="154"/>
        <v>133.63636363636363</v>
      </c>
      <c r="T148" s="112">
        <f t="shared" si="154"/>
        <v>133.41175839215521</v>
      </c>
      <c r="U148" s="112">
        <f t="shared" si="154"/>
        <v>135</v>
      </c>
      <c r="V148" s="112">
        <f t="shared" si="154"/>
        <v>132.9999940719066</v>
      </c>
      <c r="W148" s="112">
        <f t="shared" si="154"/>
        <v>132.29999471806875</v>
      </c>
      <c r="X148" s="112">
        <f t="shared" si="154"/>
        <v>133.19999999999999</v>
      </c>
      <c r="Y148" s="112">
        <f t="shared" si="154"/>
        <v>134.21739547978788</v>
      </c>
      <c r="Z148" s="112">
        <f t="shared" si="154"/>
        <v>133.87499459802484</v>
      </c>
      <c r="AA148" s="112">
        <f t="shared" si="154"/>
        <v>133.63635711056168</v>
      </c>
      <c r="AB148" s="112">
        <f t="shared" si="154"/>
        <v>132.81081081081081</v>
      </c>
      <c r="AC148" s="112">
        <f t="shared" si="154"/>
        <v>132.81081081081081</v>
      </c>
      <c r="AD148" s="112">
        <f t="shared" si="154"/>
        <v>130.49999510024927</v>
      </c>
      <c r="AE148" s="112">
        <f t="shared" si="154"/>
        <v>121.89130434782609</v>
      </c>
      <c r="AF148" s="112" t="str">
        <f t="shared" si="154"/>
        <v/>
      </c>
      <c r="AG148" s="112">
        <f t="shared" si="154"/>
        <v>132.09677419354838</v>
      </c>
      <c r="AH148" s="112">
        <f t="shared" si="154"/>
        <v>130.19999544722418</v>
      </c>
      <c r="AI148" s="112">
        <f t="shared" si="154"/>
        <v>132.99999209587565</v>
      </c>
      <c r="AJ148" s="112">
        <f t="shared" si="154"/>
        <v>127.70270270270271</v>
      </c>
      <c r="AK148" s="112">
        <f t="shared" si="154"/>
        <v>136.86206120049039</v>
      </c>
      <c r="AL148" s="52">
        <f t="shared" si="143"/>
        <v>132.36121326137592</v>
      </c>
      <c r="AM148" s="58">
        <f t="shared" si="144"/>
        <v>2.7832643411046578</v>
      </c>
      <c r="AN148" s="56">
        <f t="shared" si="146"/>
        <v>2.1027794113737071E-2</v>
      </c>
    </row>
    <row r="149" spans="1:45">
      <c r="A149" s="242"/>
      <c r="B149" s="242" t="str">
        <f>B137</f>
        <v>Combined</v>
      </c>
      <c r="C149" s="242"/>
      <c r="D149" s="46" t="str">
        <f t="shared" si="82"/>
        <v>ΔIR</v>
      </c>
      <c r="F149" s="100" t="str">
        <f>IF(AND(F$78,F63&lt;&gt;""),(F142+F147)/2,"")</f>
        <v/>
      </c>
      <c r="G149" s="100" t="str">
        <f t="shared" ref="G149:AK149" si="155">IF(AND(G$78,G63&lt;&gt;""),(G142+G147)/2,"")</f>
        <v/>
      </c>
      <c r="H149" s="100">
        <f t="shared" si="155"/>
        <v>-7.6068909306060851E-3</v>
      </c>
      <c r="I149" s="100">
        <f t="shared" si="155"/>
        <v>-7.4449109151855193E-3</v>
      </c>
      <c r="J149" s="100" t="str">
        <f t="shared" si="155"/>
        <v/>
      </c>
      <c r="K149" s="100">
        <f t="shared" si="155"/>
        <v>-7.0082469728410621E-3</v>
      </c>
      <c r="L149" s="100">
        <f t="shared" si="155"/>
        <v>-7.2181651825414042E-3</v>
      </c>
      <c r="M149" s="100" t="str">
        <f t="shared" si="155"/>
        <v/>
      </c>
      <c r="N149" s="100">
        <f t="shared" si="155"/>
        <v>-7.2212285887935761E-3</v>
      </c>
      <c r="O149" s="100">
        <f t="shared" si="155"/>
        <v>-7.0424263011657513E-3</v>
      </c>
      <c r="P149" s="100">
        <f t="shared" si="155"/>
        <v>-6.6290476683182279E-3</v>
      </c>
      <c r="Q149" s="100">
        <f t="shared" si="155"/>
        <v>-7.1522058288212322E-3</v>
      </c>
      <c r="R149" s="100">
        <f t="shared" si="155"/>
        <v>-6.757032871299298E-3</v>
      </c>
      <c r="S149" s="100">
        <f t="shared" si="155"/>
        <v>-6.5780685065503115E-3</v>
      </c>
      <c r="T149" s="100">
        <f t="shared" si="155"/>
        <v>-6.7784400065054283E-3</v>
      </c>
      <c r="U149" s="100">
        <f t="shared" si="155"/>
        <v>-6.0322668753370005E-3</v>
      </c>
      <c r="V149" s="100">
        <f t="shared" si="155"/>
        <v>-7.2482133442682561E-3</v>
      </c>
      <c r="W149" s="100">
        <f t="shared" si="155"/>
        <v>-7.2554864660117138E-3</v>
      </c>
      <c r="X149" s="100">
        <f t="shared" si="155"/>
        <v>-6.4697916079198125E-3</v>
      </c>
      <c r="Y149" s="100">
        <f t="shared" si="155"/>
        <v>-7.4044152080010488E-3</v>
      </c>
      <c r="Z149" s="100">
        <f t="shared" si="155"/>
        <v>-6.9640392764994362E-3</v>
      </c>
      <c r="AA149" s="100">
        <f t="shared" si="155"/>
        <v>-6.8631975946337924E-3</v>
      </c>
      <c r="AB149" s="100">
        <f t="shared" si="155"/>
        <v>-7.5791689052595278E-3</v>
      </c>
      <c r="AC149" s="100">
        <f t="shared" si="155"/>
        <v>-7.1855892243421187E-3</v>
      </c>
      <c r="AD149" s="100">
        <f t="shared" si="155"/>
        <v>-7.662349471412885E-3</v>
      </c>
      <c r="AE149" s="100">
        <f t="shared" si="155"/>
        <v>-8.0961747436769597E-3</v>
      </c>
      <c r="AF149" s="100" t="str">
        <f t="shared" si="155"/>
        <v/>
      </c>
      <c r="AG149" s="100">
        <f t="shared" si="155"/>
        <v>-6.6219053197455312E-3</v>
      </c>
      <c r="AH149" s="100">
        <f t="shared" si="155"/>
        <v>-7.6675315085733215E-3</v>
      </c>
      <c r="AI149" s="100">
        <f t="shared" si="155"/>
        <v>-5.8513770509955616E-3</v>
      </c>
      <c r="AJ149" s="100">
        <f t="shared" si="155"/>
        <v>-6.9886461150932069E-3</v>
      </c>
      <c r="AK149" s="100">
        <f t="shared" si="155"/>
        <v>-6.3385506048344014E-3</v>
      </c>
      <c r="AL149" s="103">
        <f t="shared" si="143"/>
        <v>-7.0246432255271288E-3</v>
      </c>
      <c r="AM149" s="103">
        <f t="shared" si="144"/>
        <v>5.1809495330484953E-4</v>
      </c>
      <c r="AN149" s="56">
        <f t="shared" si="146"/>
        <v>7.3753916985011256E-2</v>
      </c>
    </row>
    <row r="150" spans="1:45">
      <c r="A150" s="242"/>
      <c r="B150" s="242"/>
      <c r="C150" s="242"/>
      <c r="D150" s="46" t="str">
        <f t="shared" si="82"/>
        <v>code</v>
      </c>
      <c r="F150" s="112" t="str">
        <f>IF(AND(F$78,F63&lt;&gt;""),(F143+F148)/2,"")</f>
        <v/>
      </c>
      <c r="G150" s="112" t="str">
        <f t="shared" ref="G150:AK150" si="156">IF(AND(G$78,G63&lt;&gt;""),(G143+G148)/2,"")</f>
        <v/>
      </c>
      <c r="H150" s="112">
        <f t="shared" si="156"/>
        <v>131.42690005768202</v>
      </c>
      <c r="I150" s="112">
        <f t="shared" si="156"/>
        <v>133.47049721660787</v>
      </c>
      <c r="J150" s="112" t="str">
        <f t="shared" si="156"/>
        <v/>
      </c>
      <c r="K150" s="112">
        <f t="shared" si="156"/>
        <v>133.05380250844854</v>
      </c>
      <c r="L150" s="112">
        <f t="shared" si="156"/>
        <v>133.68275777508893</v>
      </c>
      <c r="M150" s="112" t="str">
        <f t="shared" si="156"/>
        <v/>
      </c>
      <c r="N150" s="112">
        <f t="shared" si="156"/>
        <v>132.12406112100069</v>
      </c>
      <c r="O150" s="112">
        <f t="shared" si="156"/>
        <v>130.31097059721225</v>
      </c>
      <c r="P150" s="112">
        <f t="shared" si="156"/>
        <v>134.297221179095</v>
      </c>
      <c r="Q150" s="112">
        <f t="shared" si="156"/>
        <v>135.09457897990674</v>
      </c>
      <c r="R150" s="112">
        <f t="shared" si="156"/>
        <v>132.62879509899722</v>
      </c>
      <c r="S150" s="112">
        <f t="shared" si="156"/>
        <v>133.48881219104373</v>
      </c>
      <c r="T150" s="112">
        <f t="shared" si="156"/>
        <v>135.28630371324692</v>
      </c>
      <c r="U150" s="112">
        <f t="shared" si="156"/>
        <v>134.36320691305701</v>
      </c>
      <c r="V150" s="112">
        <f t="shared" si="156"/>
        <v>133.04374536117422</v>
      </c>
      <c r="W150" s="112">
        <f t="shared" si="156"/>
        <v>133.76283410162682</v>
      </c>
      <c r="X150" s="112">
        <f t="shared" si="156"/>
        <v>148.07940367920517</v>
      </c>
      <c r="Y150" s="112">
        <f t="shared" si="156"/>
        <v>133.69093360873643</v>
      </c>
      <c r="Z150" s="112">
        <f t="shared" si="156"/>
        <v>134.31576316090536</v>
      </c>
      <c r="AA150" s="112">
        <f t="shared" si="156"/>
        <v>132.91417570832448</v>
      </c>
      <c r="AB150" s="112">
        <f t="shared" si="156"/>
        <v>131.94625263653606</v>
      </c>
      <c r="AC150" s="112">
        <f t="shared" si="156"/>
        <v>133.1492576301921</v>
      </c>
      <c r="AD150" s="112">
        <f t="shared" si="156"/>
        <v>130.50827396413121</v>
      </c>
      <c r="AE150" s="112">
        <f t="shared" si="156"/>
        <v>122.83086353753345</v>
      </c>
      <c r="AF150" s="112" t="str">
        <f t="shared" si="156"/>
        <v/>
      </c>
      <c r="AG150" s="112">
        <f t="shared" si="156"/>
        <v>132.632461595644</v>
      </c>
      <c r="AH150" s="112">
        <f t="shared" si="156"/>
        <v>130.42044313120948</v>
      </c>
      <c r="AI150" s="112">
        <f t="shared" si="156"/>
        <v>134.17160758420334</v>
      </c>
      <c r="AJ150" s="112">
        <f t="shared" si="156"/>
        <v>128.55315486166177</v>
      </c>
      <c r="AK150" s="112">
        <f t="shared" si="156"/>
        <v>137.12380492339247</v>
      </c>
      <c r="AL150" s="52">
        <f t="shared" si="143"/>
        <v>133.19892158651348</v>
      </c>
      <c r="AM150" s="58">
        <f t="shared" si="144"/>
        <v>3.9686759548664567</v>
      </c>
      <c r="AN150" s="56">
        <f t="shared" si="146"/>
        <v>2.9795105753080579E-2</v>
      </c>
    </row>
    <row r="151" spans="1:45">
      <c r="A151" s="315" t="s">
        <v>101</v>
      </c>
      <c r="B151" s="316"/>
      <c r="C151" s="316"/>
      <c r="D151" s="316"/>
      <c r="E151" s="316"/>
      <c r="F151" s="316"/>
      <c r="G151" s="316"/>
      <c r="H151" s="316"/>
      <c r="I151" s="316"/>
      <c r="J151" s="316"/>
      <c r="K151" s="316"/>
      <c r="L151" s="316"/>
      <c r="M151" s="316"/>
      <c r="N151" s="316"/>
      <c r="O151" s="316"/>
      <c r="P151" s="316"/>
      <c r="Q151" s="316"/>
      <c r="R151" s="316"/>
      <c r="S151" s="316"/>
      <c r="T151" s="316"/>
      <c r="U151" s="316"/>
      <c r="V151" s="316"/>
      <c r="W151" s="316"/>
      <c r="X151" s="316"/>
      <c r="Y151" s="316"/>
      <c r="Z151" s="316"/>
      <c r="AA151" s="316"/>
      <c r="AB151" s="316"/>
      <c r="AC151" s="316"/>
      <c r="AD151" s="316"/>
      <c r="AE151" s="316"/>
      <c r="AF151" s="316"/>
      <c r="AG151" s="316"/>
      <c r="AH151" s="316"/>
      <c r="AI151" s="316"/>
      <c r="AJ151" s="316"/>
      <c r="AK151" s="316"/>
      <c r="AL151" s="316"/>
      <c r="AM151" s="316"/>
      <c r="AN151" s="316"/>
      <c r="AO151" s="316"/>
      <c r="AP151" s="316"/>
      <c r="AQ151" s="316"/>
      <c r="AR151" s="316"/>
      <c r="AS151" s="316"/>
    </row>
    <row r="152" spans="1:45">
      <c r="A152" s="317"/>
      <c r="B152" s="317"/>
      <c r="C152" s="317"/>
      <c r="D152" s="317"/>
      <c r="E152" s="317"/>
      <c r="F152" s="317"/>
      <c r="G152" s="317"/>
      <c r="H152" s="317"/>
      <c r="I152" s="317"/>
      <c r="J152" s="317"/>
      <c r="K152" s="317"/>
      <c r="L152" s="317"/>
      <c r="M152" s="317"/>
      <c r="N152" s="317"/>
      <c r="O152" s="317"/>
      <c r="P152" s="317"/>
      <c r="Q152" s="317"/>
      <c r="R152" s="317"/>
      <c r="S152" s="317"/>
      <c r="T152" s="317"/>
      <c r="U152" s="317"/>
      <c r="V152" s="317"/>
      <c r="W152" s="317"/>
      <c r="X152" s="317"/>
      <c r="Y152" s="317"/>
      <c r="Z152" s="317"/>
      <c r="AA152" s="317"/>
      <c r="AB152" s="317"/>
      <c r="AC152" s="317"/>
      <c r="AD152" s="317"/>
      <c r="AE152" s="317"/>
      <c r="AF152" s="317"/>
      <c r="AG152" s="317"/>
      <c r="AH152" s="317"/>
      <c r="AI152" s="317"/>
      <c r="AJ152" s="317"/>
      <c r="AK152" s="317"/>
      <c r="AL152" s="317"/>
      <c r="AM152" s="317"/>
      <c r="AN152" s="317"/>
      <c r="AO152" s="317"/>
      <c r="AP152" s="317"/>
      <c r="AQ152" s="317"/>
      <c r="AR152" s="317"/>
      <c r="AS152" s="317"/>
    </row>
    <row r="153" spans="1:45">
      <c r="A153" s="318" t="str">
        <f ca="1">"Comp="&amp;INT(D167)&amp;", Attn="&amp;INT(D164*10)/10</f>
        <v>Comp=60, Attn=189.2</v>
      </c>
      <c r="B153" s="318"/>
      <c r="C153" s="318"/>
      <c r="D153" s="318"/>
      <c r="E153" s="111" t="str">
        <f>E77</f>
        <v>DUT#</v>
      </c>
      <c r="F153" s="111">
        <f t="shared" ref="F153:AK153" si="157">F77</f>
        <v>0</v>
      </c>
      <c r="G153" s="111">
        <f t="shared" si="157"/>
        <v>1</v>
      </c>
      <c r="H153" s="111">
        <f t="shared" si="157"/>
        <v>2</v>
      </c>
      <c r="I153" s="111">
        <f t="shared" si="157"/>
        <v>3</v>
      </c>
      <c r="J153" s="111">
        <f t="shared" si="157"/>
        <v>4</v>
      </c>
      <c r="K153" s="111">
        <f t="shared" si="157"/>
        <v>5</v>
      </c>
      <c r="L153" s="111">
        <f t="shared" si="157"/>
        <v>6</v>
      </c>
      <c r="M153" s="111">
        <f t="shared" si="157"/>
        <v>7</v>
      </c>
      <c r="N153" s="111">
        <f t="shared" si="157"/>
        <v>8</v>
      </c>
      <c r="O153" s="111">
        <f t="shared" si="157"/>
        <v>9</v>
      </c>
      <c r="P153" s="111">
        <f t="shared" si="157"/>
        <v>10</v>
      </c>
      <c r="Q153" s="111">
        <f t="shared" si="157"/>
        <v>11</v>
      </c>
      <c r="R153" s="111">
        <f t="shared" si="157"/>
        <v>12</v>
      </c>
      <c r="S153" s="111">
        <f t="shared" si="157"/>
        <v>13</v>
      </c>
      <c r="T153" s="111">
        <f t="shared" si="157"/>
        <v>14</v>
      </c>
      <c r="U153" s="111">
        <f t="shared" si="157"/>
        <v>15</v>
      </c>
      <c r="V153" s="111">
        <f t="shared" si="157"/>
        <v>16</v>
      </c>
      <c r="W153" s="111">
        <f t="shared" si="157"/>
        <v>17</v>
      </c>
      <c r="X153" s="111">
        <f t="shared" si="157"/>
        <v>18</v>
      </c>
      <c r="Y153" s="111">
        <f t="shared" si="157"/>
        <v>19</v>
      </c>
      <c r="Z153" s="111">
        <f t="shared" si="157"/>
        <v>20</v>
      </c>
      <c r="AA153" s="111">
        <f t="shared" si="157"/>
        <v>21</v>
      </c>
      <c r="AB153" s="111">
        <f t="shared" si="157"/>
        <v>22</v>
      </c>
      <c r="AC153" s="111">
        <f t="shared" si="157"/>
        <v>23</v>
      </c>
      <c r="AD153" s="111">
        <f t="shared" si="157"/>
        <v>24</v>
      </c>
      <c r="AE153" s="111">
        <f t="shared" si="157"/>
        <v>25</v>
      </c>
      <c r="AF153" s="111">
        <f t="shared" si="157"/>
        <v>26</v>
      </c>
      <c r="AG153" s="111">
        <f t="shared" si="157"/>
        <v>27</v>
      </c>
      <c r="AH153" s="111">
        <f t="shared" si="157"/>
        <v>28</v>
      </c>
      <c r="AI153" s="111">
        <f t="shared" si="157"/>
        <v>29</v>
      </c>
      <c r="AJ153" s="111">
        <f t="shared" si="157"/>
        <v>30</v>
      </c>
      <c r="AK153" s="111">
        <f t="shared" si="157"/>
        <v>31</v>
      </c>
      <c r="AL153" s="286" t="str">
        <f>AL77</f>
        <v>mean</v>
      </c>
      <c r="AM153" s="286" t="str">
        <f>AM77</f>
        <v>std</v>
      </c>
      <c r="AN153" s="286" t="str">
        <f>AN77</f>
        <v>%/value</v>
      </c>
    </row>
    <row r="154" spans="1:45">
      <c r="A154" s="318"/>
      <c r="B154" s="318"/>
      <c r="C154" s="318"/>
      <c r="D154" s="318"/>
      <c r="E154" s="111" t="str">
        <f t="shared" ref="E154:AK154" si="158">E78</f>
        <v>Enable</v>
      </c>
      <c r="F154" s="111">
        <f t="shared" si="158"/>
        <v>0</v>
      </c>
      <c r="G154" s="111">
        <f t="shared" si="158"/>
        <v>0</v>
      </c>
      <c r="H154" s="111">
        <f t="shared" si="158"/>
        <v>1</v>
      </c>
      <c r="I154" s="111">
        <f t="shared" si="158"/>
        <v>1</v>
      </c>
      <c r="J154" s="111">
        <f t="shared" si="158"/>
        <v>0</v>
      </c>
      <c r="K154" s="111">
        <f t="shared" si="158"/>
        <v>1</v>
      </c>
      <c r="L154" s="111">
        <f t="shared" si="158"/>
        <v>1</v>
      </c>
      <c r="M154" s="111">
        <f t="shared" si="158"/>
        <v>0</v>
      </c>
      <c r="N154" s="111">
        <f t="shared" si="158"/>
        <v>1</v>
      </c>
      <c r="O154" s="111">
        <f t="shared" si="158"/>
        <v>1</v>
      </c>
      <c r="P154" s="111">
        <f t="shared" si="158"/>
        <v>1</v>
      </c>
      <c r="Q154" s="111">
        <f t="shared" si="158"/>
        <v>1</v>
      </c>
      <c r="R154" s="111">
        <f t="shared" si="158"/>
        <v>1</v>
      </c>
      <c r="S154" s="111">
        <f t="shared" si="158"/>
        <v>1</v>
      </c>
      <c r="T154" s="111">
        <f t="shared" si="158"/>
        <v>1</v>
      </c>
      <c r="U154" s="111">
        <f t="shared" si="158"/>
        <v>1</v>
      </c>
      <c r="V154" s="111">
        <f t="shared" si="158"/>
        <v>1</v>
      </c>
      <c r="W154" s="111">
        <f t="shared" si="158"/>
        <v>1</v>
      </c>
      <c r="X154" s="111">
        <f t="shared" si="158"/>
        <v>1</v>
      </c>
      <c r="Y154" s="111">
        <f t="shared" si="158"/>
        <v>1</v>
      </c>
      <c r="Z154" s="111">
        <f t="shared" si="158"/>
        <v>1</v>
      </c>
      <c r="AA154" s="111">
        <f t="shared" si="158"/>
        <v>1</v>
      </c>
      <c r="AB154" s="111">
        <f t="shared" si="158"/>
        <v>1</v>
      </c>
      <c r="AC154" s="111">
        <f t="shared" si="158"/>
        <v>1</v>
      </c>
      <c r="AD154" s="111">
        <f t="shared" si="158"/>
        <v>1</v>
      </c>
      <c r="AE154" s="111">
        <f t="shared" si="158"/>
        <v>1</v>
      </c>
      <c r="AF154" s="111">
        <f t="shared" si="158"/>
        <v>0</v>
      </c>
      <c r="AG154" s="111">
        <f t="shared" si="158"/>
        <v>1</v>
      </c>
      <c r="AH154" s="111">
        <f t="shared" si="158"/>
        <v>1</v>
      </c>
      <c r="AI154" s="111">
        <f t="shared" si="158"/>
        <v>1</v>
      </c>
      <c r="AJ154" s="111">
        <f t="shared" si="158"/>
        <v>1</v>
      </c>
      <c r="AK154" s="111">
        <f t="shared" si="158"/>
        <v>1</v>
      </c>
      <c r="AL154" s="286"/>
      <c r="AM154" s="286"/>
      <c r="AN154" s="286"/>
    </row>
    <row r="155" spans="1:45">
      <c r="A155" s="74" t="str">
        <f>A79</f>
        <v>HZ</v>
      </c>
      <c r="F155" s="105" t="str">
        <f>IF(AND(F$154,F4&lt;&gt;""),$AQ4/((F4+F10)/2),"")</f>
        <v/>
      </c>
      <c r="G155" s="105" t="str">
        <f t="shared" ref="G155:AK155" si="159">IF(AND(G$154,G4&lt;&gt;""),$AQ4/((G4+G10)/2),"")</f>
        <v/>
      </c>
      <c r="H155" s="105">
        <f t="shared" si="159"/>
        <v>29.273990435730408</v>
      </c>
      <c r="I155" s="105">
        <f t="shared" si="159"/>
        <v>25.595702320186582</v>
      </c>
      <c r="J155" s="105" t="str">
        <f t="shared" si="159"/>
        <v/>
      </c>
      <c r="K155" s="105">
        <f t="shared" si="159"/>
        <v>24.435247764652278</v>
      </c>
      <c r="L155" s="105">
        <f t="shared" si="159"/>
        <v>26.111194306388217</v>
      </c>
      <c r="M155" s="105" t="str">
        <f t="shared" si="159"/>
        <v/>
      </c>
      <c r="N155" s="105">
        <f t="shared" si="159"/>
        <v>26.798684304182753</v>
      </c>
      <c r="O155" s="105">
        <f t="shared" si="159"/>
        <v>27.274122379937225</v>
      </c>
      <c r="P155" s="105">
        <f t="shared" si="159"/>
        <v>27.361768540813301</v>
      </c>
      <c r="Q155" s="105">
        <f t="shared" si="159"/>
        <v>27.283365995003464</v>
      </c>
      <c r="R155" s="105">
        <f t="shared" si="159"/>
        <v>27.882141661999295</v>
      </c>
      <c r="S155" s="105">
        <f t="shared" si="159"/>
        <v>25.362574146416335</v>
      </c>
      <c r="T155" s="105">
        <f t="shared" si="159"/>
        <v>26.189189997301888</v>
      </c>
      <c r="U155" s="105">
        <f t="shared" si="159"/>
        <v>24.656371340104293</v>
      </c>
      <c r="V155" s="105">
        <f t="shared" si="159"/>
        <v>26.836043684881247</v>
      </c>
      <c r="W155" s="105">
        <f t="shared" si="159"/>
        <v>26.272331346141168</v>
      </c>
      <c r="X155" s="105">
        <f t="shared" si="159"/>
        <v>27.349092641553991</v>
      </c>
      <c r="Y155" s="105">
        <f t="shared" si="159"/>
        <v>23.109476905514047</v>
      </c>
      <c r="Z155" s="105">
        <f t="shared" si="159"/>
        <v>22.653080858629018</v>
      </c>
      <c r="AA155" s="105">
        <f t="shared" si="159"/>
        <v>25.777506369619118</v>
      </c>
      <c r="AB155" s="105">
        <f t="shared" si="159"/>
        <v>28.574021183865121</v>
      </c>
      <c r="AC155" s="105">
        <f t="shared" si="159"/>
        <v>27.030186718761925</v>
      </c>
      <c r="AD155" s="105">
        <f t="shared" si="159"/>
        <v>24.771558640696622</v>
      </c>
      <c r="AE155" s="105">
        <f t="shared" si="159"/>
        <v>26.097342064095098</v>
      </c>
      <c r="AF155" s="105" t="str">
        <f t="shared" si="159"/>
        <v/>
      </c>
      <c r="AG155" s="105">
        <f t="shared" si="159"/>
        <v>26.301203314170621</v>
      </c>
      <c r="AH155" s="105">
        <f t="shared" si="159"/>
        <v>24.859181623345691</v>
      </c>
      <c r="AI155" s="105">
        <f t="shared" si="159"/>
        <v>24.107287479702613</v>
      </c>
      <c r="AJ155" s="105">
        <f t="shared" si="159"/>
        <v>25.758011200306004</v>
      </c>
      <c r="AK155" s="105">
        <f t="shared" si="159"/>
        <v>27.218791119159157</v>
      </c>
      <c r="AL155" s="127">
        <f t="shared" ref="AL155" si="160">AVERAGE(F155:AK155)</f>
        <v>26.108869197894712</v>
      </c>
      <c r="AM155" s="127">
        <f t="shared" ref="AM155" si="161">STDEV(F155:AK155)</f>
        <v>1.5504285505962279</v>
      </c>
      <c r="AN155" s="56">
        <f t="shared" ref="AN155" si="162">AM155/AL155</f>
        <v>5.9383213376443228E-2</v>
      </c>
    </row>
    <row r="156" spans="1:45">
      <c r="A156" s="74" t="str">
        <f>A91</f>
        <v>A</v>
      </c>
      <c r="F156" s="105" t="str">
        <f>IF(AND(F$154,F16&lt;&gt;""),$AQ16/((F16+F22)/2),"")</f>
        <v/>
      </c>
      <c r="G156" s="105" t="str">
        <f t="shared" ref="G156:AK156" si="163">IF(AND(G$154,G16&lt;&gt;""),$AQ16/((G16+G22)/2),"")</f>
        <v/>
      </c>
      <c r="H156" s="105">
        <f t="shared" si="163"/>
        <v>49.297113778399144</v>
      </c>
      <c r="I156" s="105">
        <f t="shared" si="163"/>
        <v>43.006119962740442</v>
      </c>
      <c r="J156" s="105" t="str">
        <f t="shared" si="163"/>
        <v/>
      </c>
      <c r="K156" s="105">
        <f t="shared" si="163"/>
        <v>42.340830405559963</v>
      </c>
      <c r="L156" s="105">
        <f t="shared" si="163"/>
        <v>44.367249721451749</v>
      </c>
      <c r="M156" s="105" t="str">
        <f t="shared" si="163"/>
        <v/>
      </c>
      <c r="N156" s="105">
        <f t="shared" si="163"/>
        <v>45.712608939725314</v>
      </c>
      <c r="O156" s="105">
        <f t="shared" si="163"/>
        <v>46.926982175831732</v>
      </c>
      <c r="P156" s="105">
        <f t="shared" si="163"/>
        <v>47.971506349341638</v>
      </c>
      <c r="Q156" s="105">
        <f t="shared" si="163"/>
        <v>47.015866384981933</v>
      </c>
      <c r="R156" s="105">
        <f t="shared" si="163"/>
        <v>48.885325962761179</v>
      </c>
      <c r="S156" s="105">
        <f t="shared" si="163"/>
        <v>44.573296942255318</v>
      </c>
      <c r="T156" s="105">
        <f t="shared" si="163"/>
        <v>45.928440445526292</v>
      </c>
      <c r="U156" s="105">
        <f t="shared" si="163"/>
        <v>44.190211039783705</v>
      </c>
      <c r="V156" s="105">
        <f t="shared" si="163"/>
        <v>45.985653906712002</v>
      </c>
      <c r="W156" s="105">
        <f t="shared" si="163"/>
        <v>44.41652751165919</v>
      </c>
      <c r="X156" s="105">
        <f t="shared" si="163"/>
        <v>46.397655596740051</v>
      </c>
      <c r="Y156" s="105">
        <f t="shared" si="163"/>
        <v>39.567757271594253</v>
      </c>
      <c r="Z156" s="105">
        <f t="shared" si="163"/>
        <v>39.1289901819775</v>
      </c>
      <c r="AA156" s="105">
        <f t="shared" si="163"/>
        <v>45.30122331361526</v>
      </c>
      <c r="AB156" s="105">
        <f t="shared" si="163"/>
        <v>48.369603823406266</v>
      </c>
      <c r="AC156" s="105">
        <f t="shared" si="163"/>
        <v>45.55350244310285</v>
      </c>
      <c r="AD156" s="105">
        <f t="shared" si="163"/>
        <v>42.830835563066557</v>
      </c>
      <c r="AE156" s="105">
        <f t="shared" si="163"/>
        <v>44.500275388360336</v>
      </c>
      <c r="AF156" s="105" t="str">
        <f t="shared" si="163"/>
        <v/>
      </c>
      <c r="AG156" s="105">
        <f t="shared" si="163"/>
        <v>46.917806435280703</v>
      </c>
      <c r="AH156" s="105">
        <f t="shared" si="163"/>
        <v>42.389449997494367</v>
      </c>
      <c r="AI156" s="105">
        <f t="shared" si="163"/>
        <v>44.281277204924528</v>
      </c>
      <c r="AJ156" s="105">
        <f t="shared" si="163"/>
        <v>44.391875625587893</v>
      </c>
      <c r="AK156" s="105">
        <f t="shared" si="163"/>
        <v>48.280387686495274</v>
      </c>
      <c r="AL156" s="127">
        <f t="shared" ref="AL156" si="164">AVERAGE(F156:AK156)</f>
        <v>45.130680520680571</v>
      </c>
      <c r="AM156" s="127">
        <f t="shared" ref="AM156" si="165">STDEV(F156:AK156)</f>
        <v>2.5529128036302682</v>
      </c>
      <c r="AN156" s="56">
        <f t="shared" ref="AN156" si="166">AM156/AL156</f>
        <v>5.6567124053456888E-2</v>
      </c>
    </row>
    <row r="157" spans="1:45">
      <c r="A157" s="74" t="str">
        <f>A103</f>
        <v>U30</v>
      </c>
      <c r="F157" s="105" t="str">
        <f>IF(AND(F$154,F28&lt;&gt;""),$AQ28/((F28+F34)/2),"")</f>
        <v/>
      </c>
      <c r="G157" s="105" t="str">
        <f t="shared" ref="G157:AK157" si="167">IF(AND(G$154,G28&lt;&gt;""),$AQ28/((G28+G34)/2),"")</f>
        <v/>
      </c>
      <c r="H157" s="105">
        <f t="shared" si="167"/>
        <v>188.22855199620557</v>
      </c>
      <c r="I157" s="105">
        <f t="shared" si="167"/>
        <v>165.13900166864258</v>
      </c>
      <c r="J157" s="105" t="str">
        <f t="shared" si="167"/>
        <v/>
      </c>
      <c r="K157" s="105">
        <f t="shared" si="167"/>
        <v>182.87590338486044</v>
      </c>
      <c r="L157" s="105">
        <f t="shared" si="167"/>
        <v>180.87766672512726</v>
      </c>
      <c r="M157" s="105" t="str">
        <f t="shared" si="167"/>
        <v/>
      </c>
      <c r="N157" s="105">
        <f t="shared" si="167"/>
        <v>188.42694480464542</v>
      </c>
      <c r="O157" s="105">
        <f t="shared" si="167"/>
        <v>194.87625870108806</v>
      </c>
      <c r="P157" s="105">
        <f t="shared" si="167"/>
        <v>222.08631290746467</v>
      </c>
      <c r="Q157" s="105">
        <f t="shared" si="167"/>
        <v>196.63383702305018</v>
      </c>
      <c r="R157" s="105">
        <f t="shared" si="167"/>
        <v>229.38091365364428</v>
      </c>
      <c r="S157" s="105">
        <f t="shared" si="167"/>
        <v>204.45961067667855</v>
      </c>
      <c r="T157" s="105">
        <f t="shared" si="167"/>
        <v>209.24564908171899</v>
      </c>
      <c r="U157" s="105">
        <f t="shared" si="167"/>
        <v>234.80363051994479</v>
      </c>
      <c r="V157" s="105">
        <f t="shared" si="167"/>
        <v>186.57846373870737</v>
      </c>
      <c r="W157" s="105">
        <f t="shared" si="167"/>
        <v>166.43034680907869</v>
      </c>
      <c r="X157" s="105">
        <f t="shared" si="167"/>
        <v>174.623445862712</v>
      </c>
      <c r="Y157" s="105">
        <f t="shared" si="167"/>
        <v>151.86840125908716</v>
      </c>
      <c r="Z157" s="105">
        <f t="shared" si="167"/>
        <v>163.23911788415936</v>
      </c>
      <c r="AA157" s="105">
        <f t="shared" si="167"/>
        <v>206.92069056352381</v>
      </c>
      <c r="AB157" s="105">
        <f t="shared" si="167"/>
        <v>177.39579775203862</v>
      </c>
      <c r="AC157" s="105">
        <f t="shared" si="167"/>
        <v>169.58781790564572</v>
      </c>
      <c r="AD157" s="105">
        <f t="shared" si="167"/>
        <v>171.44177414249245</v>
      </c>
      <c r="AE157" s="105">
        <f t="shared" si="167"/>
        <v>171.40889990267647</v>
      </c>
      <c r="AF157" s="105" t="str">
        <f t="shared" si="167"/>
        <v/>
      </c>
      <c r="AG157" s="105">
        <f t="shared" si="167"/>
        <v>226.18861643113868</v>
      </c>
      <c r="AH157" s="105">
        <f t="shared" si="167"/>
        <v>169.74884497819798</v>
      </c>
      <c r="AI157" s="105">
        <f t="shared" si="167"/>
        <v>255.69147381795909</v>
      </c>
      <c r="AJ157" s="105">
        <f t="shared" si="167"/>
        <v>176.97434428340728</v>
      </c>
      <c r="AK157" s="105">
        <f t="shared" si="167"/>
        <v>226.53254428048027</v>
      </c>
      <c r="AL157" s="127">
        <f t="shared" ref="AL157" si="168">AVERAGE(F157:AK157)</f>
        <v>192.28388373164356</v>
      </c>
      <c r="AM157" s="127">
        <f t="shared" ref="AM157" si="169">STDEV(F157:AK157)</f>
        <v>26.250953750793123</v>
      </c>
      <c r="AN157" s="56">
        <f t="shared" ref="AN157" si="170">AM157/AL157</f>
        <v>0.1365218615379625</v>
      </c>
    </row>
    <row r="158" spans="1:45">
      <c r="A158" s="74" t="str">
        <f>A115</f>
        <v>U35</v>
      </c>
      <c r="F158" s="105" t="str">
        <f>IF(AND(F$154,F40&lt;&gt;""),$AQ40/((F40+F46)/2),"")</f>
        <v/>
      </c>
      <c r="G158" s="105" t="str">
        <f t="shared" ref="G158:AK158" si="171">IF(AND(G$154,G40&lt;&gt;""),$AQ40/((G40+G46)/2),"")</f>
        <v/>
      </c>
      <c r="H158" s="105">
        <f t="shared" si="171"/>
        <v>167.67815537698917</v>
      </c>
      <c r="I158" s="105">
        <f t="shared" si="171"/>
        <v>147.72397166391139</v>
      </c>
      <c r="J158" s="105" t="str">
        <f t="shared" si="171"/>
        <v/>
      </c>
      <c r="K158" s="105">
        <f t="shared" si="171"/>
        <v>165.37066094988327</v>
      </c>
      <c r="L158" s="105">
        <f t="shared" si="171"/>
        <v>161.18094445934992</v>
      </c>
      <c r="M158" s="105" t="str">
        <f t="shared" si="171"/>
        <v/>
      </c>
      <c r="N158" s="105">
        <f t="shared" si="171"/>
        <v>170.15128803838289</v>
      </c>
      <c r="O158" s="105">
        <f t="shared" si="171"/>
        <v>176.1081372460221</v>
      </c>
      <c r="P158" s="105">
        <f t="shared" si="171"/>
        <v>198.58142775649625</v>
      </c>
      <c r="Q158" s="105">
        <f t="shared" si="171"/>
        <v>176.93646311523474</v>
      </c>
      <c r="R158" s="105">
        <f t="shared" si="171"/>
        <v>200.84013026031462</v>
      </c>
      <c r="S158" s="105">
        <f t="shared" si="171"/>
        <v>183.93267203035327</v>
      </c>
      <c r="T158" s="105">
        <f t="shared" si="171"/>
        <v>187.80535990307504</v>
      </c>
      <c r="U158" s="105">
        <f t="shared" si="171"/>
        <v>215.33581311136061</v>
      </c>
      <c r="V158" s="105">
        <f t="shared" si="171"/>
        <v>168.29785547915677</v>
      </c>
      <c r="W158" s="105">
        <f t="shared" si="171"/>
        <v>148.86773475370623</v>
      </c>
      <c r="X158" s="105">
        <f t="shared" si="171"/>
        <v>157.77156692765678</v>
      </c>
      <c r="Y158" s="105">
        <f t="shared" si="171"/>
        <v>136.75032242672449</v>
      </c>
      <c r="Z158" s="105">
        <f t="shared" si="171"/>
        <v>147.74919736750937</v>
      </c>
      <c r="AA158" s="105">
        <f t="shared" si="171"/>
        <v>185.86880552412626</v>
      </c>
      <c r="AB158" s="105">
        <f t="shared" si="171"/>
        <v>161.00098331212661</v>
      </c>
      <c r="AC158" s="105">
        <f t="shared" si="171"/>
        <v>153.84411348991256</v>
      </c>
      <c r="AD158" s="105">
        <f t="shared" si="171"/>
        <v>157.19827066592734</v>
      </c>
      <c r="AE158" s="105">
        <f t="shared" si="171"/>
        <v>152.8926134320713</v>
      </c>
      <c r="AF158" s="105" t="str">
        <f t="shared" si="171"/>
        <v/>
      </c>
      <c r="AG158" s="105">
        <f t="shared" si="171"/>
        <v>202.5326068501823</v>
      </c>
      <c r="AH158" s="105">
        <f t="shared" si="171"/>
        <v>151.13000878720231</v>
      </c>
      <c r="AI158" s="105">
        <f t="shared" si="171"/>
        <v>227.09167629824543</v>
      </c>
      <c r="AJ158" s="105">
        <f t="shared" si="171"/>
        <v>157.71404991766667</v>
      </c>
      <c r="AK158" s="105">
        <f t="shared" si="171"/>
        <v>202.67493258257568</v>
      </c>
      <c r="AL158" s="127">
        <f t="shared" ref="AL158" si="172">AVERAGE(F158:AK158)</f>
        <v>172.7048059898579</v>
      </c>
      <c r="AM158" s="127">
        <f t="shared" ref="AM158" si="173">STDEV(F158:AK158)</f>
        <v>23.176363275096723</v>
      </c>
      <c r="AN158" s="56">
        <f t="shared" ref="AN158" si="174">AM158/AL158</f>
        <v>0.13419640028116969</v>
      </c>
    </row>
    <row r="159" spans="1:45">
      <c r="A159" s="74" t="str">
        <f>A127</f>
        <v>CWF</v>
      </c>
      <c r="B159" s="105"/>
      <c r="C159" s="111"/>
      <c r="D159" s="111"/>
      <c r="E159" s="111"/>
      <c r="F159" s="105" t="str">
        <f>IF(AND(F$154,F52&lt;&gt;""),$AQ52/((F52+F58)/2),"")</f>
        <v/>
      </c>
      <c r="G159" s="105" t="str">
        <f t="shared" ref="G159:AK159" si="175">IF(AND(G$154,G52&lt;&gt;""),$AQ52/((G52+G58)/2),"")</f>
        <v/>
      </c>
      <c r="H159" s="105">
        <f t="shared" si="175"/>
        <v>187.66706374942521</v>
      </c>
      <c r="I159" s="105">
        <f t="shared" si="175"/>
        <v>162.83908393375174</v>
      </c>
      <c r="J159" s="105" t="str">
        <f t="shared" si="175"/>
        <v/>
      </c>
      <c r="K159" s="105">
        <f t="shared" si="175"/>
        <v>180.74675708640714</v>
      </c>
      <c r="L159" s="105">
        <f t="shared" si="175"/>
        <v>177.607715576815</v>
      </c>
      <c r="M159" s="105" t="str">
        <f t="shared" si="175"/>
        <v/>
      </c>
      <c r="N159" s="105">
        <f t="shared" si="175"/>
        <v>185.35744294567002</v>
      </c>
      <c r="O159" s="105">
        <f t="shared" si="175"/>
        <v>192.91159857715257</v>
      </c>
      <c r="P159" s="105">
        <f t="shared" si="175"/>
        <v>213.66066734925019</v>
      </c>
      <c r="Q159" s="105">
        <f t="shared" si="175"/>
        <v>194.77132108087469</v>
      </c>
      <c r="R159" s="105">
        <f t="shared" si="175"/>
        <v>222.55841209299132</v>
      </c>
      <c r="S159" s="105">
        <f t="shared" si="175"/>
        <v>202.33570933516526</v>
      </c>
      <c r="T159" s="105">
        <f t="shared" si="175"/>
        <v>202.33570933516526</v>
      </c>
      <c r="U159" s="105">
        <f t="shared" si="175"/>
        <v>227.69719703286549</v>
      </c>
      <c r="V159" s="105">
        <f t="shared" si="175"/>
        <v>184.65501362718825</v>
      </c>
      <c r="W159" s="105">
        <f t="shared" si="175"/>
        <v>164.78265226406182</v>
      </c>
      <c r="X159" s="105">
        <f t="shared" si="175"/>
        <v>173.15267555490897</v>
      </c>
      <c r="Y159" s="105">
        <f t="shared" si="175"/>
        <v>152.72168183643583</v>
      </c>
      <c r="Z159" s="105">
        <f t="shared" si="175"/>
        <v>160.3799438682324</v>
      </c>
      <c r="AA159" s="105">
        <f t="shared" si="175"/>
        <v>201.30313687197116</v>
      </c>
      <c r="AB159" s="105">
        <f t="shared" si="175"/>
        <v>176.09745004420904</v>
      </c>
      <c r="AC159" s="105">
        <f t="shared" si="175"/>
        <v>168.02482680157874</v>
      </c>
      <c r="AD159" s="105">
        <f t="shared" si="175"/>
        <v>168.95011441544921</v>
      </c>
      <c r="AE159" s="105">
        <f t="shared" si="175"/>
        <v>168.50333650320633</v>
      </c>
      <c r="AF159" s="105" t="str">
        <f t="shared" si="175"/>
        <v/>
      </c>
      <c r="AG159" s="105">
        <f t="shared" si="175"/>
        <v>219.66650999089777</v>
      </c>
      <c r="AH159" s="105">
        <f t="shared" si="175"/>
        <v>162.80707988429813</v>
      </c>
      <c r="AI159" s="105">
        <f t="shared" si="175"/>
        <v>247.19856818060333</v>
      </c>
      <c r="AJ159" s="105">
        <f t="shared" si="175"/>
        <v>174.87067882487966</v>
      </c>
      <c r="AK159" s="105">
        <f t="shared" si="175"/>
        <v>219.84140104019113</v>
      </c>
      <c r="AL159" s="127">
        <f t="shared" ref="AL159" si="176">AVERAGE(F159:AK159)</f>
        <v>188.64606473346836</v>
      </c>
      <c r="AM159" s="127">
        <f t="shared" ref="AM159" si="177">STDEV(F159:AK159)</f>
        <v>24.231317501428418</v>
      </c>
      <c r="AN159" s="56">
        <f t="shared" ref="AN159" si="178">AM159/AL159</f>
        <v>0.12844857132675427</v>
      </c>
    </row>
    <row r="160" spans="1:45">
      <c r="A160" s="74" t="str">
        <f>A139</f>
        <v>D65</v>
      </c>
      <c r="F160" s="105" t="str">
        <f>IF(AND(F$154,F64&lt;&gt;""),$AQ64/((F64+F70)/2),"")</f>
        <v/>
      </c>
      <c r="G160" s="105" t="str">
        <f t="shared" ref="G160:AK160" si="179">IF(AND(G$154,G64&lt;&gt;""),$AQ64/((G64+G70)/2),"")</f>
        <v/>
      </c>
      <c r="H160" s="105">
        <f t="shared" si="179"/>
        <v>73.142315975766891</v>
      </c>
      <c r="I160" s="105">
        <f t="shared" si="179"/>
        <v>63.054796542788324</v>
      </c>
      <c r="J160" s="105" t="str">
        <f t="shared" si="179"/>
        <v/>
      </c>
      <c r="K160" s="105">
        <f t="shared" si="179"/>
        <v>66.183379335508164</v>
      </c>
      <c r="L160" s="105">
        <f t="shared" si="179"/>
        <v>66.784502728846618</v>
      </c>
      <c r="M160" s="105" t="str">
        <f t="shared" si="179"/>
        <v/>
      </c>
      <c r="N160" s="105">
        <f t="shared" si="179"/>
        <v>68.475577452140726</v>
      </c>
      <c r="O160" s="105">
        <f t="shared" si="179"/>
        <v>71.324607075705629</v>
      </c>
      <c r="P160" s="105">
        <f t="shared" si="179"/>
        <v>73.852672624573515</v>
      </c>
      <c r="Q160" s="105">
        <f t="shared" si="179"/>
        <v>70.994508143069311</v>
      </c>
      <c r="R160" s="105">
        <f t="shared" si="179"/>
        <v>75.398573242103083</v>
      </c>
      <c r="S160" s="105">
        <f t="shared" si="179"/>
        <v>70.499458387817782</v>
      </c>
      <c r="T160" s="105">
        <f t="shared" si="179"/>
        <v>70.875739926376497</v>
      </c>
      <c r="U160" s="105">
        <f t="shared" si="179"/>
        <v>74.764971946016118</v>
      </c>
      <c r="V160" s="105">
        <f t="shared" si="179"/>
        <v>69.660440981366165</v>
      </c>
      <c r="W160" s="105">
        <f t="shared" si="179"/>
        <v>64.866079509794602</v>
      </c>
      <c r="X160" s="105">
        <f t="shared" si="179"/>
        <v>73.17239596352897</v>
      </c>
      <c r="Y160" s="105">
        <f t="shared" si="179"/>
        <v>59.575676492952965</v>
      </c>
      <c r="Z160" s="105">
        <f t="shared" si="179"/>
        <v>60.090716972711341</v>
      </c>
      <c r="AA160" s="105">
        <f t="shared" si="179"/>
        <v>72.14589170446105</v>
      </c>
      <c r="AB160" s="105">
        <f t="shared" si="179"/>
        <v>71.565570650286503</v>
      </c>
      <c r="AC160" s="105">
        <f t="shared" si="179"/>
        <v>67.550160080314626</v>
      </c>
      <c r="AD160" s="105">
        <f t="shared" si="179"/>
        <v>64.025846468087849</v>
      </c>
      <c r="AE160" s="105">
        <f t="shared" si="179"/>
        <v>64.122751282025504</v>
      </c>
      <c r="AF160" s="105" t="str">
        <f t="shared" si="179"/>
        <v/>
      </c>
      <c r="AG160" s="105">
        <f t="shared" si="179"/>
        <v>75.526585651772109</v>
      </c>
      <c r="AH160" s="105">
        <f t="shared" si="179"/>
        <v>61.862269311075387</v>
      </c>
      <c r="AI160" s="105">
        <f t="shared" si="179"/>
        <v>75.610024985171677</v>
      </c>
      <c r="AJ160" s="105">
        <f t="shared" si="179"/>
        <v>66.779492588981796</v>
      </c>
      <c r="AK160" s="105">
        <f t="shared" si="179"/>
        <v>76.904067977526324</v>
      </c>
      <c r="AL160" s="127">
        <f t="shared" ref="AL160" si="180">AVERAGE(F160:AK160)</f>
        <v>69.215150888917393</v>
      </c>
      <c r="AM160" s="127">
        <f t="shared" ref="AM160" si="181">STDEV(F160:AK160)</f>
        <v>5.0081623706396883</v>
      </c>
      <c r="AN160" s="56">
        <f t="shared" ref="AN160" si="182">AM160/AL160</f>
        <v>7.2356446620729487E-2</v>
      </c>
    </row>
    <row r="161" spans="1:42" s="105" customFormat="1">
      <c r="A161" s="74"/>
      <c r="C161" s="111"/>
      <c r="D161" s="111"/>
      <c r="E161" s="111"/>
      <c r="AL161" s="127"/>
      <c r="AM161" s="127"/>
      <c r="AN161" s="56"/>
      <c r="AO161" s="111"/>
      <c r="AP161" s="111"/>
    </row>
    <row r="162" spans="1:42">
      <c r="A162" s="74"/>
      <c r="F162" s="111" t="str">
        <f>A155</f>
        <v>HZ</v>
      </c>
      <c r="G162" s="111" t="str">
        <f>A156</f>
        <v>A</v>
      </c>
      <c r="H162" s="111" t="str">
        <f>A157</f>
        <v>U30</v>
      </c>
      <c r="I162" s="111" t="str">
        <f>A158</f>
        <v>U35</v>
      </c>
      <c r="J162" s="111" t="str">
        <f>A159</f>
        <v>CWF</v>
      </c>
      <c r="K162" s="111" t="str">
        <f>A160</f>
        <v>D65</v>
      </c>
      <c r="L162" s="111" t="s">
        <v>105</v>
      </c>
      <c r="M162" s="111"/>
      <c r="P162" s="196" t="str">
        <f>P174</f>
        <v>HZ</v>
      </c>
      <c r="Q162" s="196" t="str">
        <f t="shared" ref="Q162:U162" si="183">Q174</f>
        <v>A</v>
      </c>
      <c r="R162" s="196" t="str">
        <f t="shared" si="183"/>
        <v>U30</v>
      </c>
      <c r="S162" s="196" t="str">
        <f t="shared" si="183"/>
        <v>U35</v>
      </c>
      <c r="T162" s="196" t="str">
        <f t="shared" si="183"/>
        <v>CWF</v>
      </c>
      <c r="U162" s="196" t="str">
        <f t="shared" si="183"/>
        <v>D65</v>
      </c>
    </row>
    <row r="163" spans="1:42" s="105" customFormat="1">
      <c r="A163" s="74"/>
      <c r="C163" s="111"/>
      <c r="D163" s="128" t="s">
        <v>103</v>
      </c>
      <c r="E163" s="111" t="s">
        <v>65</v>
      </c>
      <c r="F163" s="111">
        <f>AQ4</f>
        <v>844.5</v>
      </c>
      <c r="G163" s="111">
        <f>AQ16</f>
        <v>1373</v>
      </c>
      <c r="H163" s="111">
        <f>AQ28</f>
        <v>852.5</v>
      </c>
      <c r="I163" s="111">
        <f>AQ40</f>
        <v>825.15</v>
      </c>
      <c r="J163" s="111">
        <f>AQ52</f>
        <v>790</v>
      </c>
      <c r="K163" s="111">
        <f>AQ64</f>
        <v>848.5</v>
      </c>
      <c r="L163" s="111"/>
      <c r="M163" s="111"/>
      <c r="P163" s="198"/>
      <c r="Q163" s="198"/>
      <c r="R163" s="198"/>
      <c r="S163" s="198"/>
      <c r="T163" s="198"/>
      <c r="U163" s="198"/>
      <c r="AM163" s="111"/>
      <c r="AN163" s="111"/>
      <c r="AO163" s="111"/>
      <c r="AP163" s="111"/>
    </row>
    <row r="164" spans="1:42" s="105" customFormat="1">
      <c r="A164" s="74"/>
      <c r="C164" s="111"/>
      <c r="D164" s="129">
        <f ca="1">INDIRECT("R"&amp;(ROW(N175)+D167)&amp;"C"&amp;COLUMN(N175),FALSE)</f>
        <v>189.20171154967639</v>
      </c>
      <c r="E164" s="132" t="s">
        <v>104</v>
      </c>
      <c r="F164" s="106">
        <f t="shared" ref="F164:K164" ca="1" si="184">F163/$D164</f>
        <v>4.4634902775616272</v>
      </c>
      <c r="G164" s="106">
        <f t="shared" ca="1" si="184"/>
        <v>7.256805389096642</v>
      </c>
      <c r="H164" s="106">
        <f t="shared" ca="1" si="184"/>
        <v>4.5057731931572373</v>
      </c>
      <c r="I164" s="106">
        <f t="shared" ca="1" si="184"/>
        <v>4.3612184754647441</v>
      </c>
      <c r="J164" s="106">
        <f t="shared" ca="1" si="184"/>
        <v>4.1754379150665315</v>
      </c>
      <c r="K164" s="106">
        <f t="shared" ca="1" si="184"/>
        <v>4.4846317353594323</v>
      </c>
      <c r="L164" s="106">
        <f ca="1">AVERAGE(F164:K164)</f>
        <v>4.8745594976177022</v>
      </c>
      <c r="M164" s="111"/>
      <c r="AM164" s="111"/>
      <c r="AN164" s="111"/>
      <c r="AO164" s="111"/>
      <c r="AP164" s="111"/>
    </row>
    <row r="165" spans="1:42" s="105" customFormat="1">
      <c r="A165" s="74"/>
      <c r="C165" s="111"/>
      <c r="D165" s="242">
        <v>0</v>
      </c>
      <c r="E165" s="132" t="str">
        <f>B139</f>
        <v>LO</v>
      </c>
      <c r="F165" s="106">
        <f>AL4</f>
        <v>31.316519618034363</v>
      </c>
      <c r="G165" s="106">
        <f>AL16</f>
        <v>29.483648896217346</v>
      </c>
      <c r="H165" s="106">
        <f>AL28</f>
        <v>4.3552585989236832</v>
      </c>
      <c r="I165" s="106">
        <f>AL40</f>
        <v>4.6644326522946358</v>
      </c>
      <c r="J165" s="106">
        <f>AL52</f>
        <v>4.0959744974970818</v>
      </c>
      <c r="K165" s="106">
        <f>AL64</f>
        <v>11.893096148967743</v>
      </c>
      <c r="L165" s="111"/>
      <c r="M165" s="111"/>
      <c r="AM165" s="111"/>
      <c r="AN165" s="111"/>
      <c r="AO165" s="111"/>
      <c r="AP165" s="111"/>
    </row>
    <row r="166" spans="1:42" s="105" customFormat="1" ht="15.75" thickBot="1">
      <c r="A166" s="74"/>
      <c r="C166" s="111"/>
      <c r="D166" s="242"/>
      <c r="E166" s="132" t="str">
        <f>B144</f>
        <v>HI</v>
      </c>
      <c r="F166" s="106">
        <f>AL10</f>
        <v>33.490215241909027</v>
      </c>
      <c r="G166" s="106">
        <f>AL22</f>
        <v>31.554703414440155</v>
      </c>
      <c r="H166" s="106">
        <f>AL34</f>
        <v>4.7214750945568085</v>
      </c>
      <c r="I166" s="106">
        <f>AL46</f>
        <v>5.0880492478609085</v>
      </c>
      <c r="J166" s="106">
        <f>AL58</f>
        <v>4.4428787380456924</v>
      </c>
      <c r="K166" s="106">
        <f>AL70</f>
        <v>12.776331424713135</v>
      </c>
      <c r="L166" s="111"/>
      <c r="M166" s="111"/>
      <c r="AM166" s="111"/>
      <c r="AN166" s="111"/>
      <c r="AO166" s="111"/>
      <c r="AP166" s="111"/>
    </row>
    <row r="167" spans="1:42" s="105" customFormat="1">
      <c r="A167" s="74"/>
      <c r="C167" s="111"/>
      <c r="D167" s="308">
        <f>findValueIndex(L173,L175:L302)</f>
        <v>60</v>
      </c>
      <c r="E167" s="132" t="str">
        <f>E165</f>
        <v>LO</v>
      </c>
      <c r="F167" s="106">
        <f>F165*(1+(($D$167&lt;64)*$D$167+($D$167&gt;63)*($D$167-63+F$173))*F$172)</f>
        <v>3.9023100823389774</v>
      </c>
      <c r="G167" s="106">
        <f t="shared" ref="G167:K167" si="185">G165*(1+(($D$167&lt;64)*$D$167+($D$167&gt;63)*($D$167-63+G$173))*G$172)</f>
        <v>6.7812667516045533</v>
      </c>
      <c r="H167" s="106">
        <f t="shared" si="185"/>
        <v>3.9703246742551213</v>
      </c>
      <c r="I167" s="106">
        <f t="shared" si="185"/>
        <v>4.2519954008634455</v>
      </c>
      <c r="J167" s="106">
        <f t="shared" si="185"/>
        <v>3.6893277103670328</v>
      </c>
      <c r="K167" s="106">
        <f t="shared" si="185"/>
        <v>6.8804107113644006</v>
      </c>
      <c r="L167" s="111">
        <f t="shared" ref="L167:L168" si="186">AVERAGE(F167:K167)</f>
        <v>4.9126058884655883</v>
      </c>
      <c r="M167" s="107">
        <f ca="1">L167/L$164-1</f>
        <v>7.8050931302571236E-3</v>
      </c>
      <c r="AM167" s="111"/>
      <c r="AN167" s="111"/>
      <c r="AO167" s="111"/>
      <c r="AP167" s="111"/>
    </row>
    <row r="168" spans="1:42" s="105" customFormat="1" ht="15.75" thickBot="1">
      <c r="A168" s="74"/>
      <c r="C168" s="111"/>
      <c r="D168" s="309"/>
      <c r="E168" s="132" t="str">
        <f>E166</f>
        <v>HI</v>
      </c>
      <c r="F168" s="106">
        <f>F166*(1+(($D$167&lt;64)*$D$167+($D$167&gt;63)*($D$167-63+F$173))*F$172)</f>
        <v>4.1731714185424229</v>
      </c>
      <c r="G168" s="106">
        <f t="shared" ref="G168:K168" si="187">G166*(1+(($D$167&lt;64)*$D$167+($D$167&gt;63)*($D$167-63+G$173))*G$172)</f>
        <v>7.2576112228950986</v>
      </c>
      <c r="H168" s="106">
        <f t="shared" si="187"/>
        <v>4.3041735963583383</v>
      </c>
      <c r="I168" s="106">
        <f t="shared" si="187"/>
        <v>4.6381550799384827</v>
      </c>
      <c r="J168" s="106">
        <f t="shared" si="187"/>
        <v>4.0017914301196562</v>
      </c>
      <c r="K168" s="106">
        <f t="shared" si="187"/>
        <v>7.3913812253311049</v>
      </c>
      <c r="L168" s="111">
        <f t="shared" si="186"/>
        <v>5.2943806621975176</v>
      </c>
      <c r="M168" s="107">
        <f ca="1">L168/L$164-1</f>
        <v>8.6124944168799455E-2</v>
      </c>
      <c r="AM168" s="111"/>
      <c r="AN168" s="111"/>
      <c r="AO168" s="111"/>
      <c r="AP168" s="111"/>
    </row>
    <row r="169" spans="1:42" s="105" customFormat="1">
      <c r="A169" s="74"/>
      <c r="C169" s="111"/>
      <c r="D169" s="286" t="s">
        <v>21</v>
      </c>
      <c r="E169" s="132" t="str">
        <f>E167</f>
        <v>LO</v>
      </c>
      <c r="F169" s="107">
        <f ca="1">F167/F$164-1</f>
        <v>-0.1257267654516363</v>
      </c>
      <c r="G169" s="107">
        <f t="shared" ref="G169:K169" ca="1" si="188">G167/G$164-1</f>
        <v>-6.5530024851787494E-2</v>
      </c>
      <c r="H169" s="107">
        <f t="shared" ca="1" si="188"/>
        <v>-0.118836101141372</v>
      </c>
      <c r="I169" s="107">
        <f t="shared" ca="1" si="188"/>
        <v>-2.5044164885516196E-2</v>
      </c>
      <c r="J169" s="107">
        <f t="shared" ca="1" si="188"/>
        <v>-0.11642137054545409</v>
      </c>
      <c r="K169" s="107">
        <f t="shared" ca="1" si="188"/>
        <v>0.53421977932218168</v>
      </c>
      <c r="L169" s="111"/>
      <c r="M169" s="107"/>
      <c r="AM169" s="111"/>
      <c r="AN169" s="111"/>
      <c r="AO169" s="111"/>
      <c r="AP169" s="111"/>
    </row>
    <row r="170" spans="1:42" s="105" customFormat="1">
      <c r="A170" s="74"/>
      <c r="C170" s="111"/>
      <c r="D170" s="286"/>
      <c r="E170" s="132" t="str">
        <f>E168</f>
        <v>HI</v>
      </c>
      <c r="F170" s="107">
        <f t="shared" ref="F170:K170" ca="1" si="189">F168/F$164-1</f>
        <v>-6.5043013643081848E-2</v>
      </c>
      <c r="G170" s="107">
        <f t="shared" ca="1" si="189"/>
        <v>1.1104525410976507E-4</v>
      </c>
      <c r="H170" s="107">
        <f t="shared" ca="1" si="189"/>
        <v>-4.4742508811819737E-2</v>
      </c>
      <c r="I170" s="107">
        <f t="shared" ca="1" si="189"/>
        <v>6.3499823737729111E-2</v>
      </c>
      <c r="J170" s="107">
        <f t="shared" ca="1" si="189"/>
        <v>-4.1587610324726465E-2</v>
      </c>
      <c r="K170" s="107">
        <f t="shared" ca="1" si="189"/>
        <v>0.64815790046999333</v>
      </c>
      <c r="L170" s="111"/>
      <c r="M170" s="107"/>
      <c r="AM170" s="111"/>
      <c r="AN170" s="111"/>
      <c r="AO170" s="111"/>
      <c r="AP170" s="111"/>
    </row>
    <row r="171" spans="1:42">
      <c r="A171" s="74"/>
      <c r="E171" s="111" t="s">
        <v>102</v>
      </c>
      <c r="F171" s="114">
        <f>AL155</f>
        <v>26.108869197894712</v>
      </c>
      <c r="G171" s="114">
        <f>AL156</f>
        <v>45.130680520680571</v>
      </c>
      <c r="H171" s="114">
        <f>AL157</f>
        <v>192.28388373164356</v>
      </c>
      <c r="I171" s="114">
        <f>AL158</f>
        <v>172.7048059898579</v>
      </c>
      <c r="J171" s="114">
        <f>AL159</f>
        <v>188.64606473346836</v>
      </c>
      <c r="K171" s="114">
        <f>AL160</f>
        <v>69.215150888917393</v>
      </c>
      <c r="L171" s="126"/>
    </row>
    <row r="172" spans="1:42">
      <c r="A172" s="74"/>
      <c r="E172" s="42" t="str">
        <f>D149</f>
        <v>ΔIR</v>
      </c>
      <c r="F172" s="97">
        <f>AL89</f>
        <v>-1.458985538094313E-2</v>
      </c>
      <c r="G172" s="97">
        <f>AL101</f>
        <v>-1.2833317784899092E-2</v>
      </c>
      <c r="H172" s="97">
        <f>AL113</f>
        <v>-1.473061878054308E-3</v>
      </c>
      <c r="I172" s="97">
        <f>AL125</f>
        <v>-1.4736956673901682E-3</v>
      </c>
      <c r="J172" s="97">
        <f>AL137</f>
        <v>-1.6546603149772932E-3</v>
      </c>
      <c r="K172" s="97">
        <f>AL149</f>
        <v>-7.0246432255271288E-3</v>
      </c>
    </row>
    <row r="173" spans="1:42">
      <c r="A173" s="74"/>
      <c r="E173" s="42" t="str">
        <f>D150</f>
        <v>code</v>
      </c>
      <c r="F173" s="99">
        <f>AL90</f>
        <v>69.374576925017109</v>
      </c>
      <c r="G173" s="99">
        <f>AL102</f>
        <v>78.952073959091351</v>
      </c>
      <c r="H173" s="99">
        <f>AL114</f>
        <v>135.53815947295786</v>
      </c>
      <c r="I173" s="99">
        <f>AL126</f>
        <v>139.25338607615498</v>
      </c>
      <c r="J173" s="99">
        <f>AL138</f>
        <v>138.90619658195277</v>
      </c>
      <c r="K173" s="99">
        <f>AL150</f>
        <v>133.19892158651348</v>
      </c>
      <c r="L173">
        <f>MIN(L175:L277)</f>
        <v>0.10724434714345664</v>
      </c>
    </row>
    <row r="174" spans="1:42" s="105" customFormat="1">
      <c r="A174" s="74"/>
      <c r="C174" s="111"/>
      <c r="D174" s="111"/>
      <c r="E174" s="111"/>
      <c r="F174" s="112" t="str">
        <f>F162</f>
        <v>HZ</v>
      </c>
      <c r="G174" s="112" t="str">
        <f t="shared" ref="G174:K174" si="190">G162</f>
        <v>A</v>
      </c>
      <c r="H174" s="112" t="str">
        <f t="shared" si="190"/>
        <v>U30</v>
      </c>
      <c r="I174" s="112" t="str">
        <f t="shared" si="190"/>
        <v>U35</v>
      </c>
      <c r="J174" s="112" t="str">
        <f t="shared" si="190"/>
        <v>CWF</v>
      </c>
      <c r="K174" s="112" t="str">
        <f t="shared" si="190"/>
        <v>D65</v>
      </c>
      <c r="P174" s="196" t="str">
        <f>F174</f>
        <v>HZ</v>
      </c>
      <c r="Q174" s="196" t="str">
        <f t="shared" ref="Q174:U174" si="191">G174</f>
        <v>A</v>
      </c>
      <c r="R174" s="196" t="str">
        <f t="shared" si="191"/>
        <v>U30</v>
      </c>
      <c r="S174" s="196" t="str">
        <f t="shared" si="191"/>
        <v>U35</v>
      </c>
      <c r="T174" s="196" t="str">
        <f t="shared" si="191"/>
        <v>CWF</v>
      </c>
      <c r="U174" s="196" t="str">
        <f t="shared" si="191"/>
        <v>D65</v>
      </c>
      <c r="V174" s="205">
        <f ca="1">MIN(V175:V302)-U256</f>
        <v>1.4928016992102555</v>
      </c>
      <c r="W174" s="196" t="str">
        <f>P174</f>
        <v>HZ</v>
      </c>
      <c r="X174" s="196" t="str">
        <f t="shared" ref="X174:AB174" si="192">Q174</f>
        <v>A</v>
      </c>
      <c r="Y174" s="196" t="str">
        <f t="shared" si="192"/>
        <v>U30</v>
      </c>
      <c r="Z174" s="196" t="str">
        <f t="shared" si="192"/>
        <v>U35</v>
      </c>
      <c r="AA174" s="196" t="str">
        <f t="shared" si="192"/>
        <v>CWF</v>
      </c>
      <c r="AB174" s="196" t="str">
        <f t="shared" si="192"/>
        <v>D65</v>
      </c>
      <c r="AM174" s="111"/>
      <c r="AN174" s="111"/>
      <c r="AO174" s="111"/>
      <c r="AP174" s="111"/>
    </row>
    <row r="175" spans="1:42">
      <c r="A175" s="74"/>
      <c r="E175" s="42">
        <v>0</v>
      </c>
      <c r="F175">
        <f t="shared" ref="F175:K175" si="193">F$171/(1+$E175*F$172)</f>
        <v>26.108869197894712</v>
      </c>
      <c r="G175" s="105">
        <f t="shared" si="193"/>
        <v>45.130680520680571</v>
      </c>
      <c r="H175" s="105">
        <f t="shared" si="193"/>
        <v>192.28388373164356</v>
      </c>
      <c r="I175" s="105">
        <f t="shared" si="193"/>
        <v>172.7048059898579</v>
      </c>
      <c r="J175" s="105">
        <f t="shared" si="193"/>
        <v>188.64606473346836</v>
      </c>
      <c r="K175" s="105">
        <f t="shared" si="193"/>
        <v>69.215150888917393</v>
      </c>
      <c r="L175">
        <f>ABS(2*(MAX(F175:J175)-MIN(F175:J175))/(MAX(F175:J175)+MIN(F175:J175)))</f>
        <v>1.5217997145478832</v>
      </c>
      <c r="N175" s="105">
        <f t="shared" ref="N175:N206" si="194">AVERAGE(F175:K175)</f>
        <v>115.68157584374374</v>
      </c>
      <c r="O175">
        <f>E175</f>
        <v>0</v>
      </c>
      <c r="P175" s="205">
        <f t="shared" ref="P175:P206" ca="1" si="195">attn/F175-1</f>
        <v>6.2466451961440237</v>
      </c>
      <c r="Q175" s="205">
        <f t="shared" ref="Q175:Q206" ca="1" si="196">attn/G175-1</f>
        <v>3.1923079680346733</v>
      </c>
      <c r="R175" s="205">
        <f t="shared" ref="R175:R206" ca="1" si="197">attn/H175-1</f>
        <v>-1.60292798447359E-2</v>
      </c>
      <c r="S175" s="205">
        <f t="shared" ref="S175:S206" ca="1" si="198">attn/I175-1</f>
        <v>9.5520825059073777E-2</v>
      </c>
      <c r="T175" s="205">
        <f t="shared" ref="T175:T206" ca="1" si="199">attn/J175-1</f>
        <v>2.9454461029605472E-3</v>
      </c>
      <c r="U175" s="205">
        <f t="shared" ref="U175:U206" ca="1" si="200">attn/K175-1</f>
        <v>1.7335302909810029</v>
      </c>
      <c r="V175" s="205">
        <f t="shared" ref="V175:V238" ca="1" si="201">(MAX(P175:U175)-MIN(P175:U175))/2</f>
        <v>3.13133723799438</v>
      </c>
      <c r="W175" s="205">
        <f ca="1">P175+$V$174</f>
        <v>7.7394468953542788</v>
      </c>
      <c r="X175" s="205">
        <f t="shared" ref="X175:X238" ca="1" si="202">Q175+$V$174</f>
        <v>4.6851096672449284</v>
      </c>
      <c r="Y175" s="205">
        <f t="shared" ref="Y175:Y238" ca="1" si="203">R175+$V$174</f>
        <v>1.4767724193655196</v>
      </c>
      <c r="Z175" s="205">
        <f t="shared" ref="Z175:Z238" ca="1" si="204">S175+$V$174</f>
        <v>1.5883225242693293</v>
      </c>
      <c r="AA175" s="205">
        <f t="shared" ref="AA175:AA238" ca="1" si="205">T175+$V$174</f>
        <v>1.4957471453132161</v>
      </c>
      <c r="AB175" s="205">
        <f t="shared" ref="AB175:AB238" ca="1" si="206">U175+$V$174</f>
        <v>3.2263319901912584</v>
      </c>
    </row>
    <row r="176" spans="1:42">
      <c r="A176" s="74"/>
      <c r="E176" s="42">
        <f>E175+1</f>
        <v>1</v>
      </c>
      <c r="F176" s="105">
        <f t="shared" ref="F176:I238" si="207">F$171/(1+$E176*F$172)</f>
        <v>26.495433744482067</v>
      </c>
      <c r="G176" s="105">
        <f t="shared" si="207"/>
        <v>45.71738626693918</v>
      </c>
      <c r="H176" s="105">
        <f t="shared" si="207"/>
        <v>192.56754764502986</v>
      </c>
      <c r="I176" s="105">
        <f t="shared" si="207"/>
        <v>172.9596959444043</v>
      </c>
      <c r="J176" s="105">
        <f t="shared" ref="J176:K238" si="208">J$171/(1+$E176*J$172)</f>
        <v>188.958727240602</v>
      </c>
      <c r="K176" s="105">
        <f t="shared" si="208"/>
        <v>69.704802255870803</v>
      </c>
      <c r="L176" s="105">
        <f t="shared" ref="L176:L239" si="209">ABS(2*(MAX(F176:J176)-MIN(F176:J176))/(MAX(F176:J176)+MIN(F176:J176)))</f>
        <v>1.5162042700885001</v>
      </c>
      <c r="N176">
        <f t="shared" si="194"/>
        <v>116.06726551622137</v>
      </c>
      <c r="O176" s="193">
        <f t="shared" ref="O176:O239" si="210">E176</f>
        <v>1</v>
      </c>
      <c r="P176" s="205">
        <f t="shared" ca="1" si="195"/>
        <v>6.140917690735276</v>
      </c>
      <c r="Q176" s="205">
        <f t="shared" ca="1" si="196"/>
        <v>3.1385067476287203</v>
      </c>
      <c r="R176" s="205">
        <f t="shared" ca="1" si="197"/>
        <v>-1.7478729601718257E-2</v>
      </c>
      <c r="S176" s="205">
        <f t="shared" ca="1" si="198"/>
        <v>9.3906360765648511E-2</v>
      </c>
      <c r="T176" s="205">
        <f t="shared" ca="1" si="199"/>
        <v>1.2859120752066744E-3</v>
      </c>
      <c r="U176" s="205">
        <f t="shared" ca="1" si="200"/>
        <v>1.7143282159406903</v>
      </c>
      <c r="V176" s="205">
        <f t="shared" ca="1" si="201"/>
        <v>3.0791982101684972</v>
      </c>
      <c r="W176" s="205">
        <f t="shared" ref="W176:W239" ca="1" si="211">P176+$V$174</f>
        <v>7.6337193899455311</v>
      </c>
      <c r="X176" s="205">
        <f t="shared" ca="1" si="202"/>
        <v>4.6313084468389754</v>
      </c>
      <c r="Y176" s="205">
        <f t="shared" ca="1" si="203"/>
        <v>1.4753229696085373</v>
      </c>
      <c r="Z176" s="205">
        <f t="shared" ca="1" si="204"/>
        <v>1.586708059975904</v>
      </c>
      <c r="AA176" s="205">
        <f t="shared" ca="1" si="205"/>
        <v>1.4940876112854622</v>
      </c>
      <c r="AB176" s="205">
        <f t="shared" ca="1" si="206"/>
        <v>3.2071299151509458</v>
      </c>
    </row>
    <row r="177" spans="1:37">
      <c r="A177" s="74"/>
      <c r="E177" s="111">
        <f t="shared" ref="E177:E241" si="212">E176+1</f>
        <v>2</v>
      </c>
      <c r="F177" s="105">
        <f t="shared" si="207"/>
        <v>26.8936171682038</v>
      </c>
      <c r="G177" s="105">
        <f t="shared" si="207"/>
        <v>46.31954746522856</v>
      </c>
      <c r="H177" s="105">
        <f t="shared" si="207"/>
        <v>192.85204973678734</v>
      </c>
      <c r="I177" s="105">
        <f t="shared" si="207"/>
        <v>173.21533938019815</v>
      </c>
      <c r="J177" s="105">
        <f t="shared" si="208"/>
        <v>189.27242788374565</v>
      </c>
      <c r="K177" s="105">
        <f t="shared" si="208"/>
        <v>70.201430900918282</v>
      </c>
      <c r="L177" s="105">
        <f t="shared" si="209"/>
        <v>1.5104592040974081</v>
      </c>
      <c r="N177" s="105">
        <f t="shared" si="194"/>
        <v>116.45906875584694</v>
      </c>
      <c r="O177" s="193">
        <f t="shared" si="210"/>
        <v>2</v>
      </c>
      <c r="P177" s="205">
        <f t="shared" ca="1" si="195"/>
        <v>6.0351901853265284</v>
      </c>
      <c r="Q177" s="205">
        <f t="shared" ca="1" si="196"/>
        <v>3.0847055272227664</v>
      </c>
      <c r="R177" s="205">
        <f t="shared" ca="1" si="197"/>
        <v>-1.8928179358700503E-2</v>
      </c>
      <c r="S177" s="205">
        <f t="shared" ca="1" si="198"/>
        <v>9.2291896472223245E-2</v>
      </c>
      <c r="T177" s="205">
        <f t="shared" ca="1" si="199"/>
        <v>-3.7362195254708741E-4</v>
      </c>
      <c r="U177" s="205">
        <f t="shared" ca="1" si="200"/>
        <v>1.6951261409003773</v>
      </c>
      <c r="V177" s="205">
        <f t="shared" ca="1" si="201"/>
        <v>3.0270591823426143</v>
      </c>
      <c r="W177" s="205">
        <f t="shared" ca="1" si="211"/>
        <v>7.5279918845367835</v>
      </c>
      <c r="X177" s="205">
        <f t="shared" ca="1" si="202"/>
        <v>4.5775072264330223</v>
      </c>
      <c r="Y177" s="205">
        <f t="shared" ca="1" si="203"/>
        <v>1.4738735198515549</v>
      </c>
      <c r="Z177" s="205">
        <f t="shared" ca="1" si="204"/>
        <v>1.5850935956824788</v>
      </c>
      <c r="AA177" s="205">
        <f t="shared" ca="1" si="205"/>
        <v>1.4924280772577085</v>
      </c>
      <c r="AB177" s="205">
        <f t="shared" ca="1" si="206"/>
        <v>3.1879278401106328</v>
      </c>
    </row>
    <row r="178" spans="1:37">
      <c r="A178" s="74"/>
      <c r="E178" s="111">
        <f t="shared" si="212"/>
        <v>3</v>
      </c>
      <c r="F178" s="105">
        <f t="shared" si="207"/>
        <v>27.303951300293502</v>
      </c>
      <c r="G178" s="105">
        <f t="shared" si="207"/>
        <v>46.937782975822643</v>
      </c>
      <c r="H178" s="105">
        <f t="shared" si="207"/>
        <v>193.13739372742344</v>
      </c>
      <c r="I178" s="105">
        <f t="shared" si="207"/>
        <v>173.47173964323852</v>
      </c>
      <c r="J178" s="105">
        <f t="shared" si="208"/>
        <v>189.58717184189507</v>
      </c>
      <c r="K178" s="105">
        <f t="shared" si="208"/>
        <v>70.705187028117479</v>
      </c>
      <c r="L178" s="105">
        <f t="shared" si="209"/>
        <v>1.5045584339569245</v>
      </c>
      <c r="N178" s="105">
        <f t="shared" si="194"/>
        <v>116.85720441946511</v>
      </c>
      <c r="O178" s="193">
        <f t="shared" si="210"/>
        <v>3</v>
      </c>
      <c r="P178" s="205">
        <f t="shared" ca="1" si="195"/>
        <v>5.9294626799177808</v>
      </c>
      <c r="Q178" s="205">
        <f t="shared" ca="1" si="196"/>
        <v>3.0309043068168133</v>
      </c>
      <c r="R178" s="205">
        <f t="shared" ca="1" si="197"/>
        <v>-2.037762911568286E-2</v>
      </c>
      <c r="S178" s="205">
        <f t="shared" ca="1" si="198"/>
        <v>9.0677432178797979E-2</v>
      </c>
      <c r="T178" s="205">
        <f t="shared" ca="1" si="199"/>
        <v>-2.0331559803008492E-3</v>
      </c>
      <c r="U178" s="205">
        <f t="shared" ca="1" si="200"/>
        <v>1.6759240658600643</v>
      </c>
      <c r="V178" s="205">
        <f t="shared" ca="1" si="201"/>
        <v>2.9749201545167319</v>
      </c>
      <c r="W178" s="205">
        <f t="shared" ca="1" si="211"/>
        <v>7.4222643791280358</v>
      </c>
      <c r="X178" s="205">
        <f t="shared" ca="1" si="202"/>
        <v>4.5237060060270693</v>
      </c>
      <c r="Y178" s="205">
        <f t="shared" ca="1" si="203"/>
        <v>1.4724240700945725</v>
      </c>
      <c r="Z178" s="205">
        <f t="shared" ca="1" si="204"/>
        <v>1.5834791313890535</v>
      </c>
      <c r="AA178" s="205">
        <f t="shared" ca="1" si="205"/>
        <v>1.4907685432299547</v>
      </c>
      <c r="AB178" s="205">
        <f t="shared" ca="1" si="206"/>
        <v>3.1687257650703198</v>
      </c>
    </row>
    <row r="179" spans="1:37">
      <c r="A179" s="74"/>
      <c r="E179" s="111">
        <f t="shared" si="212"/>
        <v>4</v>
      </c>
      <c r="F179" s="105">
        <f t="shared" si="207"/>
        <v>27.727000932929585</v>
      </c>
      <c r="G179" s="105">
        <f t="shared" si="207"/>
        <v>47.572745146121335</v>
      </c>
      <c r="H179" s="105">
        <f t="shared" si="207"/>
        <v>193.42358335949771</v>
      </c>
      <c r="I179" s="105">
        <f t="shared" si="207"/>
        <v>173.72890009936549</v>
      </c>
      <c r="J179" s="105">
        <f t="shared" si="208"/>
        <v>189.90296432855237</v>
      </c>
      <c r="K179" s="105">
        <f t="shared" si="208"/>
        <v>71.216225184064811</v>
      </c>
      <c r="L179" s="105">
        <f t="shared" si="209"/>
        <v>1.4984955428150042</v>
      </c>
      <c r="N179" s="105">
        <f t="shared" si="194"/>
        <v>117.26190317508855</v>
      </c>
      <c r="O179" s="193">
        <f t="shared" si="210"/>
        <v>4</v>
      </c>
      <c r="P179" s="205">
        <f t="shared" ca="1" si="195"/>
        <v>5.8237351745090331</v>
      </c>
      <c r="Q179" s="205">
        <f t="shared" ca="1" si="196"/>
        <v>2.9771030864108594</v>
      </c>
      <c r="R179" s="205">
        <f t="shared" ca="1" si="197"/>
        <v>-2.1827078872665329E-2</v>
      </c>
      <c r="S179" s="205">
        <f t="shared" ca="1" si="198"/>
        <v>8.9062967885372712E-2</v>
      </c>
      <c r="T179" s="205">
        <f t="shared" ca="1" si="199"/>
        <v>-3.6926900080545E-3</v>
      </c>
      <c r="U179" s="205">
        <f t="shared" ca="1" si="200"/>
        <v>1.6567219908197517</v>
      </c>
      <c r="V179" s="205">
        <f t="shared" ca="1" si="201"/>
        <v>2.9227811266908494</v>
      </c>
      <c r="W179" s="205">
        <f t="shared" ca="1" si="211"/>
        <v>7.3165368737192882</v>
      </c>
      <c r="X179" s="205">
        <f t="shared" ca="1" si="202"/>
        <v>4.4699047856211145</v>
      </c>
      <c r="Y179" s="205">
        <f t="shared" ca="1" si="203"/>
        <v>1.4709746203375902</v>
      </c>
      <c r="Z179" s="205">
        <f t="shared" ca="1" si="204"/>
        <v>1.5818646670956282</v>
      </c>
      <c r="AA179" s="205">
        <f t="shared" ca="1" si="205"/>
        <v>1.489109009202201</v>
      </c>
      <c r="AB179" s="205">
        <f t="shared" ca="1" si="206"/>
        <v>3.1495236900300072</v>
      </c>
    </row>
    <row r="180" spans="1:37">
      <c r="A180" s="74"/>
      <c r="E180" s="111">
        <f t="shared" si="212"/>
        <v>5</v>
      </c>
      <c r="F180" s="105">
        <f t="shared" si="207"/>
        <v>28.163366412919764</v>
      </c>
      <c r="G180" s="105">
        <f t="shared" si="207"/>
        <v>48.225122106737174</v>
      </c>
      <c r="H180" s="105">
        <f t="shared" si="207"/>
        <v>193.71062239778533</v>
      </c>
      <c r="I180" s="105">
        <f t="shared" si="207"/>
        <v>173.98682413440716</v>
      </c>
      <c r="J180" s="105">
        <f t="shared" si="208"/>
        <v>190.21981059201389</v>
      </c>
      <c r="K180" s="105">
        <f t="shared" si="208"/>
        <v>71.734704415971621</v>
      </c>
      <c r="L180" s="105">
        <f t="shared" si="209"/>
        <v>1.4922637563081314</v>
      </c>
      <c r="N180" s="105">
        <f t="shared" si="194"/>
        <v>117.67340834330582</v>
      </c>
      <c r="O180" s="193">
        <f t="shared" si="210"/>
        <v>5</v>
      </c>
      <c r="P180" s="205">
        <f t="shared" ca="1" si="195"/>
        <v>5.7180076691002863</v>
      </c>
      <c r="Q180" s="205">
        <f t="shared" ca="1" si="196"/>
        <v>2.9233018660049059</v>
      </c>
      <c r="R180" s="205">
        <f t="shared" ca="1" si="197"/>
        <v>-2.3276528629647797E-2</v>
      </c>
      <c r="S180" s="205">
        <f t="shared" ca="1" si="198"/>
        <v>8.7448503591947446E-2</v>
      </c>
      <c r="T180" s="205">
        <f t="shared" ca="1" si="199"/>
        <v>-5.3522240358083728E-3</v>
      </c>
      <c r="U180" s="205">
        <f t="shared" ca="1" si="200"/>
        <v>1.6375199157794387</v>
      </c>
      <c r="V180" s="205">
        <f t="shared" ca="1" si="201"/>
        <v>2.870642098864967</v>
      </c>
      <c r="W180" s="205">
        <f t="shared" ca="1" si="211"/>
        <v>7.2108093683105423</v>
      </c>
      <c r="X180" s="205">
        <f t="shared" ca="1" si="202"/>
        <v>4.4161035652151615</v>
      </c>
      <c r="Y180" s="205">
        <f t="shared" ca="1" si="203"/>
        <v>1.4695251705806078</v>
      </c>
      <c r="Z180" s="205">
        <f t="shared" ca="1" si="204"/>
        <v>1.580250202802203</v>
      </c>
      <c r="AA180" s="205">
        <f t="shared" ca="1" si="205"/>
        <v>1.4874494751744471</v>
      </c>
      <c r="AB180" s="205">
        <f t="shared" ca="1" si="206"/>
        <v>3.1303216149896942</v>
      </c>
    </row>
    <row r="181" spans="1:37">
      <c r="A181" s="74"/>
      <c r="E181" s="111">
        <f t="shared" si="212"/>
        <v>6</v>
      </c>
      <c r="F181" s="105">
        <f t="shared" si="207"/>
        <v>28.613686484216945</v>
      </c>
      <c r="G181" s="105">
        <f t="shared" si="207"/>
        <v>48.895640259129671</v>
      </c>
      <c r="H181" s="105">
        <f t="shared" si="207"/>
        <v>193.99851462944233</v>
      </c>
      <c r="I181" s="105">
        <f t="shared" si="207"/>
        <v>174.24551515432853</v>
      </c>
      <c r="J181" s="105">
        <f t="shared" si="208"/>
        <v>190.53771591566073</v>
      </c>
      <c r="K181" s="105">
        <f t="shared" si="208"/>
        <v>72.260788436695904</v>
      </c>
      <c r="L181" s="105">
        <f t="shared" si="209"/>
        <v>1.4858559173114212</v>
      </c>
      <c r="N181" s="105">
        <f t="shared" si="194"/>
        <v>118.09197681324567</v>
      </c>
      <c r="O181" s="193">
        <f t="shared" si="210"/>
        <v>6</v>
      </c>
      <c r="P181" s="205">
        <f t="shared" ca="1" si="195"/>
        <v>5.6122801636915387</v>
      </c>
      <c r="Q181" s="205">
        <f t="shared" ca="1" si="196"/>
        <v>2.8695006455989525</v>
      </c>
      <c r="R181" s="205">
        <f t="shared" ca="1" si="197"/>
        <v>-2.4725978386630154E-2</v>
      </c>
      <c r="S181" s="205">
        <f t="shared" ca="1" si="198"/>
        <v>8.583403929852218E-2</v>
      </c>
      <c r="T181" s="205">
        <f t="shared" ca="1" si="199"/>
        <v>-7.0117580635621346E-3</v>
      </c>
      <c r="U181" s="205">
        <f t="shared" ca="1" si="200"/>
        <v>1.6183178407391257</v>
      </c>
      <c r="V181" s="205">
        <f t="shared" ca="1" si="201"/>
        <v>2.8185030710390846</v>
      </c>
      <c r="W181" s="205">
        <f t="shared" ca="1" si="211"/>
        <v>7.1050818629017947</v>
      </c>
      <c r="X181" s="205">
        <f t="shared" ca="1" si="202"/>
        <v>4.3623023448092084</v>
      </c>
      <c r="Y181" s="205">
        <f t="shared" ca="1" si="203"/>
        <v>1.4680757208236255</v>
      </c>
      <c r="Z181" s="205">
        <f t="shared" ca="1" si="204"/>
        <v>1.5786357385087777</v>
      </c>
      <c r="AA181" s="205">
        <f t="shared" ca="1" si="205"/>
        <v>1.4857899411466935</v>
      </c>
      <c r="AB181" s="205">
        <f t="shared" ca="1" si="206"/>
        <v>3.1111195399493812</v>
      </c>
    </row>
    <row r="182" spans="1:37">
      <c r="E182" s="111">
        <f t="shared" si="212"/>
        <v>7</v>
      </c>
      <c r="F182" s="105">
        <f t="shared" si="207"/>
        <v>29.078641407569965</v>
      </c>
      <c r="G182" s="105">
        <f t="shared" si="207"/>
        <v>49.585066973692911</v>
      </c>
      <c r="H182" s="105">
        <f t="shared" si="207"/>
        <v>194.28726386417208</v>
      </c>
      <c r="I182" s="105">
        <f t="shared" si="207"/>
        <v>174.5049765853812</v>
      </c>
      <c r="J182" s="105">
        <f t="shared" si="208"/>
        <v>190.8566856182527</v>
      </c>
      <c r="K182" s="105">
        <f t="shared" si="208"/>
        <v>72.794645797089601</v>
      </c>
      <c r="L182" s="105">
        <f t="shared" si="209"/>
        <v>1.4792644585180801</v>
      </c>
      <c r="N182" s="105">
        <f t="shared" si="194"/>
        <v>118.5178800410264</v>
      </c>
      <c r="O182" s="193">
        <f t="shared" si="210"/>
        <v>7</v>
      </c>
      <c r="P182" s="205">
        <f t="shared" ca="1" si="195"/>
        <v>5.5065526582827911</v>
      </c>
      <c r="Q182" s="205">
        <f t="shared" ca="1" si="196"/>
        <v>2.815699425192999</v>
      </c>
      <c r="R182" s="205">
        <f t="shared" ca="1" si="197"/>
        <v>-2.6175428143612289E-2</v>
      </c>
      <c r="S182" s="205">
        <f t="shared" ca="1" si="198"/>
        <v>8.4219575005096914E-2</v>
      </c>
      <c r="T182" s="205">
        <f t="shared" ca="1" si="199"/>
        <v>-8.6712920913157854E-3</v>
      </c>
      <c r="U182" s="205">
        <f t="shared" ca="1" si="200"/>
        <v>1.5991157656988126</v>
      </c>
      <c r="V182" s="205">
        <f t="shared" ca="1" si="201"/>
        <v>2.7663640432132017</v>
      </c>
      <c r="W182" s="205">
        <f t="shared" ca="1" si="211"/>
        <v>6.999354357493047</v>
      </c>
      <c r="X182" s="205">
        <f t="shared" ca="1" si="202"/>
        <v>4.3085011244032545</v>
      </c>
      <c r="Y182" s="205">
        <f t="shared" ca="1" si="203"/>
        <v>1.4666262710666431</v>
      </c>
      <c r="Z182" s="205">
        <f t="shared" ca="1" si="204"/>
        <v>1.5770212742153524</v>
      </c>
      <c r="AA182" s="205">
        <f t="shared" ca="1" si="205"/>
        <v>1.4841304071189398</v>
      </c>
      <c r="AB182" s="205">
        <f t="shared" ca="1" si="206"/>
        <v>3.0919174649090682</v>
      </c>
    </row>
    <row r="183" spans="1:37">
      <c r="E183" s="111">
        <f t="shared" si="212"/>
        <v>8</v>
      </c>
      <c r="F183" s="105">
        <f t="shared" si="207"/>
        <v>29.558956389352812</v>
      </c>
      <c r="G183" s="105">
        <f t="shared" si="207"/>
        <v>50.294213519365222</v>
      </c>
      <c r="H183" s="105">
        <f t="shared" si="207"/>
        <v>194.57687393439343</v>
      </c>
      <c r="I183" s="105">
        <f t="shared" si="207"/>
        <v>174.76521187425482</v>
      </c>
      <c r="J183" s="105">
        <f t="shared" si="208"/>
        <v>191.17672505422479</v>
      </c>
      <c r="K183" s="105">
        <f t="shared" si="208"/>
        <v>73.33645006604246</v>
      </c>
      <c r="L183" s="105">
        <f t="shared" si="209"/>
        <v>1.4724813726273527</v>
      </c>
      <c r="N183" s="105">
        <f t="shared" si="194"/>
        <v>118.9514051396056</v>
      </c>
      <c r="O183" s="193">
        <f t="shared" si="210"/>
        <v>8</v>
      </c>
      <c r="P183" s="205">
        <f t="shared" ca="1" si="195"/>
        <v>5.4008251528740434</v>
      </c>
      <c r="Q183" s="205">
        <f t="shared" ca="1" si="196"/>
        <v>2.7618982047870455</v>
      </c>
      <c r="R183" s="205">
        <f t="shared" ca="1" si="197"/>
        <v>-2.7624877900594758E-2</v>
      </c>
      <c r="S183" s="205">
        <f t="shared" ca="1" si="198"/>
        <v>8.2605110711671648E-2</v>
      </c>
      <c r="T183" s="205">
        <f t="shared" ca="1" si="199"/>
        <v>-1.0330826119069769E-2</v>
      </c>
      <c r="U183" s="205">
        <f t="shared" ca="1" si="200"/>
        <v>1.5799136906585001</v>
      </c>
      <c r="V183" s="205">
        <f t="shared" ca="1" si="201"/>
        <v>2.7142250153873189</v>
      </c>
      <c r="W183" s="205">
        <f t="shared" ca="1" si="211"/>
        <v>6.8936268520842994</v>
      </c>
      <c r="X183" s="205">
        <f t="shared" ca="1" si="202"/>
        <v>4.2546999039973006</v>
      </c>
      <c r="Y183" s="205">
        <f t="shared" ca="1" si="203"/>
        <v>1.4651768213096608</v>
      </c>
      <c r="Z183" s="205">
        <f t="shared" ca="1" si="204"/>
        <v>1.5754068099219272</v>
      </c>
      <c r="AA183" s="205">
        <f t="shared" ca="1" si="205"/>
        <v>1.4824708730911857</v>
      </c>
      <c r="AB183" s="205">
        <f t="shared" ca="1" si="206"/>
        <v>3.0727153898687556</v>
      </c>
    </row>
    <row r="184" spans="1:37">
      <c r="E184" s="111">
        <f t="shared" si="212"/>
        <v>9</v>
      </c>
      <c r="F184" s="105">
        <f t="shared" si="207"/>
        <v>30.055405355921359</v>
      </c>
      <c r="G184" s="105">
        <f t="shared" si="207"/>
        <v>51.023938248275222</v>
      </c>
      <c r="H184" s="105">
        <f t="shared" si="207"/>
        <v>194.86734869541007</v>
      </c>
      <c r="I184" s="105">
        <f t="shared" si="207"/>
        <v>175.02622448822956</v>
      </c>
      <c r="J184" s="105">
        <f t="shared" si="208"/>
        <v>191.49783961398671</v>
      </c>
      <c r="K184" s="105">
        <f t="shared" si="208"/>
        <v>73.886380018626497</v>
      </c>
      <c r="L184" s="105">
        <f t="shared" si="209"/>
        <v>1.4654981798940241</v>
      </c>
      <c r="N184" s="105">
        <f t="shared" si="194"/>
        <v>119.3928560700749</v>
      </c>
      <c r="O184" s="193">
        <f t="shared" si="210"/>
        <v>9</v>
      </c>
      <c r="P184" s="205">
        <f t="shared" ca="1" si="195"/>
        <v>5.2950976474652958</v>
      </c>
      <c r="Q184" s="205">
        <f t="shared" ca="1" si="196"/>
        <v>2.7080969843810916</v>
      </c>
      <c r="R184" s="205">
        <f t="shared" ca="1" si="197"/>
        <v>-2.9074327657577115E-2</v>
      </c>
      <c r="S184" s="205">
        <f t="shared" ca="1" si="198"/>
        <v>8.0990646418246381E-2</v>
      </c>
      <c r="T184" s="205">
        <f t="shared" ca="1" si="199"/>
        <v>-1.199036014682342E-2</v>
      </c>
      <c r="U184" s="205">
        <f t="shared" ca="1" si="200"/>
        <v>1.5607116156181871</v>
      </c>
      <c r="V184" s="205">
        <f t="shared" ca="1" si="201"/>
        <v>2.6620859875614364</v>
      </c>
      <c r="W184" s="205">
        <f t="shared" ca="1" si="211"/>
        <v>6.7878993466755517</v>
      </c>
      <c r="X184" s="205">
        <f t="shared" ca="1" si="202"/>
        <v>4.2008986835913475</v>
      </c>
      <c r="Y184" s="205">
        <f t="shared" ca="1" si="203"/>
        <v>1.4637273715526784</v>
      </c>
      <c r="Z184" s="205">
        <f t="shared" ca="1" si="204"/>
        <v>1.5737923456285019</v>
      </c>
      <c r="AA184" s="205">
        <f t="shared" ca="1" si="205"/>
        <v>1.4808113390634321</v>
      </c>
      <c r="AB184" s="205">
        <f t="shared" ca="1" si="206"/>
        <v>3.0535133148284426</v>
      </c>
      <c r="AD184" s="304" t="s">
        <v>121</v>
      </c>
      <c r="AE184" s="304"/>
      <c r="AF184" s="304"/>
      <c r="AG184" s="304"/>
      <c r="AH184" s="304"/>
      <c r="AI184" s="304"/>
      <c r="AJ184" s="304"/>
      <c r="AK184" s="304"/>
    </row>
    <row r="185" spans="1:37">
      <c r="E185" s="111">
        <f t="shared" si="212"/>
        <v>10</v>
      </c>
      <c r="F185" s="105">
        <f t="shared" si="207"/>
        <v>30.568815114813951</v>
      </c>
      <c r="G185" s="105">
        <f t="shared" si="207"/>
        <v>51.775150061707926</v>
      </c>
      <c r="H185" s="105">
        <f t="shared" si="207"/>
        <v>195.15869202558181</v>
      </c>
      <c r="I185" s="105">
        <f t="shared" si="207"/>
        <v>175.28801791533024</v>
      </c>
      <c r="J185" s="105">
        <f t="shared" si="208"/>
        <v>191.82003472422579</v>
      </c>
      <c r="K185" s="105">
        <f t="shared" si="208"/>
        <v>74.444619832769462</v>
      </c>
      <c r="L185" s="105">
        <f t="shared" si="209"/>
        <v>1.4583058927629753</v>
      </c>
      <c r="N185" s="105">
        <f t="shared" si="194"/>
        <v>119.8425549457382</v>
      </c>
      <c r="O185" s="193">
        <f t="shared" si="210"/>
        <v>10</v>
      </c>
      <c r="P185" s="205">
        <f t="shared" ca="1" si="195"/>
        <v>5.1893701420565481</v>
      </c>
      <c r="Q185" s="205">
        <f t="shared" ca="1" si="196"/>
        <v>2.6542957639751381</v>
      </c>
      <c r="R185" s="205">
        <f t="shared" ca="1" si="197"/>
        <v>-3.0523777414559472E-2</v>
      </c>
      <c r="S185" s="205">
        <f t="shared" ca="1" si="198"/>
        <v>7.9376182124821115E-2</v>
      </c>
      <c r="T185" s="205">
        <f t="shared" ca="1" si="199"/>
        <v>-1.3649894174577182E-2</v>
      </c>
      <c r="U185" s="205">
        <f t="shared" ca="1" si="200"/>
        <v>1.541509540577874</v>
      </c>
      <c r="V185" s="205">
        <f t="shared" ca="1" si="201"/>
        <v>2.609946959735554</v>
      </c>
      <c r="W185" s="205">
        <f t="shared" ca="1" si="211"/>
        <v>6.6821718412668041</v>
      </c>
      <c r="X185" s="205">
        <f t="shared" ca="1" si="202"/>
        <v>4.1470974631853936</v>
      </c>
      <c r="Y185" s="205">
        <f t="shared" ca="1" si="203"/>
        <v>1.462277921795696</v>
      </c>
      <c r="Z185" s="205">
        <f t="shared" ca="1" si="204"/>
        <v>1.5721778813350766</v>
      </c>
      <c r="AA185" s="205">
        <f t="shared" ca="1" si="205"/>
        <v>1.4791518050356784</v>
      </c>
      <c r="AB185" s="205">
        <f t="shared" ca="1" si="206"/>
        <v>3.0343112397881296</v>
      </c>
    </row>
    <row r="186" spans="1:37">
      <c r="E186" s="111">
        <f t="shared" si="212"/>
        <v>11</v>
      </c>
      <c r="F186" s="105">
        <f t="shared" si="207"/>
        <v>31.100069949856561</v>
      </c>
      <c r="G186" s="105">
        <f t="shared" si="207"/>
        <v>52.548812186816981</v>
      </c>
      <c r="H186" s="105">
        <f t="shared" si="207"/>
        <v>195.45090782649706</v>
      </c>
      <c r="I186" s="105">
        <f t="shared" si="207"/>
        <v>175.55059566448151</v>
      </c>
      <c r="J186" s="105">
        <f t="shared" si="208"/>
        <v>192.14331584821241</v>
      </c>
      <c r="K186" s="105">
        <f t="shared" si="208"/>
        <v>75.011359294911813</v>
      </c>
      <c r="L186" s="105">
        <f t="shared" si="209"/>
        <v>1.4508949772786608</v>
      </c>
      <c r="N186" s="105">
        <f t="shared" si="194"/>
        <v>120.30084346179605</v>
      </c>
      <c r="O186" s="193">
        <f t="shared" si="210"/>
        <v>11</v>
      </c>
      <c r="P186" s="205">
        <f t="shared" ca="1" si="195"/>
        <v>5.0836426366478005</v>
      </c>
      <c r="Q186" s="205">
        <f t="shared" ca="1" si="196"/>
        <v>2.6004945435691842</v>
      </c>
      <c r="R186" s="205">
        <f t="shared" ca="1" si="197"/>
        <v>-3.1973227171541829E-2</v>
      </c>
      <c r="S186" s="205">
        <f t="shared" ca="1" si="198"/>
        <v>7.7761717831395849E-2</v>
      </c>
      <c r="T186" s="205">
        <f t="shared" ca="1" si="199"/>
        <v>-1.5309428202331055E-2</v>
      </c>
      <c r="U186" s="205">
        <f t="shared" ca="1" si="200"/>
        <v>1.522307465537561</v>
      </c>
      <c r="V186" s="205">
        <f t="shared" ca="1" si="201"/>
        <v>2.5578079319096712</v>
      </c>
      <c r="W186" s="205">
        <f t="shared" ca="1" si="211"/>
        <v>6.5764443358580564</v>
      </c>
      <c r="X186" s="205">
        <f t="shared" ca="1" si="202"/>
        <v>4.0932962427794397</v>
      </c>
      <c r="Y186" s="205">
        <f t="shared" ca="1" si="203"/>
        <v>1.4608284720387137</v>
      </c>
      <c r="Z186" s="205">
        <f t="shared" ca="1" si="204"/>
        <v>1.5705634170416514</v>
      </c>
      <c r="AA186" s="205">
        <f t="shared" ca="1" si="205"/>
        <v>1.4774922710079244</v>
      </c>
      <c r="AB186" s="205">
        <f t="shared" ca="1" si="206"/>
        <v>3.0151091647478165</v>
      </c>
    </row>
    <row r="187" spans="1:37">
      <c r="E187" s="111">
        <f t="shared" si="212"/>
        <v>12</v>
      </c>
      <c r="F187" s="105">
        <f t="shared" si="207"/>
        <v>31.650116703891751</v>
      </c>
      <c r="G187" s="105">
        <f t="shared" si="207"/>
        <v>53.345946297079564</v>
      </c>
      <c r="H187" s="105">
        <f t="shared" si="207"/>
        <v>195.74400002314707</v>
      </c>
      <c r="I187" s="105">
        <f t="shared" si="207"/>
        <v>175.81396126566486</v>
      </c>
      <c r="J187" s="105">
        <f t="shared" si="208"/>
        <v>192.4676884861089</v>
      </c>
      <c r="K187" s="105">
        <f t="shared" si="208"/>
        <v>75.58679401512974</v>
      </c>
      <c r="L187" s="105">
        <f t="shared" si="209"/>
        <v>1.443255310921097</v>
      </c>
      <c r="N187" s="105">
        <f t="shared" si="194"/>
        <v>120.76808446517032</v>
      </c>
      <c r="O187" s="193">
        <f t="shared" si="210"/>
        <v>12</v>
      </c>
      <c r="P187" s="205">
        <f t="shared" ca="1" si="195"/>
        <v>4.9779151312390528</v>
      </c>
      <c r="Q187" s="205">
        <f t="shared" ca="1" si="196"/>
        <v>2.5466933231632312</v>
      </c>
      <c r="R187" s="205">
        <f t="shared" ca="1" si="197"/>
        <v>-3.3422676928524186E-2</v>
      </c>
      <c r="S187" s="205">
        <f t="shared" ca="1" si="198"/>
        <v>7.6147253537970583E-2</v>
      </c>
      <c r="T187" s="205">
        <f t="shared" ca="1" si="199"/>
        <v>-1.6968962230084816E-2</v>
      </c>
      <c r="U187" s="205">
        <f t="shared" ca="1" si="200"/>
        <v>1.503105390497248</v>
      </c>
      <c r="V187" s="205">
        <f t="shared" ca="1" si="201"/>
        <v>2.5056689040837883</v>
      </c>
      <c r="W187" s="205">
        <f t="shared" ca="1" si="211"/>
        <v>6.4707168304493088</v>
      </c>
      <c r="X187" s="205">
        <f t="shared" ca="1" si="202"/>
        <v>4.0394950223734867</v>
      </c>
      <c r="Y187" s="205">
        <f t="shared" ca="1" si="203"/>
        <v>1.4593790222817313</v>
      </c>
      <c r="Z187" s="205">
        <f t="shared" ca="1" si="204"/>
        <v>1.5689489527482261</v>
      </c>
      <c r="AA187" s="205">
        <f t="shared" ca="1" si="205"/>
        <v>1.4758327369801707</v>
      </c>
      <c r="AB187" s="205">
        <f t="shared" ca="1" si="206"/>
        <v>2.9959070897075035</v>
      </c>
    </row>
    <row r="188" spans="1:37">
      <c r="E188" s="111">
        <f t="shared" si="212"/>
        <v>13</v>
      </c>
      <c r="F188" s="105">
        <f t="shared" si="207"/>
        <v>32.219970410588502</v>
      </c>
      <c r="G188" s="105">
        <f t="shared" si="207"/>
        <v>54.167637013557098</v>
      </c>
      <c r="H188" s="105">
        <f t="shared" si="207"/>
        <v>196.03797256410161</v>
      </c>
      <c r="I188" s="105">
        <f t="shared" si="207"/>
        <v>176.07811827007663</v>
      </c>
      <c r="J188" s="105">
        <f t="shared" si="208"/>
        <v>192.79315817528149</v>
      </c>
      <c r="K188" s="105">
        <f t="shared" si="208"/>
        <v>76.171125652236228</v>
      </c>
      <c r="L188" s="105">
        <f t="shared" si="209"/>
        <v>1.4353761364762472</v>
      </c>
      <c r="N188" s="105">
        <f t="shared" si="194"/>
        <v>121.24466368097359</v>
      </c>
      <c r="O188" s="193">
        <f t="shared" si="210"/>
        <v>13</v>
      </c>
      <c r="P188" s="205">
        <f t="shared" ca="1" si="195"/>
        <v>4.8721876258303052</v>
      </c>
      <c r="Q188" s="205">
        <f t="shared" ca="1" si="196"/>
        <v>2.4928921027572777</v>
      </c>
      <c r="R188" s="205">
        <f t="shared" ca="1" si="197"/>
        <v>-3.4872126685506655E-2</v>
      </c>
      <c r="S188" s="205">
        <f t="shared" ca="1" si="198"/>
        <v>7.4532789244545317E-2</v>
      </c>
      <c r="T188" s="205">
        <f t="shared" ca="1" si="199"/>
        <v>-1.8628496257838467E-2</v>
      </c>
      <c r="U188" s="205">
        <f t="shared" ca="1" si="200"/>
        <v>1.4839033154569354</v>
      </c>
      <c r="V188" s="205">
        <f t="shared" ca="1" si="201"/>
        <v>2.4535298762579059</v>
      </c>
      <c r="W188" s="205">
        <f t="shared" ca="1" si="211"/>
        <v>6.3649893250405611</v>
      </c>
      <c r="X188" s="205">
        <f t="shared" ca="1" si="202"/>
        <v>3.9856938019675332</v>
      </c>
      <c r="Y188" s="205">
        <f t="shared" ca="1" si="203"/>
        <v>1.457929572524749</v>
      </c>
      <c r="Z188" s="205">
        <f t="shared" ca="1" si="204"/>
        <v>1.5673344884548008</v>
      </c>
      <c r="AA188" s="205">
        <f t="shared" ca="1" si="205"/>
        <v>1.474173202952417</v>
      </c>
      <c r="AB188" s="205">
        <f t="shared" ca="1" si="206"/>
        <v>2.976705014667191</v>
      </c>
    </row>
    <row r="189" spans="1:37">
      <c r="E189" s="111">
        <f t="shared" si="212"/>
        <v>14</v>
      </c>
      <c r="F189" s="105">
        <f t="shared" si="207"/>
        <v>32.810720545804244</v>
      </c>
      <c r="G189" s="105">
        <f t="shared" si="207"/>
        <v>55.015036828662758</v>
      </c>
      <c r="H189" s="105">
        <f t="shared" si="207"/>
        <v>196.33282942168631</v>
      </c>
      <c r="I189" s="105">
        <f t="shared" si="207"/>
        <v>176.34307025028772</v>
      </c>
      <c r="J189" s="105">
        <f t="shared" si="208"/>
        <v>193.11973049061541</v>
      </c>
      <c r="K189" s="105">
        <f t="shared" si="208"/>
        <v>76.764562149404583</v>
      </c>
      <c r="L189" s="105">
        <f t="shared" si="209"/>
        <v>1.4272460114987442</v>
      </c>
      <c r="N189" s="105">
        <f t="shared" si="194"/>
        <v>121.73099161441017</v>
      </c>
      <c r="O189" s="193">
        <f t="shared" si="210"/>
        <v>14</v>
      </c>
      <c r="P189" s="205">
        <f t="shared" ca="1" si="195"/>
        <v>4.7664601204215566</v>
      </c>
      <c r="Q189" s="205">
        <f t="shared" ca="1" si="196"/>
        <v>2.4390908823513238</v>
      </c>
      <c r="R189" s="205">
        <f t="shared" ca="1" si="197"/>
        <v>-3.6321576442488901E-2</v>
      </c>
      <c r="S189" s="205">
        <f t="shared" ca="1" si="198"/>
        <v>7.291832495112005E-2</v>
      </c>
      <c r="T189" s="205">
        <f t="shared" ca="1" si="199"/>
        <v>-2.0288030285592229E-2</v>
      </c>
      <c r="U189" s="205">
        <f t="shared" ca="1" si="200"/>
        <v>1.4647012404166224</v>
      </c>
      <c r="V189" s="205">
        <f t="shared" ca="1" si="201"/>
        <v>2.4013908484320226</v>
      </c>
      <c r="W189" s="205">
        <f t="shared" ca="1" si="211"/>
        <v>6.2592618196318117</v>
      </c>
      <c r="X189" s="205">
        <f t="shared" ca="1" si="202"/>
        <v>3.9318925815615793</v>
      </c>
      <c r="Y189" s="205">
        <f t="shared" ca="1" si="203"/>
        <v>1.4564801227677666</v>
      </c>
      <c r="Z189" s="205">
        <f t="shared" ca="1" si="204"/>
        <v>1.5657200241613756</v>
      </c>
      <c r="AA189" s="205">
        <f t="shared" ca="1" si="205"/>
        <v>1.4725136689246634</v>
      </c>
      <c r="AB189" s="205">
        <f t="shared" ca="1" si="206"/>
        <v>2.9575029396268779</v>
      </c>
    </row>
    <row r="190" spans="1:37">
      <c r="E190" s="111">
        <f t="shared" si="212"/>
        <v>15</v>
      </c>
      <c r="F190" s="105">
        <f t="shared" si="207"/>
        <v>33.423537979500239</v>
      </c>
      <c r="G190" s="105">
        <f t="shared" si="207"/>
        <v>55.889371499439385</v>
      </c>
      <c r="H190" s="105">
        <f t="shared" si="207"/>
        <v>196.62857459216161</v>
      </c>
      <c r="I190" s="105">
        <f t="shared" si="207"/>
        <v>176.60882080040454</v>
      </c>
      <c r="J190" s="105">
        <f t="shared" si="208"/>
        <v>193.44741104483316</v>
      </c>
      <c r="K190" s="105">
        <f t="shared" si="208"/>
        <v>77.367317980892608</v>
      </c>
      <c r="L190" s="105">
        <f t="shared" si="209"/>
        <v>1.4188527528676582</v>
      </c>
      <c r="N190" s="105">
        <f t="shared" si="194"/>
        <v>122.2275056495386</v>
      </c>
      <c r="O190" s="193">
        <f t="shared" si="210"/>
        <v>15</v>
      </c>
      <c r="P190" s="205">
        <f t="shared" ca="1" si="195"/>
        <v>4.6607326150128108</v>
      </c>
      <c r="Q190" s="205">
        <f t="shared" ca="1" si="196"/>
        <v>2.3852896619453707</v>
      </c>
      <c r="R190" s="205">
        <f t="shared" ca="1" si="197"/>
        <v>-3.7771026199471258E-2</v>
      </c>
      <c r="S190" s="205">
        <f t="shared" ca="1" si="198"/>
        <v>7.1303860657694784E-2</v>
      </c>
      <c r="T190" s="205">
        <f t="shared" ca="1" si="199"/>
        <v>-2.1947564313346102E-2</v>
      </c>
      <c r="U190" s="205">
        <f t="shared" ca="1" si="200"/>
        <v>1.445499165376309</v>
      </c>
      <c r="V190" s="205">
        <f t="shared" ca="1" si="201"/>
        <v>2.349251820606141</v>
      </c>
      <c r="W190" s="205">
        <f t="shared" ca="1" si="211"/>
        <v>6.1535343142230658</v>
      </c>
      <c r="X190" s="205">
        <f t="shared" ca="1" si="202"/>
        <v>3.8780913611556262</v>
      </c>
      <c r="Y190" s="205">
        <f t="shared" ca="1" si="203"/>
        <v>1.4550306730107843</v>
      </c>
      <c r="Z190" s="205">
        <f t="shared" ca="1" si="204"/>
        <v>1.5641055598679503</v>
      </c>
      <c r="AA190" s="205">
        <f t="shared" ca="1" si="205"/>
        <v>1.4708541348969093</v>
      </c>
      <c r="AB190" s="205">
        <f t="shared" ca="1" si="206"/>
        <v>2.9383008645865645</v>
      </c>
    </row>
    <row r="191" spans="1:37">
      <c r="E191" s="111">
        <f t="shared" si="212"/>
        <v>16</v>
      </c>
      <c r="F191" s="105">
        <f t="shared" si="207"/>
        <v>34.05968272154513</v>
      </c>
      <c r="G191" s="105">
        <f t="shared" si="207"/>
        <v>56.791945963423458</v>
      </c>
      <c r="H191" s="105">
        <f t="shared" si="207"/>
        <v>196.9252120959033</v>
      </c>
      <c r="I191" s="105">
        <f t="shared" si="207"/>
        <v>176.87537353623171</v>
      </c>
      <c r="J191" s="105">
        <f t="shared" si="208"/>
        <v>193.77620548881603</v>
      </c>
      <c r="K191" s="105">
        <f t="shared" si="208"/>
        <v>77.979614410482398</v>
      </c>
      <c r="L191" s="105">
        <f t="shared" si="209"/>
        <v>1.4101833758703033</v>
      </c>
      <c r="N191" s="105">
        <f t="shared" si="194"/>
        <v>122.73467236940034</v>
      </c>
      <c r="O191" s="193">
        <f t="shared" si="210"/>
        <v>16</v>
      </c>
      <c r="P191" s="205">
        <f t="shared" ca="1" si="195"/>
        <v>4.5550051096040622</v>
      </c>
      <c r="Q191" s="205">
        <f t="shared" ca="1" si="196"/>
        <v>2.3314884415394168</v>
      </c>
      <c r="R191" s="205">
        <f t="shared" ca="1" si="197"/>
        <v>-3.9220475956453726E-2</v>
      </c>
      <c r="S191" s="205">
        <f t="shared" ca="1" si="198"/>
        <v>6.9689396364269518E-2</v>
      </c>
      <c r="T191" s="205">
        <f t="shared" ca="1" si="199"/>
        <v>-2.3607098341099753E-2</v>
      </c>
      <c r="U191" s="205">
        <f t="shared" ca="1" si="200"/>
        <v>1.4262970903359964</v>
      </c>
      <c r="V191" s="205">
        <f t="shared" ca="1" si="201"/>
        <v>2.2971127927802582</v>
      </c>
      <c r="W191" s="205">
        <f t="shared" ca="1" si="211"/>
        <v>6.0478068088143182</v>
      </c>
      <c r="X191" s="205">
        <f t="shared" ca="1" si="202"/>
        <v>3.8242901407496723</v>
      </c>
      <c r="Y191" s="205">
        <f t="shared" ca="1" si="203"/>
        <v>1.4535812232538019</v>
      </c>
      <c r="Z191" s="205">
        <f t="shared" ca="1" si="204"/>
        <v>1.562491095574525</v>
      </c>
      <c r="AA191" s="205">
        <f t="shared" ca="1" si="205"/>
        <v>1.4691946008691557</v>
      </c>
      <c r="AB191" s="205">
        <f t="shared" ca="1" si="206"/>
        <v>2.9190987895462519</v>
      </c>
    </row>
    <row r="192" spans="1:37">
      <c r="E192" s="111">
        <f t="shared" si="212"/>
        <v>17</v>
      </c>
      <c r="F192" s="105">
        <f t="shared" si="207"/>
        <v>34.720512569228056</v>
      </c>
      <c r="G192" s="105">
        <f t="shared" si="207"/>
        <v>57.724150837140641</v>
      </c>
      <c r="H192" s="105">
        <f t="shared" si="207"/>
        <v>197.22274597758462</v>
      </c>
      <c r="I192" s="105">
        <f t="shared" si="207"/>
        <v>177.14273209543583</v>
      </c>
      <c r="J192" s="105">
        <f t="shared" si="208"/>
        <v>194.10611951192905</v>
      </c>
      <c r="K192" s="105">
        <f t="shared" si="208"/>
        <v>78.601679762290217</v>
      </c>
      <c r="L192" s="105">
        <f t="shared" si="209"/>
        <v>1.401224027173517</v>
      </c>
      <c r="N192" s="105">
        <f t="shared" si="194"/>
        <v>123.2529901256014</v>
      </c>
      <c r="O192" s="193">
        <f t="shared" si="210"/>
        <v>17</v>
      </c>
      <c r="P192" s="205">
        <f t="shared" ca="1" si="195"/>
        <v>4.4492776041953155</v>
      </c>
      <c r="Q192" s="205">
        <f t="shared" ca="1" si="196"/>
        <v>2.2776872211334633</v>
      </c>
      <c r="R192" s="205">
        <f t="shared" ca="1" si="197"/>
        <v>-4.0669925713436084E-2</v>
      </c>
      <c r="S192" s="205">
        <f t="shared" ca="1" si="198"/>
        <v>6.8074932070844252E-2</v>
      </c>
      <c r="T192" s="205">
        <f t="shared" ca="1" si="199"/>
        <v>-2.5266632368853514E-2</v>
      </c>
      <c r="U192" s="205">
        <f t="shared" ca="1" si="200"/>
        <v>1.4070950152956834</v>
      </c>
      <c r="V192" s="205">
        <f t="shared" ca="1" si="201"/>
        <v>2.2449737649543757</v>
      </c>
      <c r="W192" s="205">
        <f t="shared" ca="1" si="211"/>
        <v>5.9420793034055706</v>
      </c>
      <c r="X192" s="205">
        <f t="shared" ca="1" si="202"/>
        <v>3.7704889203437189</v>
      </c>
      <c r="Y192" s="205">
        <f t="shared" ca="1" si="203"/>
        <v>1.4521317734968195</v>
      </c>
      <c r="Z192" s="205">
        <f t="shared" ca="1" si="204"/>
        <v>1.5608766312810998</v>
      </c>
      <c r="AA192" s="205">
        <f t="shared" ca="1" si="205"/>
        <v>1.467535066841402</v>
      </c>
      <c r="AB192" s="205">
        <f t="shared" ca="1" si="206"/>
        <v>2.8998967145059389</v>
      </c>
    </row>
    <row r="193" spans="5:28">
      <c r="E193" s="111">
        <f t="shared" si="212"/>
        <v>18</v>
      </c>
      <c r="F193" s="105">
        <f t="shared" si="207"/>
        <v>35.407492781370379</v>
      </c>
      <c r="G193" s="105">
        <f t="shared" si="207"/>
        <v>58.687469565295018</v>
      </c>
      <c r="H193" s="105">
        <f t="shared" si="207"/>
        <v>197.52118030636018</v>
      </c>
      <c r="I193" s="105">
        <f t="shared" si="207"/>
        <v>177.41090013771114</v>
      </c>
      <c r="J193" s="105">
        <f t="shared" si="208"/>
        <v>194.43715884234905</v>
      </c>
      <c r="K193" s="105">
        <f t="shared" si="208"/>
        <v>79.233749704642292</v>
      </c>
      <c r="L193" s="105">
        <f t="shared" si="209"/>
        <v>1.391959910954639</v>
      </c>
      <c r="N193" s="105">
        <f t="shared" si="194"/>
        <v>123.78299188962133</v>
      </c>
      <c r="O193" s="193">
        <f t="shared" si="210"/>
        <v>18</v>
      </c>
      <c r="P193" s="205">
        <f t="shared" ca="1" si="195"/>
        <v>4.3435500987865678</v>
      </c>
      <c r="Q193" s="205">
        <f t="shared" ca="1" si="196"/>
        <v>2.2238860007275094</v>
      </c>
      <c r="R193" s="205">
        <f t="shared" ca="1" si="197"/>
        <v>-4.211937547041833E-2</v>
      </c>
      <c r="S193" s="205">
        <f t="shared" ca="1" si="198"/>
        <v>6.6460467777418986E-2</v>
      </c>
      <c r="T193" s="205">
        <f t="shared" ca="1" si="199"/>
        <v>-2.6926166396607276E-2</v>
      </c>
      <c r="U193" s="205">
        <f t="shared" ca="1" si="200"/>
        <v>1.3878929402553708</v>
      </c>
      <c r="V193" s="205">
        <f t="shared" ca="1" si="201"/>
        <v>2.1928347371284929</v>
      </c>
      <c r="W193" s="205">
        <f t="shared" ca="1" si="211"/>
        <v>5.8363517979968229</v>
      </c>
      <c r="X193" s="205">
        <f t="shared" ca="1" si="202"/>
        <v>3.7166876999377649</v>
      </c>
      <c r="Y193" s="205">
        <f t="shared" ca="1" si="203"/>
        <v>1.4506823237398372</v>
      </c>
      <c r="Z193" s="205">
        <f t="shared" ca="1" si="204"/>
        <v>1.5592621669876745</v>
      </c>
      <c r="AA193" s="205">
        <f t="shared" ca="1" si="205"/>
        <v>1.4658755328136484</v>
      </c>
      <c r="AB193" s="205">
        <f t="shared" ca="1" si="206"/>
        <v>2.8806946394656263</v>
      </c>
    </row>
    <row r="194" spans="5:28">
      <c r="E194" s="111">
        <f t="shared" si="212"/>
        <v>19</v>
      </c>
      <c r="F194" s="105">
        <f t="shared" si="207"/>
        <v>36.122206924091728</v>
      </c>
      <c r="G194" s="105">
        <f t="shared" si="207"/>
        <v>59.683486297954715</v>
      </c>
      <c r="H194" s="105">
        <f t="shared" si="207"/>
        <v>197.82051917605145</v>
      </c>
      <c r="I194" s="105">
        <f t="shared" si="207"/>
        <v>177.67988134494638</v>
      </c>
      <c r="J194" s="105">
        <f t="shared" si="208"/>
        <v>194.7693292473962</v>
      </c>
      <c r="K194" s="105">
        <f t="shared" si="208"/>
        <v>79.876067547758467</v>
      </c>
      <c r="L194" s="105">
        <f t="shared" si="209"/>
        <v>1.3823752073637203</v>
      </c>
      <c r="N194" s="105">
        <f t="shared" si="194"/>
        <v>124.32524842303314</v>
      </c>
      <c r="O194" s="193">
        <f t="shared" si="210"/>
        <v>19</v>
      </c>
      <c r="P194" s="205">
        <f t="shared" ca="1" si="195"/>
        <v>4.2378225933778202</v>
      </c>
      <c r="Q194" s="205">
        <f t="shared" ca="1" si="196"/>
        <v>2.1700847803215564</v>
      </c>
      <c r="R194" s="205">
        <f t="shared" ca="1" si="197"/>
        <v>-4.3568825227400687E-2</v>
      </c>
      <c r="S194" s="205">
        <f t="shared" ca="1" si="198"/>
        <v>6.4846003483993941E-2</v>
      </c>
      <c r="T194" s="205">
        <f t="shared" ca="1" si="199"/>
        <v>-2.8585700424361038E-2</v>
      </c>
      <c r="U194" s="205">
        <f t="shared" ca="1" si="200"/>
        <v>1.3686908652150578</v>
      </c>
      <c r="V194" s="205">
        <f t="shared" ca="1" si="201"/>
        <v>2.1406957093026104</v>
      </c>
      <c r="W194" s="205">
        <f t="shared" ca="1" si="211"/>
        <v>5.7306242925880753</v>
      </c>
      <c r="X194" s="205">
        <f t="shared" ca="1" si="202"/>
        <v>3.6628864795318119</v>
      </c>
      <c r="Y194" s="205">
        <f t="shared" ca="1" si="203"/>
        <v>1.4492328739828548</v>
      </c>
      <c r="Z194" s="205">
        <f t="shared" ca="1" si="204"/>
        <v>1.5576477026942495</v>
      </c>
      <c r="AA194" s="205">
        <f t="shared" ca="1" si="205"/>
        <v>1.4642159987858945</v>
      </c>
      <c r="AB194" s="205">
        <f t="shared" ca="1" si="206"/>
        <v>2.8614925644253133</v>
      </c>
    </row>
    <row r="195" spans="5:28">
      <c r="E195" s="111">
        <f t="shared" si="212"/>
        <v>20</v>
      </c>
      <c r="F195" s="105">
        <f t="shared" si="207"/>
        <v>36.866369057193232</v>
      </c>
      <c r="G195" s="105">
        <f t="shared" si="207"/>
        <v>60.713894583713838</v>
      </c>
      <c r="H195" s="105">
        <f t="shared" si="207"/>
        <v>198.12076670533395</v>
      </c>
      <c r="I195" s="105">
        <f t="shared" si="207"/>
        <v>177.94967942139343</v>
      </c>
      <c r="J195" s="105">
        <f t="shared" si="208"/>
        <v>195.102636533869</v>
      </c>
      <c r="K195" s="105">
        <f t="shared" si="208"/>
        <v>80.528884556033304</v>
      </c>
      <c r="L195" s="105">
        <f t="shared" si="209"/>
        <v>1.3724529823717744</v>
      </c>
      <c r="N195" s="105">
        <f t="shared" si="194"/>
        <v>124.88037180958946</v>
      </c>
      <c r="O195" s="193">
        <f t="shared" si="210"/>
        <v>20</v>
      </c>
      <c r="P195" s="205">
        <f t="shared" ca="1" si="195"/>
        <v>4.1320950879690725</v>
      </c>
      <c r="Q195" s="205">
        <f t="shared" ca="1" si="196"/>
        <v>2.1162835599156029</v>
      </c>
      <c r="R195" s="205">
        <f t="shared" ca="1" si="197"/>
        <v>-4.5018274984383266E-2</v>
      </c>
      <c r="S195" s="205">
        <f t="shared" ca="1" si="198"/>
        <v>6.3231539190568675E-2</v>
      </c>
      <c r="T195" s="205">
        <f t="shared" ca="1" si="199"/>
        <v>-3.02452344521148E-2</v>
      </c>
      <c r="U195" s="205">
        <f t="shared" ca="1" si="200"/>
        <v>1.3494887901747448</v>
      </c>
      <c r="V195" s="205">
        <f t="shared" ca="1" si="201"/>
        <v>2.088556681476728</v>
      </c>
      <c r="W195" s="205">
        <f t="shared" ca="1" si="211"/>
        <v>5.6248967871793276</v>
      </c>
      <c r="X195" s="205">
        <f t="shared" ca="1" si="202"/>
        <v>3.6090852591258584</v>
      </c>
      <c r="Y195" s="205">
        <f t="shared" ca="1" si="203"/>
        <v>1.4477834242258723</v>
      </c>
      <c r="Z195" s="205">
        <f t="shared" ca="1" si="204"/>
        <v>1.5560332384008242</v>
      </c>
      <c r="AA195" s="205">
        <f t="shared" ca="1" si="205"/>
        <v>1.4625564647581406</v>
      </c>
      <c r="AB195" s="205">
        <f t="shared" ca="1" si="206"/>
        <v>2.8422904893850003</v>
      </c>
    </row>
    <row r="196" spans="5:28">
      <c r="E196" s="111">
        <f t="shared" si="212"/>
        <v>21</v>
      </c>
      <c r="F196" s="105">
        <f t="shared" si="207"/>
        <v>37.641837458553134</v>
      </c>
      <c r="G196" s="105">
        <f t="shared" si="207"/>
        <v>61.780506979175108</v>
      </c>
      <c r="H196" s="105">
        <f t="shared" si="207"/>
        <v>198.42192703792605</v>
      </c>
      <c r="I196" s="105">
        <f t="shared" si="207"/>
        <v>178.22029809383721</v>
      </c>
      <c r="J196" s="105">
        <f t="shared" si="208"/>
        <v>195.43708654838258</v>
      </c>
      <c r="K196" s="105">
        <f t="shared" si="208"/>
        <v>81.192460275756901</v>
      </c>
      <c r="L196" s="105">
        <f t="shared" si="209"/>
        <v>1.3621750879243553</v>
      </c>
      <c r="N196" s="105">
        <f t="shared" si="194"/>
        <v>125.4490193989385</v>
      </c>
      <c r="O196" s="193">
        <f t="shared" si="210"/>
        <v>21</v>
      </c>
      <c r="P196" s="205">
        <f t="shared" ca="1" si="195"/>
        <v>4.0263675825603249</v>
      </c>
      <c r="Q196" s="205">
        <f t="shared" ca="1" si="196"/>
        <v>2.062482339509649</v>
      </c>
      <c r="R196" s="205">
        <f t="shared" ca="1" si="197"/>
        <v>-4.6467724741365513E-2</v>
      </c>
      <c r="S196" s="205">
        <f t="shared" ca="1" si="198"/>
        <v>6.1617074897143409E-2</v>
      </c>
      <c r="T196" s="205">
        <f t="shared" ca="1" si="199"/>
        <v>-3.1904768479868673E-2</v>
      </c>
      <c r="U196" s="205">
        <f t="shared" ca="1" si="200"/>
        <v>1.3302867151344318</v>
      </c>
      <c r="V196" s="205">
        <f t="shared" ca="1" si="201"/>
        <v>2.0364176536508451</v>
      </c>
      <c r="W196" s="205">
        <f t="shared" ca="1" si="211"/>
        <v>5.51916928177058</v>
      </c>
      <c r="X196" s="205">
        <f t="shared" ca="1" si="202"/>
        <v>3.5552840387199045</v>
      </c>
      <c r="Y196" s="205">
        <f t="shared" ca="1" si="203"/>
        <v>1.4463339744688901</v>
      </c>
      <c r="Z196" s="205">
        <f t="shared" ca="1" si="204"/>
        <v>1.5544187741073989</v>
      </c>
      <c r="AA196" s="205">
        <f t="shared" ca="1" si="205"/>
        <v>1.460896930730387</v>
      </c>
      <c r="AB196" s="205">
        <f t="shared" ca="1" si="206"/>
        <v>2.8230884143446873</v>
      </c>
    </row>
    <row r="197" spans="5:28">
      <c r="E197" s="111">
        <f t="shared" si="212"/>
        <v>22</v>
      </c>
      <c r="F197" s="105">
        <f t="shared" si="207"/>
        <v>38.450630117860612</v>
      </c>
      <c r="G197" s="105">
        <f t="shared" si="207"/>
        <v>62.885265689452915</v>
      </c>
      <c r="H197" s="105">
        <f t="shared" si="207"/>
        <v>198.72400434277981</v>
      </c>
      <c r="I197" s="105">
        <f t="shared" si="207"/>
        <v>178.49174111176737</v>
      </c>
      <c r="J197" s="105">
        <f t="shared" si="208"/>
        <v>195.77268517771057</v>
      </c>
      <c r="K197" s="105">
        <f t="shared" si="208"/>
        <v>81.867062879173105</v>
      </c>
      <c r="L197" s="105">
        <f t="shared" si="209"/>
        <v>1.3515220511619834</v>
      </c>
      <c r="N197" s="105">
        <f t="shared" si="194"/>
        <v>126.03189821979072</v>
      </c>
      <c r="O197" s="193">
        <f t="shared" si="210"/>
        <v>22</v>
      </c>
      <c r="P197" s="205">
        <f t="shared" ca="1" si="195"/>
        <v>3.9206400771515773</v>
      </c>
      <c r="Q197" s="205">
        <f t="shared" ca="1" si="196"/>
        <v>2.0086811191036951</v>
      </c>
      <c r="R197" s="205">
        <f t="shared" ca="1" si="197"/>
        <v>-4.791717449834787E-2</v>
      </c>
      <c r="S197" s="205">
        <f t="shared" ca="1" si="198"/>
        <v>6.0002610603717921E-2</v>
      </c>
      <c r="T197" s="205">
        <f t="shared" ca="1" si="199"/>
        <v>-3.3564302507622323E-2</v>
      </c>
      <c r="U197" s="205">
        <f t="shared" ca="1" si="200"/>
        <v>1.3110846400941192</v>
      </c>
      <c r="V197" s="205">
        <f t="shared" ca="1" si="201"/>
        <v>1.9842786258249625</v>
      </c>
      <c r="W197" s="205">
        <f t="shared" ca="1" si="211"/>
        <v>5.4134417763618323</v>
      </c>
      <c r="X197" s="205">
        <f t="shared" ca="1" si="202"/>
        <v>3.5014828183139506</v>
      </c>
      <c r="Y197" s="205">
        <f t="shared" ca="1" si="203"/>
        <v>1.4448845247119078</v>
      </c>
      <c r="Z197" s="205">
        <f t="shared" ca="1" si="204"/>
        <v>1.5528043098139734</v>
      </c>
      <c r="AA197" s="205">
        <f t="shared" ca="1" si="205"/>
        <v>1.4592373967026333</v>
      </c>
      <c r="AB197" s="205">
        <f t="shared" ca="1" si="206"/>
        <v>2.8038863393043747</v>
      </c>
    </row>
    <row r="198" spans="5:28">
      <c r="E198" s="111">
        <f t="shared" si="212"/>
        <v>23</v>
      </c>
      <c r="F198" s="105">
        <f t="shared" si="207"/>
        <v>39.294942271650015</v>
      </c>
      <c r="G198" s="105">
        <f t="shared" si="207"/>
        <v>64.030254371103297</v>
      </c>
      <c r="H198" s="105">
        <f t="shared" si="207"/>
        <v>199.02700281427317</v>
      </c>
      <c r="I198" s="105">
        <f t="shared" si="207"/>
        <v>178.76401224755139</v>
      </c>
      <c r="J198" s="105">
        <f t="shared" si="208"/>
        <v>196.10943834913058</v>
      </c>
      <c r="K198" s="105">
        <f t="shared" si="208"/>
        <v>82.552969525833674</v>
      </c>
      <c r="L198" s="105">
        <f t="shared" si="209"/>
        <v>1.3404729512847364</v>
      </c>
      <c r="N198" s="105">
        <f t="shared" si="194"/>
        <v>126.62976992992368</v>
      </c>
      <c r="O198" s="193">
        <f t="shared" si="210"/>
        <v>23</v>
      </c>
      <c r="P198" s="205">
        <f t="shared" ca="1" si="195"/>
        <v>3.8149125717428296</v>
      </c>
      <c r="Q198" s="205">
        <f t="shared" ca="1" si="196"/>
        <v>1.9548798986977425</v>
      </c>
      <c r="R198" s="205">
        <f t="shared" ca="1" si="197"/>
        <v>-4.9366624255330227E-2</v>
      </c>
      <c r="S198" s="205">
        <f t="shared" ca="1" si="198"/>
        <v>5.8388146310292655E-2</v>
      </c>
      <c r="T198" s="205">
        <f t="shared" ca="1" si="199"/>
        <v>-3.5223836535376085E-2</v>
      </c>
      <c r="U198" s="205">
        <f t="shared" ca="1" si="200"/>
        <v>1.2918825650538062</v>
      </c>
      <c r="V198" s="205">
        <f t="shared" ca="1" si="201"/>
        <v>1.9321395979990799</v>
      </c>
      <c r="W198" s="205">
        <f t="shared" ca="1" si="211"/>
        <v>5.3077142709530847</v>
      </c>
      <c r="X198" s="205">
        <f t="shared" ca="1" si="202"/>
        <v>3.447681597907998</v>
      </c>
      <c r="Y198" s="205">
        <f t="shared" ca="1" si="203"/>
        <v>1.4434350749549254</v>
      </c>
      <c r="Z198" s="205">
        <f t="shared" ca="1" si="204"/>
        <v>1.5511898455205482</v>
      </c>
      <c r="AA198" s="205">
        <f t="shared" ca="1" si="205"/>
        <v>1.4575778626748794</v>
      </c>
      <c r="AB198" s="205">
        <f t="shared" ca="1" si="206"/>
        <v>2.7846842642640617</v>
      </c>
    </row>
    <row r="199" spans="5:28">
      <c r="E199" s="111">
        <f t="shared" si="212"/>
        <v>24</v>
      </c>
      <c r="F199" s="105">
        <f t="shared" si="207"/>
        <v>40.177166300444974</v>
      </c>
      <c r="G199" s="105">
        <f t="shared" si="207"/>
        <v>65.217711248383665</v>
      </c>
      <c r="H199" s="105">
        <f t="shared" si="207"/>
        <v>199.33092667240413</v>
      </c>
      <c r="I199" s="105">
        <f t="shared" si="207"/>
        <v>179.03711529660944</v>
      </c>
      <c r="J199" s="105">
        <f t="shared" si="208"/>
        <v>196.447352030773</v>
      </c>
      <c r="K199" s="105">
        <f t="shared" si="208"/>
        <v>83.250466742270959</v>
      </c>
      <c r="L199" s="105">
        <f t="shared" si="209"/>
        <v>1.3290052824227614</v>
      </c>
      <c r="N199" s="105">
        <f t="shared" si="194"/>
        <v>127.24345638181438</v>
      </c>
      <c r="O199" s="193">
        <f t="shared" si="210"/>
        <v>24</v>
      </c>
      <c r="P199" s="205">
        <f t="shared" ca="1" si="195"/>
        <v>3.709185066334082</v>
      </c>
      <c r="Q199" s="205">
        <f t="shared" ca="1" si="196"/>
        <v>1.9010786782917886</v>
      </c>
      <c r="R199" s="205">
        <f t="shared" ca="1" si="197"/>
        <v>-5.0816074012312584E-2</v>
      </c>
      <c r="S199" s="205">
        <f t="shared" ca="1" si="198"/>
        <v>5.6773682016867388E-2</v>
      </c>
      <c r="T199" s="205">
        <f t="shared" ca="1" si="199"/>
        <v>-3.6883370563129847E-2</v>
      </c>
      <c r="U199" s="205">
        <f t="shared" ca="1" si="200"/>
        <v>1.2726804900134931</v>
      </c>
      <c r="V199" s="205">
        <f t="shared" ca="1" si="201"/>
        <v>1.8800005701731972</v>
      </c>
      <c r="W199" s="205">
        <f t="shared" ca="1" si="211"/>
        <v>5.201986765544337</v>
      </c>
      <c r="X199" s="205">
        <f t="shared" ca="1" si="202"/>
        <v>3.3938803775020441</v>
      </c>
      <c r="Y199" s="205">
        <f t="shared" ca="1" si="203"/>
        <v>1.441985625197943</v>
      </c>
      <c r="Z199" s="205">
        <f t="shared" ca="1" si="204"/>
        <v>1.5495753812271229</v>
      </c>
      <c r="AA199" s="205">
        <f t="shared" ca="1" si="205"/>
        <v>1.4559183286471256</v>
      </c>
      <c r="AB199" s="205">
        <f t="shared" ca="1" si="206"/>
        <v>2.7654821892237487</v>
      </c>
    </row>
    <row r="200" spans="5:28">
      <c r="E200" s="111">
        <f t="shared" si="212"/>
        <v>25</v>
      </c>
      <c r="F200" s="105">
        <f t="shared" si="207"/>
        <v>41.099914367766047</v>
      </c>
      <c r="G200" s="105">
        <f t="shared" si="207"/>
        <v>66.450043716555385</v>
      </c>
      <c r="H200" s="105">
        <f t="shared" si="207"/>
        <v>199.63578016298669</v>
      </c>
      <c r="I200" s="105">
        <f t="shared" si="207"/>
        <v>179.31105407759065</v>
      </c>
      <c r="J200" s="105">
        <f t="shared" si="208"/>
        <v>196.78643223197375</v>
      </c>
      <c r="K200" s="105">
        <f t="shared" si="208"/>
        <v>83.959850821081929</v>
      </c>
      <c r="L200" s="105">
        <f t="shared" si="209"/>
        <v>1.3170948006214218</v>
      </c>
      <c r="N200" s="105">
        <f t="shared" si="194"/>
        <v>127.87384589632573</v>
      </c>
      <c r="O200" s="193">
        <f t="shared" si="210"/>
        <v>25</v>
      </c>
      <c r="P200" s="205">
        <f t="shared" ca="1" si="195"/>
        <v>3.6034575609253343</v>
      </c>
      <c r="Q200" s="205">
        <f t="shared" ca="1" si="196"/>
        <v>1.8472774578858346</v>
      </c>
      <c r="R200" s="205">
        <f t="shared" ca="1" si="197"/>
        <v>-5.226552376929483E-2</v>
      </c>
      <c r="S200" s="205">
        <f t="shared" ca="1" si="198"/>
        <v>5.5159217723442122E-2</v>
      </c>
      <c r="T200" s="205">
        <f t="shared" ca="1" si="199"/>
        <v>-3.854290459088372E-2</v>
      </c>
      <c r="U200" s="205">
        <f t="shared" ca="1" si="200"/>
        <v>1.2534784149731806</v>
      </c>
      <c r="V200" s="205">
        <f t="shared" ca="1" si="201"/>
        <v>1.8278615423473146</v>
      </c>
      <c r="W200" s="205">
        <f t="shared" ca="1" si="211"/>
        <v>5.0962592601355894</v>
      </c>
      <c r="X200" s="205">
        <f t="shared" ca="1" si="202"/>
        <v>3.3400791570960902</v>
      </c>
      <c r="Y200" s="205">
        <f t="shared" ca="1" si="203"/>
        <v>1.4405361754409607</v>
      </c>
      <c r="Z200" s="205">
        <f t="shared" ca="1" si="204"/>
        <v>1.5479609169336976</v>
      </c>
      <c r="AA200" s="205">
        <f t="shared" ca="1" si="205"/>
        <v>1.4542587946193719</v>
      </c>
      <c r="AB200" s="205">
        <f t="shared" ca="1" si="206"/>
        <v>2.7462801141834361</v>
      </c>
    </row>
    <row r="201" spans="5:28">
      <c r="E201" s="111">
        <f t="shared" si="212"/>
        <v>26</v>
      </c>
      <c r="F201" s="105">
        <f t="shared" si="207"/>
        <v>42.066044252170137</v>
      </c>
      <c r="G201" s="105">
        <f t="shared" si="207"/>
        <v>67.729844632708833</v>
      </c>
      <c r="H201" s="105">
        <f t="shared" si="207"/>
        <v>199.9415675578486</v>
      </c>
      <c r="I201" s="105">
        <f t="shared" si="207"/>
        <v>179.58583243255111</v>
      </c>
      <c r="J201" s="105">
        <f t="shared" si="208"/>
        <v>197.12668500363031</v>
      </c>
      <c r="K201" s="105">
        <f t="shared" si="208"/>
        <v>84.68142824059143</v>
      </c>
      <c r="L201" s="105">
        <f t="shared" si="209"/>
        <v>1.3047153527519142</v>
      </c>
      <c r="N201" s="105">
        <f t="shared" si="194"/>
        <v>128.52190035325006</v>
      </c>
      <c r="O201" s="193">
        <f t="shared" si="210"/>
        <v>26</v>
      </c>
      <c r="P201" s="205">
        <f t="shared" ca="1" si="195"/>
        <v>3.4977300555165867</v>
      </c>
      <c r="Q201" s="205">
        <f t="shared" ca="1" si="196"/>
        <v>1.7934762374798812</v>
      </c>
      <c r="R201" s="205">
        <f t="shared" ca="1" si="197"/>
        <v>-5.3714973526277299E-2</v>
      </c>
      <c r="S201" s="205">
        <f t="shared" ca="1" si="198"/>
        <v>5.3544753430016856E-2</v>
      </c>
      <c r="T201" s="205">
        <f t="shared" ca="1" si="199"/>
        <v>-4.0202438618637482E-2</v>
      </c>
      <c r="U201" s="205">
        <f t="shared" ca="1" si="200"/>
        <v>1.2342763399328676</v>
      </c>
      <c r="V201" s="205">
        <f t="shared" ca="1" si="201"/>
        <v>1.7757225145214319</v>
      </c>
      <c r="W201" s="205">
        <f t="shared" ca="1" si="211"/>
        <v>4.9905317547268417</v>
      </c>
      <c r="X201" s="205">
        <f t="shared" ca="1" si="202"/>
        <v>3.2862779366901367</v>
      </c>
      <c r="Y201" s="205">
        <f t="shared" ca="1" si="203"/>
        <v>1.4390867256839783</v>
      </c>
      <c r="Z201" s="205">
        <f t="shared" ca="1" si="204"/>
        <v>1.5463464526402724</v>
      </c>
      <c r="AA201" s="205">
        <f t="shared" ca="1" si="205"/>
        <v>1.452599260591618</v>
      </c>
      <c r="AB201" s="205">
        <f t="shared" ca="1" si="206"/>
        <v>2.7270780391431231</v>
      </c>
    </row>
    <row r="202" spans="5:28">
      <c r="E202" s="111">
        <f t="shared" si="212"/>
        <v>27</v>
      </c>
      <c r="F202" s="105">
        <f t="shared" si="207"/>
        <v>43.078688910376613</v>
      </c>
      <c r="G202" s="105">
        <f t="shared" si="207"/>
        <v>69.05991052608519</v>
      </c>
      <c r="H202" s="105">
        <f t="shared" si="207"/>
        <v>200.24829315503078</v>
      </c>
      <c r="I202" s="105">
        <f t="shared" si="207"/>
        <v>179.86145422713349</v>
      </c>
      <c r="J202" s="105">
        <f t="shared" si="208"/>
        <v>197.46811643856185</v>
      </c>
      <c r="K202" s="105">
        <f t="shared" si="208"/>
        <v>85.415516106343233</v>
      </c>
      <c r="L202" s="105">
        <f t="shared" si="209"/>
        <v>1.2918386848064904</v>
      </c>
      <c r="N202" s="105">
        <f t="shared" si="194"/>
        <v>129.1886632272552</v>
      </c>
      <c r="O202" s="193">
        <f t="shared" si="210"/>
        <v>27</v>
      </c>
      <c r="P202" s="205">
        <f t="shared" ca="1" si="195"/>
        <v>3.3920025501078399</v>
      </c>
      <c r="Q202" s="205">
        <f t="shared" ca="1" si="196"/>
        <v>1.7396750170739281</v>
      </c>
      <c r="R202" s="205">
        <f t="shared" ca="1" si="197"/>
        <v>-5.5164423283259656E-2</v>
      </c>
      <c r="S202" s="205">
        <f t="shared" ca="1" si="198"/>
        <v>5.1930289136591812E-2</v>
      </c>
      <c r="T202" s="205">
        <f t="shared" ca="1" si="199"/>
        <v>-4.1861972646391132E-2</v>
      </c>
      <c r="U202" s="205">
        <f t="shared" ca="1" si="200"/>
        <v>1.2150742648925545</v>
      </c>
      <c r="V202" s="205">
        <f t="shared" ca="1" si="201"/>
        <v>1.7235834866955497</v>
      </c>
      <c r="W202" s="205">
        <f t="shared" ca="1" si="211"/>
        <v>4.8848042493180959</v>
      </c>
      <c r="X202" s="205">
        <f t="shared" ca="1" si="202"/>
        <v>3.2324767162841836</v>
      </c>
      <c r="Y202" s="205">
        <f t="shared" ca="1" si="203"/>
        <v>1.437637275926996</v>
      </c>
      <c r="Z202" s="205">
        <f t="shared" ca="1" si="204"/>
        <v>1.5447319883468473</v>
      </c>
      <c r="AA202" s="205">
        <f t="shared" ca="1" si="205"/>
        <v>1.4509397265638644</v>
      </c>
      <c r="AB202" s="205">
        <f t="shared" ca="1" si="206"/>
        <v>2.7078759641028101</v>
      </c>
    </row>
    <row r="203" spans="5:28">
      <c r="E203" s="111">
        <f t="shared" si="212"/>
        <v>28</v>
      </c>
      <c r="F203" s="105">
        <f t="shared" si="207"/>
        <v>44.141290415710799</v>
      </c>
      <c r="G203" s="105">
        <f t="shared" si="207"/>
        <v>70.443261997043635</v>
      </c>
      <c r="H203" s="105">
        <f t="shared" si="207"/>
        <v>200.55596127898878</v>
      </c>
      <c r="I203" s="105">
        <f t="shared" si="207"/>
        <v>180.13792335074839</v>
      </c>
      <c r="J203" s="105">
        <f t="shared" si="208"/>
        <v>197.81073267187281</v>
      </c>
      <c r="K203" s="105">
        <f t="shared" si="208"/>
        <v>86.162442615755154</v>
      </c>
      <c r="L203" s="105">
        <f t="shared" si="209"/>
        <v>1.2784342266208306</v>
      </c>
      <c r="N203" s="105">
        <f t="shared" si="194"/>
        <v>129.87526872168658</v>
      </c>
      <c r="O203" s="193">
        <f t="shared" si="210"/>
        <v>28</v>
      </c>
      <c r="P203" s="205">
        <f t="shared" ca="1" si="195"/>
        <v>3.2862750446990914</v>
      </c>
      <c r="Q203" s="205">
        <f t="shared" ca="1" si="196"/>
        <v>1.6858737966679738</v>
      </c>
      <c r="R203" s="205">
        <f t="shared" ca="1" si="197"/>
        <v>-5.6613873040242124E-2</v>
      </c>
      <c r="S203" s="205">
        <f t="shared" ca="1" si="198"/>
        <v>5.0315824843166324E-2</v>
      </c>
      <c r="T203" s="205">
        <f t="shared" ca="1" si="199"/>
        <v>-4.3521506674145005E-2</v>
      </c>
      <c r="U203" s="205">
        <f t="shared" ca="1" si="200"/>
        <v>1.195872189852242</v>
      </c>
      <c r="V203" s="205">
        <f t="shared" ca="1" si="201"/>
        <v>1.6714444588696669</v>
      </c>
      <c r="W203" s="205">
        <f t="shared" ca="1" si="211"/>
        <v>4.7790767439093464</v>
      </c>
      <c r="X203" s="205">
        <f t="shared" ca="1" si="202"/>
        <v>3.1786754958782293</v>
      </c>
      <c r="Y203" s="205">
        <f t="shared" ca="1" si="203"/>
        <v>1.4361878261700134</v>
      </c>
      <c r="Z203" s="205">
        <f t="shared" ca="1" si="204"/>
        <v>1.5431175240534218</v>
      </c>
      <c r="AA203" s="205">
        <f t="shared" ca="1" si="205"/>
        <v>1.4492801925361105</v>
      </c>
      <c r="AB203" s="205">
        <f t="shared" ca="1" si="206"/>
        <v>2.6886738890624975</v>
      </c>
    </row>
    <row r="204" spans="5:28">
      <c r="E204" s="111">
        <f t="shared" si="212"/>
        <v>29</v>
      </c>
      <c r="F204" s="105">
        <f t="shared" si="207"/>
        <v>45.257639046437852</v>
      </c>
      <c r="G204" s="105">
        <f t="shared" si="207"/>
        <v>71.883166617834746</v>
      </c>
      <c r="H204" s="105">
        <f t="shared" si="207"/>
        <v>200.86457628079594</v>
      </c>
      <c r="I204" s="105">
        <f t="shared" si="207"/>
        <v>180.41524371675717</v>
      </c>
      <c r="J204" s="105">
        <f t="shared" si="208"/>
        <v>198.15453988132035</v>
      </c>
      <c r="K204" s="105">
        <f t="shared" si="208"/>
        <v>86.922547547368708</v>
      </c>
      <c r="L204" s="105">
        <f t="shared" si="209"/>
        <v>1.2644688495710932</v>
      </c>
      <c r="N204" s="105">
        <f t="shared" si="194"/>
        <v>130.58295218175246</v>
      </c>
      <c r="O204" s="193">
        <f t="shared" si="210"/>
        <v>29</v>
      </c>
      <c r="P204" s="205">
        <f t="shared" ca="1" si="195"/>
        <v>3.1805475392903446</v>
      </c>
      <c r="Q204" s="205">
        <f t="shared" ca="1" si="196"/>
        <v>1.6320725762620207</v>
      </c>
      <c r="R204" s="205">
        <f t="shared" ca="1" si="197"/>
        <v>-5.806332279722437E-2</v>
      </c>
      <c r="S204" s="205">
        <f t="shared" ca="1" si="198"/>
        <v>4.8701360549741057E-2</v>
      </c>
      <c r="T204" s="205">
        <f t="shared" ca="1" si="199"/>
        <v>-4.5181040701898767E-2</v>
      </c>
      <c r="U204" s="205">
        <f t="shared" ca="1" si="200"/>
        <v>1.176670114811929</v>
      </c>
      <c r="V204" s="205">
        <f t="shared" ca="1" si="201"/>
        <v>1.6193054310437844</v>
      </c>
      <c r="W204" s="205">
        <f t="shared" ca="1" si="211"/>
        <v>4.6733492385006006</v>
      </c>
      <c r="X204" s="205">
        <f t="shared" ca="1" si="202"/>
        <v>3.1248742754722763</v>
      </c>
      <c r="Y204" s="205">
        <f t="shared" ca="1" si="203"/>
        <v>1.4347383764130313</v>
      </c>
      <c r="Z204" s="205">
        <f t="shared" ca="1" si="204"/>
        <v>1.5415030597599966</v>
      </c>
      <c r="AA204" s="205">
        <f t="shared" ca="1" si="205"/>
        <v>1.4476206585083569</v>
      </c>
      <c r="AB204" s="205">
        <f t="shared" ca="1" si="206"/>
        <v>2.6694718140221845</v>
      </c>
    </row>
    <row r="205" spans="5:28">
      <c r="E205" s="111">
        <f t="shared" si="212"/>
        <v>30</v>
      </c>
      <c r="F205" s="105">
        <f t="shared" si="207"/>
        <v>46.431918459340253</v>
      </c>
      <c r="G205" s="105">
        <f t="shared" si="207"/>
        <v>73.383164700619901</v>
      </c>
      <c r="H205" s="105">
        <f t="shared" si="207"/>
        <v>201.17414253834872</v>
      </c>
      <c r="I205" s="105">
        <f t="shared" si="207"/>
        <v>180.69341926265668</v>
      </c>
      <c r="J205" s="105">
        <f t="shared" si="208"/>
        <v>198.49954428768569</v>
      </c>
      <c r="K205" s="105">
        <f t="shared" si="208"/>
        <v>87.696182776225427</v>
      </c>
      <c r="L205" s="105">
        <f t="shared" si="209"/>
        <v>1.2499065932029243</v>
      </c>
      <c r="N205" s="105">
        <f t="shared" si="194"/>
        <v>131.3130620041461</v>
      </c>
      <c r="O205" s="193">
        <f t="shared" si="210"/>
        <v>30</v>
      </c>
      <c r="P205" s="205">
        <f t="shared" ca="1" si="195"/>
        <v>3.074820033881597</v>
      </c>
      <c r="Q205" s="205">
        <f t="shared" ca="1" si="196"/>
        <v>1.5782713558560677</v>
      </c>
      <c r="R205" s="205">
        <f t="shared" ca="1" si="197"/>
        <v>-5.9512772554206839E-2</v>
      </c>
      <c r="S205" s="205">
        <f t="shared" ca="1" si="198"/>
        <v>4.7086896256316013E-2</v>
      </c>
      <c r="T205" s="205">
        <f t="shared" ca="1" si="199"/>
        <v>-4.6840574729652529E-2</v>
      </c>
      <c r="U205" s="205">
        <f t="shared" ca="1" si="200"/>
        <v>1.1574680397716155</v>
      </c>
      <c r="V205" s="205">
        <f t="shared" ca="1" si="201"/>
        <v>1.567166403217902</v>
      </c>
      <c r="W205" s="205">
        <f t="shared" ca="1" si="211"/>
        <v>4.5676217330918529</v>
      </c>
      <c r="X205" s="205">
        <f t="shared" ca="1" si="202"/>
        <v>3.0710730550663232</v>
      </c>
      <c r="Y205" s="205">
        <f t="shared" ca="1" si="203"/>
        <v>1.4332889266560487</v>
      </c>
      <c r="Z205" s="205">
        <f t="shared" ca="1" si="204"/>
        <v>1.5398885954665715</v>
      </c>
      <c r="AA205" s="205">
        <f t="shared" ca="1" si="205"/>
        <v>1.445961124480603</v>
      </c>
      <c r="AB205" s="205">
        <f t="shared" ca="1" si="206"/>
        <v>2.650269738981871</v>
      </c>
    </row>
    <row r="206" spans="5:28">
      <c r="E206" s="111">
        <f t="shared" si="212"/>
        <v>31</v>
      </c>
      <c r="F206" s="105">
        <f t="shared" si="207"/>
        <v>47.668758083217014</v>
      </c>
      <c r="G206" s="105">
        <f t="shared" si="207"/>
        <v>74.947098360480979</v>
      </c>
      <c r="H206" s="105">
        <f t="shared" si="207"/>
        <v>201.48466445657337</v>
      </c>
      <c r="I206" s="105">
        <f t="shared" si="207"/>
        <v>180.97245395026556</v>
      </c>
      <c r="J206" s="105">
        <f t="shared" si="208"/>
        <v>198.8457521551494</v>
      </c>
      <c r="K206" s="105">
        <f t="shared" si="208"/>
        <v>88.483712817012318</v>
      </c>
      <c r="L206" s="105">
        <f t="shared" si="209"/>
        <v>1.2347083560434866</v>
      </c>
      <c r="N206" s="105">
        <f t="shared" si="194"/>
        <v>132.06707330378313</v>
      </c>
      <c r="O206" s="193">
        <f t="shared" si="210"/>
        <v>31</v>
      </c>
      <c r="P206" s="205">
        <f t="shared" ca="1" si="195"/>
        <v>2.9690925284728493</v>
      </c>
      <c r="Q206" s="205">
        <f t="shared" ca="1" si="196"/>
        <v>1.5244701354501133</v>
      </c>
      <c r="R206" s="205">
        <f t="shared" ca="1" si="197"/>
        <v>-6.0962222311189196E-2</v>
      </c>
      <c r="S206" s="205">
        <f t="shared" ca="1" si="198"/>
        <v>4.5472431962890747E-2</v>
      </c>
      <c r="T206" s="205">
        <f t="shared" ca="1" si="199"/>
        <v>-4.8500108757406291E-2</v>
      </c>
      <c r="U206" s="205">
        <f t="shared" ca="1" si="200"/>
        <v>1.1382659647313029</v>
      </c>
      <c r="V206" s="205">
        <f t="shared" ca="1" si="201"/>
        <v>1.5150273753920191</v>
      </c>
      <c r="W206" s="205">
        <f t="shared" ca="1" si="211"/>
        <v>4.4618942276831053</v>
      </c>
      <c r="X206" s="205">
        <f t="shared" ca="1" si="202"/>
        <v>3.0172718346603689</v>
      </c>
      <c r="Y206" s="205">
        <f t="shared" ca="1" si="203"/>
        <v>1.4318394768990663</v>
      </c>
      <c r="Z206" s="205">
        <f t="shared" ca="1" si="204"/>
        <v>1.5382741311731463</v>
      </c>
      <c r="AA206" s="205">
        <f t="shared" ca="1" si="205"/>
        <v>1.4443015904528491</v>
      </c>
      <c r="AB206" s="205">
        <f t="shared" ca="1" si="206"/>
        <v>2.6310676639415584</v>
      </c>
    </row>
    <row r="207" spans="5:28">
      <c r="E207" s="111">
        <f t="shared" si="212"/>
        <v>32</v>
      </c>
      <c r="F207" s="105">
        <f t="shared" si="207"/>
        <v>48.973294115402339</v>
      </c>
      <c r="G207" s="105">
        <f t="shared" si="207"/>
        <v>76.579144375682034</v>
      </c>
      <c r="H207" s="105">
        <f t="shared" si="207"/>
        <v>201.79614646763514</v>
      </c>
      <c r="I207" s="105">
        <f t="shared" si="207"/>
        <v>181.25235176591244</v>
      </c>
      <c r="J207" s="105">
        <f t="shared" si="208"/>
        <v>199.1931697916703</v>
      </c>
      <c r="K207" s="105">
        <f t="shared" si="208"/>
        <v>89.285515396737992</v>
      </c>
      <c r="L207" s="105">
        <f t="shared" si="209"/>
        <v>1.2188315449994274</v>
      </c>
      <c r="N207" s="105">
        <f t="shared" ref="N207:N238" si="213">AVERAGE(F207:K207)</f>
        <v>132.84660365217337</v>
      </c>
      <c r="O207" s="193">
        <f t="shared" si="210"/>
        <v>32</v>
      </c>
      <c r="P207" s="205">
        <f t="shared" ref="P207:P238" ca="1" si="214">attn/F207-1</f>
        <v>2.8633650230641017</v>
      </c>
      <c r="Q207" s="205">
        <f t="shared" ref="Q207:Q238" ca="1" si="215">attn/G207-1</f>
        <v>1.4706689150441594</v>
      </c>
      <c r="R207" s="205">
        <f t="shared" ref="R207:R238" ca="1" si="216">attn/H207-1</f>
        <v>-6.2411672068171553E-2</v>
      </c>
      <c r="S207" s="205">
        <f t="shared" ref="S207:S238" ca="1" si="217">attn/I207-1</f>
        <v>4.3857967669465481E-2</v>
      </c>
      <c r="T207" s="205">
        <f t="shared" ref="T207:T238" ca="1" si="218">attn/J207-1</f>
        <v>-5.0159642785160052E-2</v>
      </c>
      <c r="U207" s="205">
        <f t="shared" ref="U207:U238" ca="1" si="219">attn/K207-1</f>
        <v>1.1190638896909899</v>
      </c>
      <c r="V207" s="205">
        <f t="shared" ca="1" si="201"/>
        <v>1.4628883475661367</v>
      </c>
      <c r="W207" s="205">
        <f t="shared" ca="1" si="211"/>
        <v>4.3561667222743576</v>
      </c>
      <c r="X207" s="205">
        <f t="shared" ca="1" si="202"/>
        <v>2.9634706142544149</v>
      </c>
      <c r="Y207" s="205">
        <f t="shared" ca="1" si="203"/>
        <v>1.430390027142084</v>
      </c>
      <c r="Z207" s="205">
        <f t="shared" ca="1" si="204"/>
        <v>1.536659666879721</v>
      </c>
      <c r="AA207" s="205">
        <f t="shared" ca="1" si="205"/>
        <v>1.4426420564250955</v>
      </c>
      <c r="AB207" s="205">
        <f t="shared" ca="1" si="206"/>
        <v>2.6118655889012454</v>
      </c>
    </row>
    <row r="208" spans="5:28">
      <c r="E208" s="111">
        <f t="shared" si="212"/>
        <v>33</v>
      </c>
      <c r="F208" s="105">
        <f t="shared" si="207"/>
        <v>50.35124081572728</v>
      </c>
      <c r="G208" s="105">
        <f t="shared" si="207"/>
        <v>78.283851436890089</v>
      </c>
      <c r="H208" s="105">
        <f t="shared" si="207"/>
        <v>202.10859303114904</v>
      </c>
      <c r="I208" s="105">
        <f t="shared" si="207"/>
        <v>181.53311672062554</v>
      </c>
      <c r="J208" s="105">
        <f t="shared" si="208"/>
        <v>199.54180354936884</v>
      </c>
      <c r="K208" s="105">
        <f t="shared" si="208"/>
        <v>90.101982058829449</v>
      </c>
      <c r="L208" s="105">
        <f t="shared" si="209"/>
        <v>1.202229676721301</v>
      </c>
      <c r="N208" s="105">
        <f t="shared" si="213"/>
        <v>133.65343126876505</v>
      </c>
      <c r="O208" s="193">
        <f t="shared" si="210"/>
        <v>33</v>
      </c>
      <c r="P208" s="205">
        <f t="shared" ca="1" si="214"/>
        <v>2.757637517655354</v>
      </c>
      <c r="Q208" s="205">
        <f t="shared" ca="1" si="215"/>
        <v>1.4168676946382064</v>
      </c>
      <c r="R208" s="205">
        <f t="shared" ca="1" si="216"/>
        <v>-6.386112182515391E-2</v>
      </c>
      <c r="S208" s="205">
        <f t="shared" ca="1" si="217"/>
        <v>4.2243503376040215E-2</v>
      </c>
      <c r="T208" s="205">
        <f t="shared" ca="1" si="218"/>
        <v>-5.1819176812913814E-2</v>
      </c>
      <c r="U208" s="205">
        <f t="shared" ca="1" si="219"/>
        <v>1.0998618146506773</v>
      </c>
      <c r="V208" s="205">
        <f t="shared" ca="1" si="201"/>
        <v>1.4107493197402539</v>
      </c>
      <c r="W208" s="205">
        <f t="shared" ca="1" si="211"/>
        <v>4.25043921686561</v>
      </c>
      <c r="X208" s="205">
        <f t="shared" ca="1" si="202"/>
        <v>2.9096693938484619</v>
      </c>
      <c r="Y208" s="205">
        <f t="shared" ca="1" si="203"/>
        <v>1.4289405773851016</v>
      </c>
      <c r="Z208" s="205">
        <f t="shared" ca="1" si="204"/>
        <v>1.5350452025862957</v>
      </c>
      <c r="AA208" s="205">
        <f t="shared" ca="1" si="205"/>
        <v>1.4409825223973418</v>
      </c>
      <c r="AB208" s="205">
        <f t="shared" ca="1" si="206"/>
        <v>2.5926635138609329</v>
      </c>
    </row>
    <row r="209" spans="5:28">
      <c r="E209" s="111">
        <f t="shared" si="212"/>
        <v>34</v>
      </c>
      <c r="F209" s="105">
        <f t="shared" si="207"/>
        <v>51.808974184794337</v>
      </c>
      <c r="G209" s="105">
        <f t="shared" si="207"/>
        <v>80.066182484835494</v>
      </c>
      <c r="H209" s="105">
        <f t="shared" si="207"/>
        <v>202.42200863439268</v>
      </c>
      <c r="I209" s="105">
        <f t="shared" si="207"/>
        <v>181.8147528503246</v>
      </c>
      <c r="J209" s="105">
        <f t="shared" si="208"/>
        <v>199.89165982491406</v>
      </c>
      <c r="K209" s="105">
        <f t="shared" si="208"/>
        <v>90.933518800679693</v>
      </c>
      <c r="L209" s="105">
        <f t="shared" si="209"/>
        <v>1.1848519230775001</v>
      </c>
      <c r="N209" s="105">
        <f t="shared" si="213"/>
        <v>134.48951612999016</v>
      </c>
      <c r="O209" s="193">
        <f t="shared" si="210"/>
        <v>34</v>
      </c>
      <c r="P209" s="205">
        <f t="shared" ca="1" si="214"/>
        <v>2.6519100122466059</v>
      </c>
      <c r="Q209" s="205">
        <f t="shared" ca="1" si="215"/>
        <v>1.3630664742322529</v>
      </c>
      <c r="R209" s="205">
        <f t="shared" ca="1" si="216"/>
        <v>-6.5310571582136157E-2</v>
      </c>
      <c r="S209" s="205">
        <f t="shared" ca="1" si="217"/>
        <v>4.0629039082614726E-2</v>
      </c>
      <c r="T209" s="205">
        <f t="shared" ca="1" si="218"/>
        <v>-5.3478710840667576E-2</v>
      </c>
      <c r="U209" s="205">
        <f t="shared" ca="1" si="219"/>
        <v>1.0806597396103643</v>
      </c>
      <c r="V209" s="205">
        <f t="shared" ca="1" si="201"/>
        <v>1.358610291914371</v>
      </c>
      <c r="W209" s="205">
        <f t="shared" ca="1" si="211"/>
        <v>4.1447117114568615</v>
      </c>
      <c r="X209" s="205">
        <f t="shared" ca="1" si="202"/>
        <v>2.8558681734425084</v>
      </c>
      <c r="Y209" s="205">
        <f t="shared" ca="1" si="203"/>
        <v>1.4274911276281195</v>
      </c>
      <c r="Z209" s="205">
        <f t="shared" ca="1" si="204"/>
        <v>1.5334307382928702</v>
      </c>
      <c r="AA209" s="205">
        <f t="shared" ca="1" si="205"/>
        <v>1.4393229883695879</v>
      </c>
      <c r="AB209" s="205">
        <f t="shared" ca="1" si="206"/>
        <v>2.5734614388206198</v>
      </c>
    </row>
    <row r="210" spans="5:28">
      <c r="E210" s="111">
        <f t="shared" si="212"/>
        <v>35</v>
      </c>
      <c r="F210" s="105">
        <f t="shared" si="207"/>
        <v>53.353630611185906</v>
      </c>
      <c r="G210" s="105">
        <f t="shared" si="207"/>
        <v>81.931562966264579</v>
      </c>
      <c r="H210" s="105">
        <f t="shared" si="207"/>
        <v>202.73639779252113</v>
      </c>
      <c r="I210" s="105">
        <f t="shared" si="207"/>
        <v>182.09726421601388</v>
      </c>
      <c r="J210" s="105">
        <f t="shared" si="208"/>
        <v>200.24274505991485</v>
      </c>
      <c r="K210" s="105">
        <f t="shared" si="208"/>
        <v>91.780546746826985</v>
      </c>
      <c r="L210" s="105">
        <f t="shared" si="209"/>
        <v>1.1666425913768443</v>
      </c>
      <c r="N210" s="105">
        <f t="shared" si="213"/>
        <v>135.35702456545457</v>
      </c>
      <c r="O210" s="193">
        <f t="shared" si="210"/>
        <v>35</v>
      </c>
      <c r="P210" s="205">
        <f t="shared" ca="1" si="214"/>
        <v>2.5461825068378592</v>
      </c>
      <c r="Q210" s="205">
        <f t="shared" ca="1" si="215"/>
        <v>1.309265253826299</v>
      </c>
      <c r="R210" s="205">
        <f t="shared" ca="1" si="216"/>
        <v>-6.6760021339118625E-2</v>
      </c>
      <c r="S210" s="205">
        <f t="shared" ca="1" si="217"/>
        <v>3.9014574789189682E-2</v>
      </c>
      <c r="T210" s="205">
        <f t="shared" ca="1" si="218"/>
        <v>-5.5138244868421449E-2</v>
      </c>
      <c r="U210" s="205">
        <f t="shared" ca="1" si="219"/>
        <v>1.0614576645700513</v>
      </c>
      <c r="V210" s="205">
        <f t="shared" ca="1" si="201"/>
        <v>1.306471264088489</v>
      </c>
      <c r="W210" s="205">
        <f t="shared" ca="1" si="211"/>
        <v>4.0389842060481147</v>
      </c>
      <c r="X210" s="205">
        <f t="shared" ca="1" si="202"/>
        <v>2.8020669530365545</v>
      </c>
      <c r="Y210" s="205">
        <f t="shared" ca="1" si="203"/>
        <v>1.4260416778711369</v>
      </c>
      <c r="Z210" s="205">
        <f t="shared" ca="1" si="204"/>
        <v>1.5318162739994452</v>
      </c>
      <c r="AA210" s="205">
        <f t="shared" ca="1" si="205"/>
        <v>1.4376634543418341</v>
      </c>
      <c r="AB210" s="205">
        <f t="shared" ca="1" si="206"/>
        <v>2.5542593637803068</v>
      </c>
    </row>
    <row r="211" spans="5:28">
      <c r="E211" s="111">
        <f t="shared" si="212"/>
        <v>36</v>
      </c>
      <c r="F211" s="105">
        <f t="shared" si="207"/>
        <v>54.993223707644759</v>
      </c>
      <c r="G211" s="105">
        <f t="shared" si="207"/>
        <v>83.885935996397819</v>
      </c>
      <c r="H211" s="105">
        <f t="shared" si="207"/>
        <v>203.05176504878369</v>
      </c>
      <c r="I211" s="105">
        <f t="shared" si="207"/>
        <v>182.38065490397776</v>
      </c>
      <c r="J211" s="105">
        <f t="shared" si="208"/>
        <v>200.59506574131532</v>
      </c>
      <c r="K211" s="105">
        <f t="shared" si="208"/>
        <v>92.643502860111184</v>
      </c>
      <c r="L211" s="105">
        <f t="shared" si="209"/>
        <v>1.1475405281432771</v>
      </c>
      <c r="N211" s="105">
        <f t="shared" si="213"/>
        <v>136.25835804303844</v>
      </c>
      <c r="O211" s="193">
        <f t="shared" si="210"/>
        <v>36</v>
      </c>
      <c r="P211" s="205">
        <f t="shared" ca="1" si="214"/>
        <v>2.4404550014291115</v>
      </c>
      <c r="Q211" s="205">
        <f t="shared" ca="1" si="215"/>
        <v>1.2554640334203455</v>
      </c>
      <c r="R211" s="205">
        <f t="shared" ca="1" si="216"/>
        <v>-6.8209471096100982E-2</v>
      </c>
      <c r="S211" s="205">
        <f t="shared" ca="1" si="217"/>
        <v>3.7400110495764416E-2</v>
      </c>
      <c r="T211" s="205">
        <f t="shared" ca="1" si="218"/>
        <v>-5.67977788961751E-2</v>
      </c>
      <c r="U211" s="205">
        <f t="shared" ca="1" si="219"/>
        <v>1.0422555895297387</v>
      </c>
      <c r="V211" s="205">
        <f t="shared" ca="1" si="201"/>
        <v>1.2543322362626061</v>
      </c>
      <c r="W211" s="205">
        <f t="shared" ca="1" si="211"/>
        <v>3.9332567006393671</v>
      </c>
      <c r="X211" s="205">
        <f t="shared" ca="1" si="202"/>
        <v>2.748265732630601</v>
      </c>
      <c r="Y211" s="205">
        <f t="shared" ca="1" si="203"/>
        <v>1.4245922281141545</v>
      </c>
      <c r="Z211" s="205">
        <f t="shared" ca="1" si="204"/>
        <v>1.5302018097060199</v>
      </c>
      <c r="AA211" s="205">
        <f t="shared" ca="1" si="205"/>
        <v>1.4360039203140804</v>
      </c>
      <c r="AB211" s="205">
        <f t="shared" ca="1" si="206"/>
        <v>2.5350572887399943</v>
      </c>
    </row>
    <row r="212" spans="5:28">
      <c r="E212" s="111">
        <f t="shared" si="212"/>
        <v>37</v>
      </c>
      <c r="F212" s="105">
        <f t="shared" si="207"/>
        <v>56.736783372994687</v>
      </c>
      <c r="G212" s="105">
        <f t="shared" si="207"/>
        <v>85.935825609295762</v>
      </c>
      <c r="H212" s="105">
        <f t="shared" si="207"/>
        <v>203.36811497474275</v>
      </c>
      <c r="I212" s="105">
        <f t="shared" si="207"/>
        <v>182.66492902597739</v>
      </c>
      <c r="J212" s="105">
        <f t="shared" si="208"/>
        <v>200.94862840179439</v>
      </c>
      <c r="K212" s="105">
        <f t="shared" si="208"/>
        <v>93.522840693330224</v>
      </c>
      <c r="L212" s="105">
        <f t="shared" si="209"/>
        <v>1.1274784329952512</v>
      </c>
      <c r="N212" s="105">
        <f t="shared" si="213"/>
        <v>137.19618701302252</v>
      </c>
      <c r="O212" s="193">
        <f t="shared" si="210"/>
        <v>37</v>
      </c>
      <c r="P212" s="205">
        <f t="shared" ca="1" si="214"/>
        <v>2.3347274960203639</v>
      </c>
      <c r="Q212" s="205">
        <f t="shared" ca="1" si="215"/>
        <v>1.2016628130143925</v>
      </c>
      <c r="R212" s="205">
        <f t="shared" ca="1" si="216"/>
        <v>-6.9658920853083339E-2</v>
      </c>
      <c r="S212" s="205">
        <f t="shared" ca="1" si="217"/>
        <v>3.578564620233915E-2</v>
      </c>
      <c r="T212" s="205">
        <f t="shared" ca="1" si="218"/>
        <v>-5.8457312923928972E-2</v>
      </c>
      <c r="U212" s="205">
        <f t="shared" ca="1" si="219"/>
        <v>1.0230535144894257</v>
      </c>
      <c r="V212" s="205">
        <f t="shared" ca="1" si="201"/>
        <v>1.2021932084367237</v>
      </c>
      <c r="W212" s="205">
        <f t="shared" ca="1" si="211"/>
        <v>3.8275291952306194</v>
      </c>
      <c r="X212" s="205">
        <f t="shared" ca="1" si="202"/>
        <v>2.694464512224648</v>
      </c>
      <c r="Y212" s="205">
        <f t="shared" ca="1" si="203"/>
        <v>1.4231427783571722</v>
      </c>
      <c r="Z212" s="205">
        <f t="shared" ca="1" si="204"/>
        <v>1.5285873454125947</v>
      </c>
      <c r="AA212" s="205">
        <f t="shared" ca="1" si="205"/>
        <v>1.4343443862863265</v>
      </c>
      <c r="AB212" s="205">
        <f t="shared" ca="1" si="206"/>
        <v>2.5158552136996812</v>
      </c>
    </row>
    <row r="213" spans="5:28">
      <c r="E213" s="111">
        <f t="shared" si="212"/>
        <v>38</v>
      </c>
      <c r="F213" s="105">
        <f t="shared" si="207"/>
        <v>58.594522173980877</v>
      </c>
      <c r="G213" s="105">
        <f t="shared" si="207"/>
        <v>88.088409514275625</v>
      </c>
      <c r="H213" s="105">
        <f t="shared" si="207"/>
        <v>203.68545217049473</v>
      </c>
      <c r="I213" s="105">
        <f t="shared" si="207"/>
        <v>182.95009071944978</v>
      </c>
      <c r="J213" s="105">
        <f t="shared" si="208"/>
        <v>201.3034396201694</v>
      </c>
      <c r="K213" s="105">
        <f t="shared" si="208"/>
        <v>94.41903118411345</v>
      </c>
      <c r="L213" s="105">
        <f t="shared" si="209"/>
        <v>1.1063820664093329</v>
      </c>
      <c r="N213" s="105">
        <f t="shared" si="213"/>
        <v>138.17349089708065</v>
      </c>
      <c r="O213" s="193">
        <f t="shared" si="210"/>
        <v>38</v>
      </c>
      <c r="P213" s="205">
        <f t="shared" ca="1" si="214"/>
        <v>2.2289999906116162</v>
      </c>
      <c r="Q213" s="205">
        <f t="shared" ca="1" si="215"/>
        <v>1.1478615926084386</v>
      </c>
      <c r="R213" s="205">
        <f t="shared" ca="1" si="216"/>
        <v>-7.1108370610065696E-2</v>
      </c>
      <c r="S213" s="205">
        <f t="shared" ca="1" si="217"/>
        <v>3.4171181908913884E-2</v>
      </c>
      <c r="T213" s="205">
        <f t="shared" ca="1" si="218"/>
        <v>-6.0116846951682623E-2</v>
      </c>
      <c r="U213" s="205">
        <f t="shared" ca="1" si="219"/>
        <v>1.0038514394491127</v>
      </c>
      <c r="V213" s="205">
        <f t="shared" ca="1" si="201"/>
        <v>1.1500541806108409</v>
      </c>
      <c r="W213" s="205">
        <f t="shared" ca="1" si="211"/>
        <v>3.7218016898218718</v>
      </c>
      <c r="X213" s="205">
        <f t="shared" ca="1" si="202"/>
        <v>2.6406632918186941</v>
      </c>
      <c r="Y213" s="205">
        <f t="shared" ca="1" si="203"/>
        <v>1.4216933286001898</v>
      </c>
      <c r="Z213" s="205">
        <f t="shared" ca="1" si="204"/>
        <v>1.5269728811191694</v>
      </c>
      <c r="AA213" s="205">
        <f t="shared" ca="1" si="205"/>
        <v>1.4326848522585729</v>
      </c>
      <c r="AB213" s="205">
        <f t="shared" ca="1" si="206"/>
        <v>2.4966531386593682</v>
      </c>
    </row>
    <row r="214" spans="5:28">
      <c r="E214" s="111">
        <f t="shared" si="212"/>
        <v>39</v>
      </c>
      <c r="F214" s="105">
        <f t="shared" si="207"/>
        <v>60.5780355207743</v>
      </c>
      <c r="G214" s="105">
        <f t="shared" si="207"/>
        <v>90.351603068004337</v>
      </c>
      <c r="H214" s="105">
        <f t="shared" si="207"/>
        <v>204.00378126489306</v>
      </c>
      <c r="I214" s="105">
        <f t="shared" si="207"/>
        <v>183.23614414770847</v>
      </c>
      <c r="J214" s="105">
        <f t="shared" si="208"/>
        <v>201.65950602180433</v>
      </c>
      <c r="K214" s="105">
        <f t="shared" si="208"/>
        <v>95.332563495938743</v>
      </c>
      <c r="L214" s="105">
        <f t="shared" si="209"/>
        <v>1.0841693317141685</v>
      </c>
      <c r="N214" s="105">
        <f t="shared" si="213"/>
        <v>139.19360558652053</v>
      </c>
      <c r="O214" s="193">
        <f t="shared" si="210"/>
        <v>39</v>
      </c>
      <c r="P214" s="205">
        <f t="shared" ca="1" si="214"/>
        <v>2.1232724852028686</v>
      </c>
      <c r="Q214" s="205">
        <f t="shared" ca="1" si="215"/>
        <v>1.0940603722024855</v>
      </c>
      <c r="R214" s="205">
        <f t="shared" ca="1" si="216"/>
        <v>-7.2557820367048054E-2</v>
      </c>
      <c r="S214" s="205">
        <f t="shared" ca="1" si="217"/>
        <v>3.2556717615488617E-2</v>
      </c>
      <c r="T214" s="205">
        <f t="shared" ca="1" si="218"/>
        <v>-6.1776380979436496E-2</v>
      </c>
      <c r="U214" s="205">
        <f t="shared" ca="1" si="219"/>
        <v>0.98464936440879991</v>
      </c>
      <c r="V214" s="205">
        <f t="shared" ca="1" si="201"/>
        <v>1.0979151527849584</v>
      </c>
      <c r="W214" s="205">
        <f t="shared" ca="1" si="211"/>
        <v>3.6160741844131241</v>
      </c>
      <c r="X214" s="205">
        <f t="shared" ca="1" si="202"/>
        <v>2.586862071412741</v>
      </c>
      <c r="Y214" s="205">
        <f t="shared" ca="1" si="203"/>
        <v>1.4202438788432075</v>
      </c>
      <c r="Z214" s="205">
        <f t="shared" ca="1" si="204"/>
        <v>1.5253584168257441</v>
      </c>
      <c r="AA214" s="205">
        <f t="shared" ca="1" si="205"/>
        <v>1.431025318230819</v>
      </c>
      <c r="AB214" s="205">
        <f t="shared" ca="1" si="206"/>
        <v>2.4774510636190552</v>
      </c>
    </row>
    <row r="215" spans="5:28">
      <c r="E215" s="111">
        <f t="shared" si="212"/>
        <v>40</v>
      </c>
      <c r="F215" s="105">
        <f t="shared" si="207"/>
        <v>62.700543924480321</v>
      </c>
      <c r="G215" s="105">
        <f t="shared" si="207"/>
        <v>92.734156532554479</v>
      </c>
      <c r="H215" s="105">
        <f t="shared" si="207"/>
        <v>204.32310691577314</v>
      </c>
      <c r="I215" s="105">
        <f t="shared" si="207"/>
        <v>183.52309350014613</v>
      </c>
      <c r="J215" s="105">
        <f t="shared" si="208"/>
        <v>202.01683427902205</v>
      </c>
      <c r="K215" s="105">
        <f t="shared" si="208"/>
        <v>96.26394590844933</v>
      </c>
      <c r="L215" s="105">
        <f t="shared" si="209"/>
        <v>1.0607492073877629</v>
      </c>
      <c r="N215" s="105">
        <f t="shared" si="213"/>
        <v>140.26028017673761</v>
      </c>
      <c r="O215" s="193">
        <f t="shared" si="210"/>
        <v>40</v>
      </c>
      <c r="P215" s="205">
        <f t="shared" ca="1" si="214"/>
        <v>2.0175449797941214</v>
      </c>
      <c r="Q215" s="205">
        <f t="shared" ca="1" si="215"/>
        <v>1.0402591517965316</v>
      </c>
      <c r="R215" s="205">
        <f t="shared" ca="1" si="216"/>
        <v>-7.40072701240303E-2</v>
      </c>
      <c r="S215" s="205">
        <f t="shared" ca="1" si="217"/>
        <v>3.0942253322063351E-2</v>
      </c>
      <c r="T215" s="205">
        <f t="shared" ca="1" si="218"/>
        <v>-6.3435915007190147E-2</v>
      </c>
      <c r="U215" s="205">
        <f t="shared" ca="1" si="219"/>
        <v>0.96544728936848689</v>
      </c>
      <c r="V215" s="205">
        <f t="shared" ca="1" si="201"/>
        <v>1.0457761249590758</v>
      </c>
      <c r="W215" s="205">
        <f t="shared" ca="1" si="211"/>
        <v>3.5103466790043769</v>
      </c>
      <c r="X215" s="205">
        <f t="shared" ca="1" si="202"/>
        <v>2.5330608510067871</v>
      </c>
      <c r="Y215" s="205">
        <f t="shared" ca="1" si="203"/>
        <v>1.4187944290862253</v>
      </c>
      <c r="Z215" s="205">
        <f t="shared" ca="1" si="204"/>
        <v>1.5237439525323189</v>
      </c>
      <c r="AA215" s="205">
        <f t="shared" ca="1" si="205"/>
        <v>1.4293657842030654</v>
      </c>
      <c r="AB215" s="205">
        <f t="shared" ca="1" si="206"/>
        <v>2.4582489885787426</v>
      </c>
    </row>
    <row r="216" spans="5:28">
      <c r="E216" s="111">
        <f t="shared" si="212"/>
        <v>41</v>
      </c>
      <c r="F216" s="105">
        <f t="shared" si="207"/>
        <v>64.977188032575114</v>
      </c>
      <c r="G216" s="105">
        <f t="shared" si="207"/>
        <v>95.245768138281036</v>
      </c>
      <c r="H216" s="105">
        <f t="shared" si="207"/>
        <v>204.64343381017969</v>
      </c>
      <c r="I216" s="105">
        <f t="shared" si="207"/>
        <v>183.81094299243912</v>
      </c>
      <c r="J216" s="105">
        <f t="shared" si="208"/>
        <v>202.37543111152124</v>
      </c>
      <c r="K216" s="105">
        <f t="shared" si="208"/>
        <v>97.213706760474736</v>
      </c>
      <c r="L216" s="105">
        <f t="shared" si="209"/>
        <v>1.0360205003833807</v>
      </c>
      <c r="N216" s="105">
        <f t="shared" si="213"/>
        <v>141.3777451409118</v>
      </c>
      <c r="O216" s="193">
        <f t="shared" si="210"/>
        <v>41</v>
      </c>
      <c r="P216" s="205">
        <f t="shared" ca="1" si="214"/>
        <v>1.9118174743853737</v>
      </c>
      <c r="Q216" s="205">
        <f t="shared" ca="1" si="215"/>
        <v>0.98645793139057814</v>
      </c>
      <c r="R216" s="205">
        <f t="shared" ca="1" si="216"/>
        <v>-7.5456719881012768E-2</v>
      </c>
      <c r="S216" s="205">
        <f t="shared" ca="1" si="217"/>
        <v>2.9327789028638085E-2</v>
      </c>
      <c r="T216" s="205">
        <f t="shared" ca="1" si="218"/>
        <v>-6.509544903494402E-2</v>
      </c>
      <c r="U216" s="205">
        <f t="shared" ca="1" si="219"/>
        <v>0.94624521432817388</v>
      </c>
      <c r="V216" s="205">
        <f t="shared" ca="1" si="201"/>
        <v>0.99363709713319326</v>
      </c>
      <c r="W216" s="205">
        <f t="shared" ca="1" si="211"/>
        <v>3.4046191735956293</v>
      </c>
      <c r="X216" s="205">
        <f t="shared" ca="1" si="202"/>
        <v>2.4792596306008337</v>
      </c>
      <c r="Y216" s="205">
        <f t="shared" ca="1" si="203"/>
        <v>1.4173449793292427</v>
      </c>
      <c r="Z216" s="205">
        <f t="shared" ca="1" si="204"/>
        <v>1.5221294882388936</v>
      </c>
      <c r="AA216" s="205">
        <f t="shared" ca="1" si="205"/>
        <v>1.4277062501753115</v>
      </c>
      <c r="AB216" s="205">
        <f t="shared" ca="1" si="206"/>
        <v>2.4390469135384292</v>
      </c>
    </row>
    <row r="217" spans="5:28">
      <c r="E217" s="111">
        <f t="shared" si="212"/>
        <v>42</v>
      </c>
      <c r="F217" s="105">
        <f t="shared" si="207"/>
        <v>67.425390362190626</v>
      </c>
      <c r="G217" s="105">
        <f t="shared" si="207"/>
        <v>97.89721603133772</v>
      </c>
      <c r="H217" s="105">
        <f t="shared" si="207"/>
        <v>204.96476666459589</v>
      </c>
      <c r="I217" s="105">
        <f t="shared" si="207"/>
        <v>184.09969686675382</v>
      </c>
      <c r="J217" s="105">
        <f t="shared" si="208"/>
        <v>202.73530328679743</v>
      </c>
      <c r="K217" s="105">
        <f t="shared" si="208"/>
        <v>98.182395449432391</v>
      </c>
      <c r="L217" s="105">
        <f t="shared" si="209"/>
        <v>1.0098703844785391</v>
      </c>
      <c r="N217" s="105">
        <f t="shared" si="213"/>
        <v>142.55079477685132</v>
      </c>
      <c r="O217" s="193">
        <f t="shared" si="210"/>
        <v>42</v>
      </c>
      <c r="P217" s="205">
        <f t="shared" ca="1" si="214"/>
        <v>1.8060899689766261</v>
      </c>
      <c r="Q217" s="205">
        <f t="shared" ca="1" si="215"/>
        <v>0.93265671098462422</v>
      </c>
      <c r="R217" s="205">
        <f t="shared" ca="1" si="216"/>
        <v>-7.6906169637995125E-2</v>
      </c>
      <c r="S217" s="205">
        <f t="shared" ca="1" si="217"/>
        <v>2.7713324735212819E-2</v>
      </c>
      <c r="T217" s="205">
        <f t="shared" ca="1" si="218"/>
        <v>-6.675498306269767E-2</v>
      </c>
      <c r="U217" s="205">
        <f t="shared" ca="1" si="219"/>
        <v>0.92704313928786086</v>
      </c>
      <c r="V217" s="205">
        <f t="shared" ca="1" si="201"/>
        <v>0.94149806930731061</v>
      </c>
      <c r="W217" s="205">
        <f t="shared" ca="1" si="211"/>
        <v>3.2988916681868816</v>
      </c>
      <c r="X217" s="205">
        <f t="shared" ca="1" si="202"/>
        <v>2.4254584101948797</v>
      </c>
      <c r="Y217" s="205">
        <f t="shared" ca="1" si="203"/>
        <v>1.4158955295722604</v>
      </c>
      <c r="Z217" s="205">
        <f t="shared" ca="1" si="204"/>
        <v>1.5205150239454683</v>
      </c>
      <c r="AA217" s="205">
        <f t="shared" ca="1" si="205"/>
        <v>1.4260467161475578</v>
      </c>
      <c r="AB217" s="205">
        <f t="shared" ca="1" si="206"/>
        <v>2.4198448384981166</v>
      </c>
    </row>
    <row r="218" spans="5:28">
      <c r="E218" s="111">
        <f t="shared" si="212"/>
        <v>43</v>
      </c>
      <c r="F218" s="105">
        <f t="shared" si="207"/>
        <v>70.065302011231452</v>
      </c>
      <c r="G218" s="105">
        <f t="shared" si="207"/>
        <v>100.70051289117713</v>
      </c>
      <c r="H218" s="105">
        <f t="shared" si="207"/>
        <v>205.28711022517501</v>
      </c>
      <c r="I218" s="105">
        <f t="shared" si="207"/>
        <v>184.38935939195514</v>
      </c>
      <c r="J218" s="105">
        <f t="shared" si="208"/>
        <v>203.09645762056897</v>
      </c>
      <c r="K218" s="105">
        <f t="shared" si="208"/>
        <v>99.170583491082084</v>
      </c>
      <c r="L218" s="105">
        <f t="shared" si="209"/>
        <v>0.9821726791181884</v>
      </c>
      <c r="N218" s="105">
        <f t="shared" si="213"/>
        <v>143.78488760519829</v>
      </c>
      <c r="O218" s="193">
        <f t="shared" si="210"/>
        <v>43</v>
      </c>
      <c r="P218" s="205">
        <f t="shared" ca="1" si="214"/>
        <v>1.7003624635678785</v>
      </c>
      <c r="Q218" s="205">
        <f t="shared" ca="1" si="215"/>
        <v>0.87885549057867096</v>
      </c>
      <c r="R218" s="205">
        <f t="shared" ca="1" si="216"/>
        <v>-7.8355619394977594E-2</v>
      </c>
      <c r="S218" s="205">
        <f t="shared" ca="1" si="217"/>
        <v>2.6098860441787552E-2</v>
      </c>
      <c r="T218" s="205">
        <f t="shared" ca="1" si="218"/>
        <v>-6.8414517090451543E-2</v>
      </c>
      <c r="U218" s="205">
        <f t="shared" ca="1" si="219"/>
        <v>0.90784106424754829</v>
      </c>
      <c r="V218" s="205">
        <f t="shared" ca="1" si="201"/>
        <v>0.88935904148142808</v>
      </c>
      <c r="W218" s="205">
        <f t="shared" ca="1" si="211"/>
        <v>3.193164162778134</v>
      </c>
      <c r="X218" s="205">
        <f t="shared" ca="1" si="202"/>
        <v>2.3716571897889267</v>
      </c>
      <c r="Y218" s="205">
        <f t="shared" ca="1" si="203"/>
        <v>1.4144460798152778</v>
      </c>
      <c r="Z218" s="205">
        <f t="shared" ca="1" si="204"/>
        <v>1.5189005596520431</v>
      </c>
      <c r="AA218" s="205">
        <f t="shared" ca="1" si="205"/>
        <v>1.424387182119804</v>
      </c>
      <c r="AB218" s="205">
        <f t="shared" ca="1" si="206"/>
        <v>2.400642763457804</v>
      </c>
    </row>
    <row r="219" spans="5:28">
      <c r="E219" s="111">
        <f t="shared" si="212"/>
        <v>44</v>
      </c>
      <c r="F219" s="105">
        <f t="shared" si="207"/>
        <v>72.920358586362852</v>
      </c>
      <c r="G219" s="105">
        <f t="shared" si="207"/>
        <v>103.66908789609361</v>
      </c>
      <c r="H219" s="105">
        <f t="shared" si="207"/>
        <v>205.61046926797397</v>
      </c>
      <c r="I219" s="105">
        <f t="shared" si="207"/>
        <v>184.67993486381695</v>
      </c>
      <c r="J219" s="105">
        <f t="shared" si="208"/>
        <v>203.45890097720707</v>
      </c>
      <c r="K219" s="105">
        <f t="shared" si="208"/>
        <v>100.17886564392842</v>
      </c>
      <c r="L219" s="105">
        <f t="shared" si="209"/>
        <v>0.95278581336069568</v>
      </c>
      <c r="N219" s="105">
        <f t="shared" si="213"/>
        <v>145.08626953923047</v>
      </c>
      <c r="O219" s="193">
        <f t="shared" si="210"/>
        <v>44</v>
      </c>
      <c r="P219" s="205">
        <f t="shared" ca="1" si="214"/>
        <v>1.5946349581591308</v>
      </c>
      <c r="Q219" s="205">
        <f t="shared" ca="1" si="215"/>
        <v>0.82505427017271704</v>
      </c>
      <c r="R219" s="205">
        <f t="shared" ca="1" si="216"/>
        <v>-7.980506915195984E-2</v>
      </c>
      <c r="S219" s="205">
        <f t="shared" ca="1" si="217"/>
        <v>2.4484396148362286E-2</v>
      </c>
      <c r="T219" s="205">
        <f t="shared" ca="1" si="218"/>
        <v>-7.0074051118205305E-2</v>
      </c>
      <c r="U219" s="205">
        <f t="shared" ca="1" si="219"/>
        <v>0.88863898920723527</v>
      </c>
      <c r="V219" s="205">
        <f t="shared" ca="1" si="201"/>
        <v>0.83722001365554533</v>
      </c>
      <c r="W219" s="205">
        <f t="shared" ca="1" si="211"/>
        <v>3.0874366573693863</v>
      </c>
      <c r="X219" s="205">
        <f t="shared" ca="1" si="202"/>
        <v>2.3178559693829728</v>
      </c>
      <c r="Y219" s="205">
        <f t="shared" ca="1" si="203"/>
        <v>1.4129966300582957</v>
      </c>
      <c r="Z219" s="205">
        <f t="shared" ca="1" si="204"/>
        <v>1.5172860953586178</v>
      </c>
      <c r="AA219" s="205">
        <f t="shared" ca="1" si="205"/>
        <v>1.4227276480920503</v>
      </c>
      <c r="AB219" s="205">
        <f t="shared" ca="1" si="206"/>
        <v>2.3814406884174906</v>
      </c>
    </row>
    <row r="220" spans="5:28">
      <c r="E220" s="111">
        <f t="shared" si="212"/>
        <v>45</v>
      </c>
      <c r="F220" s="105">
        <f t="shared" si="207"/>
        <v>76.017977824204692</v>
      </c>
      <c r="G220" s="105">
        <f t="shared" si="207"/>
        <v>106.81800185162149</v>
      </c>
      <c r="H220" s="105">
        <f t="shared" si="207"/>
        <v>205.93484859918937</v>
      </c>
      <c r="I220" s="105">
        <f t="shared" si="207"/>
        <v>184.97142760523425</v>
      </c>
      <c r="J220" s="105">
        <f t="shared" si="208"/>
        <v>203.82264027017087</v>
      </c>
      <c r="K220" s="105">
        <f t="shared" si="208"/>
        <v>101.20786110291954</v>
      </c>
      <c r="L220" s="105">
        <f t="shared" si="209"/>
        <v>0.92155040559795753</v>
      </c>
      <c r="N220" s="105">
        <f t="shared" si="213"/>
        <v>146.46212620889003</v>
      </c>
      <c r="O220" s="193">
        <f t="shared" si="210"/>
        <v>45</v>
      </c>
      <c r="P220" s="205">
        <f t="shared" ca="1" si="214"/>
        <v>1.4889074527503827</v>
      </c>
      <c r="Q220" s="205">
        <f t="shared" ca="1" si="215"/>
        <v>0.77125304976676379</v>
      </c>
      <c r="R220" s="205">
        <f t="shared" ca="1" si="216"/>
        <v>-8.1254518908942197E-2</v>
      </c>
      <c r="S220" s="205">
        <f t="shared" ca="1" si="217"/>
        <v>2.286993185493702E-2</v>
      </c>
      <c r="T220" s="205">
        <f t="shared" ca="1" si="218"/>
        <v>-7.1733585145959067E-2</v>
      </c>
      <c r="U220" s="205">
        <f t="shared" ca="1" si="219"/>
        <v>0.86943691416692226</v>
      </c>
      <c r="V220" s="205">
        <f t="shared" ca="1" si="201"/>
        <v>0.78508098582966246</v>
      </c>
      <c r="W220" s="205">
        <f t="shared" ca="1" si="211"/>
        <v>2.9817091519606382</v>
      </c>
      <c r="X220" s="205">
        <f t="shared" ca="1" si="202"/>
        <v>2.2640547489770193</v>
      </c>
      <c r="Y220" s="205">
        <f t="shared" ca="1" si="203"/>
        <v>1.4115471803013133</v>
      </c>
      <c r="Z220" s="205">
        <f t="shared" ca="1" si="204"/>
        <v>1.5156716310651925</v>
      </c>
      <c r="AA220" s="205">
        <f t="shared" ca="1" si="205"/>
        <v>1.4210681140642965</v>
      </c>
      <c r="AB220" s="205">
        <f t="shared" ca="1" si="206"/>
        <v>2.362238613377178</v>
      </c>
    </row>
    <row r="221" spans="5:28">
      <c r="E221" s="111">
        <f t="shared" si="212"/>
        <v>46</v>
      </c>
      <c r="F221" s="105">
        <f t="shared" si="207"/>
        <v>79.390442908318818</v>
      </c>
      <c r="G221" s="105">
        <f t="shared" si="207"/>
        <v>110.16420275385086</v>
      </c>
      <c r="H221" s="105">
        <f t="shared" si="207"/>
        <v>206.26025305539548</v>
      </c>
      <c r="I221" s="105">
        <f t="shared" si="207"/>
        <v>185.26384196643772</v>
      </c>
      <c r="J221" s="105">
        <f t="shared" si="208"/>
        <v>204.18768246244699</v>
      </c>
      <c r="K221" s="105">
        <f t="shared" si="208"/>
        <v>102.25821476747662</v>
      </c>
      <c r="L221" s="105">
        <f t="shared" si="209"/>
        <v>0.88828637171038238</v>
      </c>
      <c r="N221" s="105">
        <f t="shared" si="213"/>
        <v>147.92077298565442</v>
      </c>
      <c r="O221" s="193">
        <f t="shared" si="210"/>
        <v>46</v>
      </c>
      <c r="P221" s="205">
        <f t="shared" ca="1" si="214"/>
        <v>1.383179947341636</v>
      </c>
      <c r="Q221" s="205">
        <f t="shared" ca="1" si="215"/>
        <v>0.71745182936081053</v>
      </c>
      <c r="R221" s="205">
        <f t="shared" ca="1" si="216"/>
        <v>-8.2703968665924554E-2</v>
      </c>
      <c r="S221" s="205">
        <f t="shared" ca="1" si="217"/>
        <v>2.1255467561511754E-2</v>
      </c>
      <c r="T221" s="205">
        <f t="shared" ca="1" si="218"/>
        <v>-7.3393119173712829E-2</v>
      </c>
      <c r="U221" s="205">
        <f t="shared" ca="1" si="219"/>
        <v>0.85023483912660969</v>
      </c>
      <c r="V221" s="205">
        <f t="shared" ca="1" si="201"/>
        <v>0.73294195800378026</v>
      </c>
      <c r="W221" s="205">
        <f t="shared" ca="1" si="211"/>
        <v>2.8759816465518915</v>
      </c>
      <c r="X221" s="205">
        <f t="shared" ca="1" si="202"/>
        <v>2.2102535285710658</v>
      </c>
      <c r="Y221" s="205">
        <f t="shared" ca="1" si="203"/>
        <v>1.410097730544331</v>
      </c>
      <c r="Z221" s="205">
        <f t="shared" ca="1" si="204"/>
        <v>1.5140571667717673</v>
      </c>
      <c r="AA221" s="205">
        <f t="shared" ca="1" si="205"/>
        <v>1.4194085800365426</v>
      </c>
      <c r="AB221" s="205">
        <f t="shared" ca="1" si="206"/>
        <v>2.3430365383368654</v>
      </c>
    </row>
    <row r="222" spans="5:28">
      <c r="E222" s="111">
        <f t="shared" si="212"/>
        <v>47</v>
      </c>
      <c r="F222" s="105">
        <f t="shared" si="207"/>
        <v>83.076031826640346</v>
      </c>
      <c r="G222" s="105">
        <f t="shared" si="207"/>
        <v>113.72683094110562</v>
      </c>
      <c r="H222" s="105">
        <f t="shared" si="207"/>
        <v>206.5866875037847</v>
      </c>
      <c r="I222" s="105">
        <f t="shared" si="207"/>
        <v>185.55718232520999</v>
      </c>
      <c r="J222" s="105">
        <f t="shared" si="208"/>
        <v>204.55403456699378</v>
      </c>
      <c r="K222" s="105">
        <f t="shared" si="208"/>
        <v>103.3305985893103</v>
      </c>
      <c r="L222" s="105">
        <f t="shared" si="209"/>
        <v>0.8527894508664946</v>
      </c>
      <c r="N222" s="105">
        <f t="shared" si="213"/>
        <v>149.47189429217411</v>
      </c>
      <c r="O222" s="193">
        <f t="shared" si="210"/>
        <v>47</v>
      </c>
      <c r="P222" s="205">
        <f t="shared" ca="1" si="214"/>
        <v>1.2774524419328883</v>
      </c>
      <c r="Q222" s="205">
        <f t="shared" ca="1" si="215"/>
        <v>0.66365060895485661</v>
      </c>
      <c r="R222" s="205">
        <f t="shared" ca="1" si="216"/>
        <v>-8.4153418422906912E-2</v>
      </c>
      <c r="S222" s="205">
        <f t="shared" ca="1" si="217"/>
        <v>1.964100326808671E-2</v>
      </c>
      <c r="T222" s="205">
        <f t="shared" ca="1" si="218"/>
        <v>-7.505265320146659E-2</v>
      </c>
      <c r="U222" s="205">
        <f t="shared" ca="1" si="219"/>
        <v>0.83103276408629645</v>
      </c>
      <c r="V222" s="205">
        <f t="shared" ca="1" si="201"/>
        <v>0.68080293017789761</v>
      </c>
      <c r="W222" s="205">
        <f t="shared" ca="1" si="211"/>
        <v>2.7702541411431438</v>
      </c>
      <c r="X222" s="205">
        <f t="shared" ca="1" si="202"/>
        <v>2.1564523081651119</v>
      </c>
      <c r="Y222" s="205">
        <f t="shared" ca="1" si="203"/>
        <v>1.4086482807873486</v>
      </c>
      <c r="Z222" s="205">
        <f t="shared" ca="1" si="204"/>
        <v>1.5124427024783422</v>
      </c>
      <c r="AA222" s="205">
        <f t="shared" ca="1" si="205"/>
        <v>1.4177490460087889</v>
      </c>
      <c r="AB222" s="205">
        <f t="shared" ca="1" si="206"/>
        <v>2.323834463296552</v>
      </c>
    </row>
    <row r="223" spans="5:28">
      <c r="E223" s="111">
        <f t="shared" si="212"/>
        <v>48</v>
      </c>
      <c r="F223" s="105">
        <f t="shared" si="207"/>
        <v>87.120476616387222</v>
      </c>
      <c r="G223" s="105">
        <f t="shared" si="207"/>
        <v>117.52758543469727</v>
      </c>
      <c r="H223" s="105">
        <f t="shared" si="207"/>
        <v>206.91415684241016</v>
      </c>
      <c r="I223" s="105">
        <f t="shared" si="207"/>
        <v>185.85145308710426</v>
      </c>
      <c r="J223" s="105">
        <f t="shared" si="208"/>
        <v>204.92170364719047</v>
      </c>
      <c r="K223" s="105">
        <f t="shared" si="208"/>
        <v>104.42571300594331</v>
      </c>
      <c r="L223" s="105">
        <f t="shared" si="209"/>
        <v>0.81482700739611647</v>
      </c>
      <c r="N223" s="105">
        <f t="shared" si="213"/>
        <v>151.12684810562212</v>
      </c>
      <c r="O223" s="193">
        <f t="shared" si="210"/>
        <v>48</v>
      </c>
      <c r="P223" s="205">
        <f t="shared" ca="1" si="214"/>
        <v>1.1717249365241402</v>
      </c>
      <c r="Q223" s="205">
        <f t="shared" ca="1" si="215"/>
        <v>0.60984938854890314</v>
      </c>
      <c r="R223" s="205">
        <f t="shared" ca="1" si="216"/>
        <v>-8.5602868179889269E-2</v>
      </c>
      <c r="S223" s="205">
        <f t="shared" ca="1" si="217"/>
        <v>1.8026538974661444E-2</v>
      </c>
      <c r="T223" s="205">
        <f t="shared" ca="1" si="218"/>
        <v>-7.6712187229220352E-2</v>
      </c>
      <c r="U223" s="205">
        <f t="shared" ca="1" si="219"/>
        <v>0.81183068904598343</v>
      </c>
      <c r="V223" s="205">
        <f t="shared" ca="1" si="201"/>
        <v>0.62866390235201475</v>
      </c>
      <c r="W223" s="205">
        <f t="shared" ca="1" si="211"/>
        <v>2.6645266357343957</v>
      </c>
      <c r="X223" s="205">
        <f t="shared" ca="1" si="202"/>
        <v>2.1026510877591589</v>
      </c>
      <c r="Y223" s="205">
        <f t="shared" ca="1" si="203"/>
        <v>1.4071988310303662</v>
      </c>
      <c r="Z223" s="205">
        <f t="shared" ca="1" si="204"/>
        <v>1.510828238184917</v>
      </c>
      <c r="AA223" s="205">
        <f t="shared" ca="1" si="205"/>
        <v>1.4160895119810353</v>
      </c>
      <c r="AB223" s="205">
        <f t="shared" ca="1" si="206"/>
        <v>2.304632388256239</v>
      </c>
    </row>
    <row r="224" spans="5:28">
      <c r="E224" s="111">
        <f t="shared" si="212"/>
        <v>49</v>
      </c>
      <c r="F224" s="105">
        <f t="shared" si="207"/>
        <v>91.578870670487703</v>
      </c>
      <c r="G224" s="105">
        <f t="shared" si="207"/>
        <v>121.59116627827616</v>
      </c>
      <c r="H224" s="105">
        <f t="shared" si="207"/>
        <v>207.24266600043077</v>
      </c>
      <c r="I224" s="105">
        <f t="shared" si="207"/>
        <v>186.1466586856647</v>
      </c>
      <c r="J224" s="105">
        <f t="shared" si="208"/>
        <v>205.29069681729112</v>
      </c>
      <c r="K224" s="105">
        <f t="shared" si="208"/>
        <v>105.544288466366</v>
      </c>
      <c r="L224" s="105">
        <f t="shared" si="209"/>
        <v>0.77413292641834908</v>
      </c>
      <c r="N224" s="105">
        <f t="shared" si="213"/>
        <v>152.89905781975276</v>
      </c>
      <c r="O224" s="193">
        <f t="shared" si="210"/>
        <v>49</v>
      </c>
      <c r="P224" s="205">
        <f t="shared" ca="1" si="214"/>
        <v>1.065997431115393</v>
      </c>
      <c r="Q224" s="205">
        <f t="shared" ca="1" si="215"/>
        <v>0.55604816814294944</v>
      </c>
      <c r="R224" s="205">
        <f t="shared" ca="1" si="216"/>
        <v>-8.7052317936871626E-2</v>
      </c>
      <c r="S224" s="205">
        <f t="shared" ca="1" si="217"/>
        <v>1.6412074681235955E-2</v>
      </c>
      <c r="T224" s="205">
        <f t="shared" ca="1" si="218"/>
        <v>-7.8371721256974114E-2</v>
      </c>
      <c r="U224" s="205">
        <f t="shared" ca="1" si="219"/>
        <v>0.79262861400567086</v>
      </c>
      <c r="V224" s="205">
        <f t="shared" ca="1" si="201"/>
        <v>0.57652487452613232</v>
      </c>
      <c r="W224" s="205">
        <f t="shared" ca="1" si="211"/>
        <v>2.5587991303256485</v>
      </c>
      <c r="X224" s="205">
        <f t="shared" ca="1" si="202"/>
        <v>2.048849867353205</v>
      </c>
      <c r="Y224" s="205">
        <f t="shared" ca="1" si="203"/>
        <v>1.4057493812733839</v>
      </c>
      <c r="Z224" s="205">
        <f t="shared" ca="1" si="204"/>
        <v>1.5092137738914915</v>
      </c>
      <c r="AA224" s="205">
        <f t="shared" ca="1" si="205"/>
        <v>1.4144299779532814</v>
      </c>
      <c r="AB224" s="205">
        <f t="shared" ca="1" si="206"/>
        <v>2.2854303132159264</v>
      </c>
    </row>
    <row r="225" spans="5:28">
      <c r="E225" s="111">
        <f t="shared" si="212"/>
        <v>50</v>
      </c>
      <c r="F225" s="105">
        <f t="shared" si="207"/>
        <v>96.518193269466337</v>
      </c>
      <c r="G225" s="105">
        <f t="shared" si="207"/>
        <v>125.94581192838652</v>
      </c>
      <c r="H225" s="105">
        <f t="shared" si="207"/>
        <v>207.57221993835856</v>
      </c>
      <c r="I225" s="105">
        <f t="shared" si="207"/>
        <v>186.44280358264922</v>
      </c>
      <c r="J225" s="105">
        <f t="shared" si="208"/>
        <v>205.66102124288341</v>
      </c>
      <c r="K225" s="105">
        <f t="shared" si="208"/>
        <v>106.68708705580744</v>
      </c>
      <c r="L225" s="105">
        <f t="shared" si="209"/>
        <v>0.73040136647119114</v>
      </c>
      <c r="N225" s="105">
        <f t="shared" si="213"/>
        <v>154.8045228362586</v>
      </c>
      <c r="O225" s="193">
        <f t="shared" si="210"/>
        <v>50</v>
      </c>
      <c r="P225" s="205">
        <f t="shared" ca="1" si="214"/>
        <v>0.96026992570664516</v>
      </c>
      <c r="Q225" s="205">
        <f t="shared" ca="1" si="215"/>
        <v>0.50224694773699596</v>
      </c>
      <c r="R225" s="205">
        <f t="shared" ca="1" si="216"/>
        <v>-8.8501767693853983E-2</v>
      </c>
      <c r="S225" s="205">
        <f t="shared" ca="1" si="217"/>
        <v>1.4797610387810689E-2</v>
      </c>
      <c r="T225" s="205">
        <f t="shared" ca="1" si="218"/>
        <v>-8.0031255284727765E-2</v>
      </c>
      <c r="U225" s="205">
        <f t="shared" ca="1" si="219"/>
        <v>0.77342653896535762</v>
      </c>
      <c r="V225" s="205">
        <f t="shared" ca="1" si="201"/>
        <v>0.52438584670024957</v>
      </c>
      <c r="W225" s="205">
        <f t="shared" ca="1" si="211"/>
        <v>2.4530716249169009</v>
      </c>
      <c r="X225" s="205">
        <f t="shared" ca="1" si="202"/>
        <v>1.9950486469472515</v>
      </c>
      <c r="Y225" s="205">
        <f t="shared" ca="1" si="203"/>
        <v>1.4042999315164015</v>
      </c>
      <c r="Z225" s="205">
        <f t="shared" ca="1" si="204"/>
        <v>1.5075993095980662</v>
      </c>
      <c r="AA225" s="205">
        <f t="shared" ca="1" si="205"/>
        <v>1.4127704439255278</v>
      </c>
      <c r="AB225" s="205">
        <f t="shared" ca="1" si="206"/>
        <v>2.2662282381756134</v>
      </c>
    </row>
    <row r="226" spans="5:28">
      <c r="E226" s="111">
        <f t="shared" si="212"/>
        <v>51</v>
      </c>
      <c r="F226" s="105">
        <f t="shared" si="207"/>
        <v>102.02069765504993</v>
      </c>
      <c r="G226" s="105">
        <f t="shared" si="207"/>
        <v>130.62395641036977</v>
      </c>
      <c r="H226" s="105">
        <f t="shared" si="207"/>
        <v>207.90282364830827</v>
      </c>
      <c r="I226" s="105">
        <f t="shared" si="207"/>
        <v>186.73989226825418</v>
      </c>
      <c r="J226" s="105">
        <f t="shared" si="208"/>
        <v>206.03268414135272</v>
      </c>
      <c r="K226" s="105">
        <f t="shared" si="208"/>
        <v>107.85490422721676</v>
      </c>
      <c r="L226" s="105">
        <f t="shared" si="209"/>
        <v>0.68327905896254448</v>
      </c>
      <c r="N226" s="105">
        <f t="shared" si="213"/>
        <v>156.86249305842526</v>
      </c>
      <c r="O226" s="193">
        <f t="shared" si="210"/>
        <v>51</v>
      </c>
      <c r="P226" s="205">
        <f t="shared" ca="1" si="214"/>
        <v>0.85454242029789818</v>
      </c>
      <c r="Q226" s="205">
        <f t="shared" ca="1" si="215"/>
        <v>0.44844572733104204</v>
      </c>
      <c r="R226" s="205">
        <f t="shared" ca="1" si="216"/>
        <v>-8.9951217450836451E-2</v>
      </c>
      <c r="S226" s="205">
        <f t="shared" ca="1" si="217"/>
        <v>1.3183146094385423E-2</v>
      </c>
      <c r="T226" s="205">
        <f t="shared" ca="1" si="218"/>
        <v>-8.1690789312481638E-2</v>
      </c>
      <c r="U226" s="205">
        <f t="shared" ca="1" si="219"/>
        <v>0.75422446392504483</v>
      </c>
      <c r="V226" s="205">
        <f t="shared" ca="1" si="201"/>
        <v>0.47224681887436731</v>
      </c>
      <c r="W226" s="205">
        <f t="shared" ca="1" si="211"/>
        <v>2.3473441195081537</v>
      </c>
      <c r="X226" s="205">
        <f t="shared" ca="1" si="202"/>
        <v>1.9412474265412976</v>
      </c>
      <c r="Y226" s="205">
        <f t="shared" ca="1" si="203"/>
        <v>1.402850481759419</v>
      </c>
      <c r="Z226" s="205">
        <f t="shared" ca="1" si="204"/>
        <v>1.5059848453046409</v>
      </c>
      <c r="AA226" s="205">
        <f t="shared" ca="1" si="205"/>
        <v>1.4111109098977739</v>
      </c>
      <c r="AB226" s="205">
        <f t="shared" ca="1" si="206"/>
        <v>2.2470261631353003</v>
      </c>
    </row>
    <row r="227" spans="5:28">
      <c r="E227" s="111">
        <f t="shared" si="212"/>
        <v>52</v>
      </c>
      <c r="F227" s="105">
        <f t="shared" si="207"/>
        <v>108.18852809341979</v>
      </c>
      <c r="G227" s="105">
        <f t="shared" si="207"/>
        <v>135.66303858094145</v>
      </c>
      <c r="H227" s="105">
        <f t="shared" si="207"/>
        <v>208.23448215424941</v>
      </c>
      <c r="I227" s="105">
        <f t="shared" si="207"/>
        <v>187.03792926134142</v>
      </c>
      <c r="J227" s="105">
        <f t="shared" si="208"/>
        <v>206.4056927823506</v>
      </c>
      <c r="K227" s="105">
        <f t="shared" si="208"/>
        <v>109.04857064772217</v>
      </c>
      <c r="L227" s="105">
        <f t="shared" si="209"/>
        <v>0.63235574418258711</v>
      </c>
      <c r="N227" s="105">
        <f t="shared" si="213"/>
        <v>159.09637358667081</v>
      </c>
      <c r="O227" s="193">
        <f t="shared" si="210"/>
        <v>52</v>
      </c>
      <c r="P227" s="205">
        <f t="shared" ca="1" si="214"/>
        <v>0.74881491488915031</v>
      </c>
      <c r="Q227" s="205">
        <f t="shared" ca="1" si="215"/>
        <v>0.39464450692508879</v>
      </c>
      <c r="R227" s="205">
        <f t="shared" ca="1" si="216"/>
        <v>-9.1400667207818698E-2</v>
      </c>
      <c r="S227" s="205">
        <f t="shared" ca="1" si="217"/>
        <v>1.1568681800960157E-2</v>
      </c>
      <c r="T227" s="205">
        <f t="shared" ca="1" si="218"/>
        <v>-8.3350323340235399E-2</v>
      </c>
      <c r="U227" s="205">
        <f t="shared" ca="1" si="219"/>
        <v>0.73502238888473204</v>
      </c>
      <c r="V227" s="205">
        <f t="shared" ca="1" si="201"/>
        <v>0.4201077910484845</v>
      </c>
      <c r="W227" s="205">
        <f t="shared" ca="1" si="211"/>
        <v>2.2416166140994056</v>
      </c>
      <c r="X227" s="205">
        <f t="shared" ca="1" si="202"/>
        <v>1.8874462061353443</v>
      </c>
      <c r="Y227" s="205">
        <f t="shared" ca="1" si="203"/>
        <v>1.4014010320024368</v>
      </c>
      <c r="Z227" s="205">
        <f t="shared" ca="1" si="204"/>
        <v>1.5043703810112157</v>
      </c>
      <c r="AA227" s="205">
        <f t="shared" ca="1" si="205"/>
        <v>1.4094513758700202</v>
      </c>
      <c r="AB227" s="205">
        <f t="shared" ca="1" si="206"/>
        <v>2.2278240880949873</v>
      </c>
    </row>
    <row r="228" spans="5:28">
      <c r="E228" s="111">
        <f t="shared" si="212"/>
        <v>53</v>
      </c>
      <c r="F228" s="105">
        <f t="shared" si="207"/>
        <v>115.15011949942948</v>
      </c>
      <c r="G228" s="105">
        <f t="shared" si="207"/>
        <v>141.1065062203123</v>
      </c>
      <c r="H228" s="105">
        <f t="shared" si="207"/>
        <v>208.56720051226094</v>
      </c>
      <c r="I228" s="105">
        <f t="shared" si="207"/>
        <v>187.33691910966726</v>
      </c>
      <c r="J228" s="105">
        <f t="shared" si="208"/>
        <v>206.7800544882692</v>
      </c>
      <c r="K228" s="105">
        <f t="shared" si="208"/>
        <v>110.26895416907399</v>
      </c>
      <c r="L228" s="105">
        <f t="shared" si="209"/>
        <v>0.57715219568392506</v>
      </c>
      <c r="N228" s="105">
        <f t="shared" si="213"/>
        <v>161.53495899983554</v>
      </c>
      <c r="O228" s="193">
        <f t="shared" si="210"/>
        <v>53</v>
      </c>
      <c r="P228" s="205">
        <f t="shared" ca="1" si="214"/>
        <v>0.64308740948040266</v>
      </c>
      <c r="Q228" s="205">
        <f t="shared" ca="1" si="215"/>
        <v>0.34084328651913554</v>
      </c>
      <c r="R228" s="205">
        <f t="shared" ca="1" si="216"/>
        <v>-9.2850116964801055E-2</v>
      </c>
      <c r="S228" s="205">
        <f t="shared" ca="1" si="217"/>
        <v>9.9542175075351125E-3</v>
      </c>
      <c r="T228" s="205">
        <f t="shared" ca="1" si="218"/>
        <v>-8.5009857367989272E-2</v>
      </c>
      <c r="U228" s="205">
        <f t="shared" ca="1" si="219"/>
        <v>0.71582031384441902</v>
      </c>
      <c r="V228" s="205">
        <f t="shared" ca="1" si="201"/>
        <v>0.40433521540461004</v>
      </c>
      <c r="W228" s="205">
        <f t="shared" ca="1" si="211"/>
        <v>2.135889108690658</v>
      </c>
      <c r="X228" s="205">
        <f t="shared" ca="1" si="202"/>
        <v>1.8336449857293911</v>
      </c>
      <c r="Y228" s="205">
        <f t="shared" ca="1" si="203"/>
        <v>1.3999515822454545</v>
      </c>
      <c r="Z228" s="205">
        <f t="shared" ca="1" si="204"/>
        <v>1.5027559167177906</v>
      </c>
      <c r="AA228" s="205">
        <f t="shared" ca="1" si="205"/>
        <v>1.4077918418422661</v>
      </c>
      <c r="AB228" s="205">
        <f t="shared" ca="1" si="206"/>
        <v>2.2086220130546748</v>
      </c>
    </row>
    <row r="229" spans="5:28">
      <c r="E229" s="111">
        <f t="shared" si="212"/>
        <v>54</v>
      </c>
      <c r="F229" s="105">
        <f t="shared" si="207"/>
        <v>123.06923775531085</v>
      </c>
      <c r="G229" s="105">
        <f t="shared" si="207"/>
        <v>147.00507196401</v>
      </c>
      <c r="H229" s="105">
        <f t="shared" si="207"/>
        <v>208.90098381078801</v>
      </c>
      <c r="I229" s="105">
        <f t="shared" si="207"/>
        <v>187.63686639011397</v>
      </c>
      <c r="J229" s="105">
        <f t="shared" si="208"/>
        <v>207.15577663472001</v>
      </c>
      <c r="K229" s="105">
        <f t="shared" si="208"/>
        <v>111.51696193189508</v>
      </c>
      <c r="L229" s="105">
        <f t="shared" si="209"/>
        <v>0.51710509244207692</v>
      </c>
      <c r="N229" s="105">
        <f t="shared" si="213"/>
        <v>164.21414974780632</v>
      </c>
      <c r="O229" s="193">
        <f t="shared" si="210"/>
        <v>54</v>
      </c>
      <c r="P229" s="205">
        <f t="shared" ca="1" si="214"/>
        <v>0.53735990407165501</v>
      </c>
      <c r="Q229" s="205">
        <f t="shared" ca="1" si="215"/>
        <v>0.28704206611318162</v>
      </c>
      <c r="R229" s="205">
        <f t="shared" ca="1" si="216"/>
        <v>-9.4299566721783523E-2</v>
      </c>
      <c r="S229" s="205">
        <f t="shared" ca="1" si="217"/>
        <v>8.3397532141096242E-3</v>
      </c>
      <c r="T229" s="205">
        <f t="shared" ca="1" si="218"/>
        <v>-8.6669391395742812E-2</v>
      </c>
      <c r="U229" s="205">
        <f t="shared" ca="1" si="219"/>
        <v>0.69661823880410623</v>
      </c>
      <c r="V229" s="205">
        <f t="shared" ca="1" si="201"/>
        <v>0.39545890276294487</v>
      </c>
      <c r="W229" s="205">
        <f t="shared" ca="1" si="211"/>
        <v>2.0301616032819103</v>
      </c>
      <c r="X229" s="205">
        <f t="shared" ca="1" si="202"/>
        <v>1.7798437653234371</v>
      </c>
      <c r="Y229" s="205">
        <f t="shared" ca="1" si="203"/>
        <v>1.3985021324884719</v>
      </c>
      <c r="Z229" s="205">
        <f t="shared" ca="1" si="204"/>
        <v>1.5011414524243651</v>
      </c>
      <c r="AA229" s="205">
        <f t="shared" ca="1" si="205"/>
        <v>1.4061323078145127</v>
      </c>
      <c r="AB229" s="205">
        <f t="shared" ca="1" si="206"/>
        <v>2.1894199380143617</v>
      </c>
    </row>
    <row r="230" spans="5:28">
      <c r="E230" s="111">
        <f t="shared" si="212"/>
        <v>55</v>
      </c>
      <c r="F230" s="105">
        <f t="shared" si="207"/>
        <v>132.15802584964123</v>
      </c>
      <c r="G230" s="105">
        <f t="shared" si="207"/>
        <v>153.4182979815063</v>
      </c>
      <c r="H230" s="105">
        <f t="shared" si="207"/>
        <v>209.23583717090139</v>
      </c>
      <c r="I230" s="105">
        <f t="shared" si="207"/>
        <v>187.93777570892308</v>
      </c>
      <c r="J230" s="105">
        <f t="shared" si="208"/>
        <v>207.53286665101868</v>
      </c>
      <c r="K230" s="105">
        <f t="shared" si="208"/>
        <v>112.79354261446056</v>
      </c>
      <c r="L230" s="105">
        <f t="shared" si="209"/>
        <v>0.45154772636684548</v>
      </c>
      <c r="N230" s="105">
        <f t="shared" si="213"/>
        <v>167.1793909960752</v>
      </c>
      <c r="O230" s="193">
        <f t="shared" si="210"/>
        <v>55</v>
      </c>
      <c r="P230" s="205">
        <f t="shared" ca="1" si="214"/>
        <v>0.43163239866290737</v>
      </c>
      <c r="Q230" s="205">
        <f t="shared" ca="1" si="215"/>
        <v>0.23324084570722836</v>
      </c>
      <c r="R230" s="205">
        <f t="shared" ca="1" si="216"/>
        <v>-9.574901647876588E-2</v>
      </c>
      <c r="S230" s="205">
        <f t="shared" ca="1" si="217"/>
        <v>6.7252889206845801E-3</v>
      </c>
      <c r="T230" s="205">
        <f t="shared" ca="1" si="218"/>
        <v>-8.8328925423496574E-2</v>
      </c>
      <c r="U230" s="205">
        <f t="shared" ca="1" si="219"/>
        <v>0.67741616376379343</v>
      </c>
      <c r="V230" s="205">
        <f t="shared" ca="1" si="201"/>
        <v>0.38658259012127966</v>
      </c>
      <c r="W230" s="205">
        <f t="shared" ca="1" si="211"/>
        <v>1.9244340978731629</v>
      </c>
      <c r="X230" s="205">
        <f t="shared" ca="1" si="202"/>
        <v>1.7260425449174839</v>
      </c>
      <c r="Y230" s="205">
        <f t="shared" ca="1" si="203"/>
        <v>1.3970526827314895</v>
      </c>
      <c r="Z230" s="205">
        <f t="shared" ca="1" si="204"/>
        <v>1.4995269881309401</v>
      </c>
      <c r="AA230" s="205">
        <f t="shared" ca="1" si="205"/>
        <v>1.4044727737867588</v>
      </c>
      <c r="AB230" s="205">
        <f t="shared" ca="1" si="206"/>
        <v>2.1702178629740487</v>
      </c>
    </row>
    <row r="231" spans="5:28">
      <c r="E231" s="111">
        <f t="shared" si="212"/>
        <v>56</v>
      </c>
      <c r="F231" s="105">
        <f t="shared" si="207"/>
        <v>142.69629180213664</v>
      </c>
      <c r="G231" s="105">
        <f t="shared" si="207"/>
        <v>160.41661437426009</v>
      </c>
      <c r="H231" s="105">
        <f t="shared" si="207"/>
        <v>209.57176574655946</v>
      </c>
      <c r="I231" s="105">
        <f t="shared" si="207"/>
        <v>188.23965170193145</v>
      </c>
      <c r="J231" s="105">
        <f t="shared" si="208"/>
        <v>207.91133202067431</v>
      </c>
      <c r="K231" s="105">
        <f t="shared" si="208"/>
        <v>114.09968883772234</v>
      </c>
      <c r="L231" s="105">
        <f t="shared" si="209"/>
        <v>0.37968514323884295</v>
      </c>
      <c r="N231" s="105">
        <f t="shared" si="213"/>
        <v>170.48922408054739</v>
      </c>
      <c r="O231" s="193">
        <f t="shared" si="210"/>
        <v>56</v>
      </c>
      <c r="P231" s="205">
        <f t="shared" ca="1" si="214"/>
        <v>0.3259048932541595</v>
      </c>
      <c r="Q231" s="205">
        <f t="shared" ca="1" si="215"/>
        <v>0.17943962530127466</v>
      </c>
      <c r="R231" s="205">
        <f t="shared" ca="1" si="216"/>
        <v>-9.7198466235748127E-2</v>
      </c>
      <c r="S231" s="205">
        <f t="shared" ca="1" si="217"/>
        <v>5.1108246272593139E-3</v>
      </c>
      <c r="T231" s="205">
        <f t="shared" ca="1" si="218"/>
        <v>-8.9988459451250447E-2</v>
      </c>
      <c r="U231" s="205">
        <f t="shared" ca="1" si="219"/>
        <v>0.6582140887234802</v>
      </c>
      <c r="V231" s="205">
        <f t="shared" ca="1" si="201"/>
        <v>0.37770627747961416</v>
      </c>
      <c r="W231" s="205">
        <f t="shared" ca="1" si="211"/>
        <v>1.818706592464415</v>
      </c>
      <c r="X231" s="205">
        <f t="shared" ca="1" si="202"/>
        <v>1.6722413245115302</v>
      </c>
      <c r="Y231" s="205">
        <f t="shared" ca="1" si="203"/>
        <v>1.3956032329745074</v>
      </c>
      <c r="Z231" s="205">
        <f t="shared" ca="1" si="204"/>
        <v>1.4979125238375148</v>
      </c>
      <c r="AA231" s="205">
        <f t="shared" ca="1" si="205"/>
        <v>1.4028132397590052</v>
      </c>
      <c r="AB231" s="205">
        <f t="shared" ca="1" si="206"/>
        <v>2.1510157879337357</v>
      </c>
    </row>
    <row r="232" spans="5:28">
      <c r="E232" s="111">
        <f t="shared" si="212"/>
        <v>57</v>
      </c>
      <c r="F232" s="105">
        <f t="shared" si="207"/>
        <v>155.06082429848047</v>
      </c>
      <c r="G232" s="105">
        <f t="shared" si="207"/>
        <v>168.08391640410599</v>
      </c>
      <c r="H232" s="105">
        <f t="shared" si="207"/>
        <v>209.90877472487261</v>
      </c>
      <c r="I232" s="105">
        <f t="shared" si="207"/>
        <v>188.54249903480917</v>
      </c>
      <c r="J232" s="105">
        <f t="shared" si="208"/>
        <v>208.29118028188464</v>
      </c>
      <c r="K232" s="105">
        <f t="shared" si="208"/>
        <v>115.43643973939194</v>
      </c>
      <c r="L232" s="105">
        <f t="shared" si="209"/>
        <v>0.30056174855748802</v>
      </c>
      <c r="N232" s="105">
        <f t="shared" si="213"/>
        <v>174.22060574725745</v>
      </c>
      <c r="O232" s="193">
        <f t="shared" si="210"/>
        <v>57</v>
      </c>
      <c r="P232" s="205">
        <f t="shared" ca="1" si="214"/>
        <v>0.22017738784541274</v>
      </c>
      <c r="Q232" s="205">
        <f t="shared" ca="1" si="215"/>
        <v>0.12563840489532119</v>
      </c>
      <c r="R232" s="205">
        <f t="shared" ca="1" si="216"/>
        <v>-9.8647915992730484E-2</v>
      </c>
      <c r="S232" s="205">
        <f t="shared" ca="1" si="217"/>
        <v>3.4963603338338256E-3</v>
      </c>
      <c r="T232" s="205">
        <f t="shared" ca="1" si="218"/>
        <v>-9.1647993479004208E-2</v>
      </c>
      <c r="U232" s="205">
        <f t="shared" ca="1" si="219"/>
        <v>0.6390120136831674</v>
      </c>
      <c r="V232" s="205">
        <f t="shared" ca="1" si="201"/>
        <v>0.36882996483794894</v>
      </c>
      <c r="W232" s="205">
        <f t="shared" ca="1" si="211"/>
        <v>1.7129790870556683</v>
      </c>
      <c r="X232" s="205">
        <f t="shared" ca="1" si="202"/>
        <v>1.6184401041055767</v>
      </c>
      <c r="Y232" s="205">
        <f t="shared" ca="1" si="203"/>
        <v>1.394153783217525</v>
      </c>
      <c r="Z232" s="205">
        <f t="shared" ca="1" si="204"/>
        <v>1.4962980595440893</v>
      </c>
      <c r="AA232" s="205">
        <f t="shared" ca="1" si="205"/>
        <v>1.4011537057312513</v>
      </c>
      <c r="AB232" s="205">
        <f t="shared" ca="1" si="206"/>
        <v>2.1318137128934227</v>
      </c>
    </row>
    <row r="233" spans="5:28">
      <c r="E233" s="111">
        <f t="shared" si="212"/>
        <v>58</v>
      </c>
      <c r="F233" s="105">
        <f t="shared" si="207"/>
        <v>169.77139531479011</v>
      </c>
      <c r="G233" s="105">
        <f t="shared" si="207"/>
        <v>176.52094393404877</v>
      </c>
      <c r="H233" s="105">
        <f t="shared" si="207"/>
        <v>210.24686932637019</v>
      </c>
      <c r="I233" s="105">
        <f t="shared" si="207"/>
        <v>188.84632240329989</v>
      </c>
      <c r="J233" s="105">
        <f t="shared" si="208"/>
        <v>208.67241902803664</v>
      </c>
      <c r="K233" s="105">
        <f t="shared" si="208"/>
        <v>116.80488373111082</v>
      </c>
      <c r="L233" s="105">
        <f t="shared" si="209"/>
        <v>0.2130185718825901</v>
      </c>
      <c r="N233" s="105">
        <f t="shared" si="213"/>
        <v>178.47713895627609</v>
      </c>
      <c r="O233" s="193">
        <f t="shared" si="210"/>
        <v>58</v>
      </c>
      <c r="P233" s="205">
        <f t="shared" ca="1" si="214"/>
        <v>0.11444988243666487</v>
      </c>
      <c r="Q233" s="205">
        <f t="shared" ca="1" si="215"/>
        <v>7.1837184489367933E-2</v>
      </c>
      <c r="R233" s="205">
        <f t="shared" ca="1" si="216"/>
        <v>-0.10009736574971306</v>
      </c>
      <c r="S233" s="205">
        <f t="shared" ca="1" si="217"/>
        <v>1.8818960404085594E-3</v>
      </c>
      <c r="T233" s="205">
        <f t="shared" ca="1" si="218"/>
        <v>-9.330752750675797E-2</v>
      </c>
      <c r="U233" s="205">
        <f t="shared" ca="1" si="219"/>
        <v>0.61980993864285461</v>
      </c>
      <c r="V233" s="205">
        <f t="shared" ca="1" si="201"/>
        <v>0.35995365219628384</v>
      </c>
      <c r="W233" s="205">
        <f t="shared" ca="1" si="211"/>
        <v>1.6072515816469204</v>
      </c>
      <c r="X233" s="205">
        <f t="shared" ca="1" si="202"/>
        <v>1.5646388836996235</v>
      </c>
      <c r="Y233" s="205">
        <f t="shared" ca="1" si="203"/>
        <v>1.3927043334605425</v>
      </c>
      <c r="Z233" s="205">
        <f t="shared" ca="1" si="204"/>
        <v>1.4946835952506641</v>
      </c>
      <c r="AA233" s="205">
        <f t="shared" ca="1" si="205"/>
        <v>1.3994941717034974</v>
      </c>
      <c r="AB233" s="205">
        <f t="shared" ca="1" si="206"/>
        <v>2.1126116378531101</v>
      </c>
    </row>
    <row r="234" spans="5:28">
      <c r="E234" s="111">
        <f t="shared" si="212"/>
        <v>59</v>
      </c>
      <c r="F234" s="105">
        <f t="shared" si="207"/>
        <v>187.56569285905718</v>
      </c>
      <c r="G234" s="105">
        <f t="shared" si="207"/>
        <v>185.84973245029084</v>
      </c>
      <c r="H234" s="105">
        <f t="shared" si="207"/>
        <v>210.58605480526998</v>
      </c>
      <c r="I234" s="105">
        <f t="shared" si="207"/>
        <v>189.15112653346364</v>
      </c>
      <c r="J234" s="105">
        <f t="shared" si="208"/>
        <v>209.05505590821238</v>
      </c>
      <c r="K234" s="105">
        <f t="shared" si="208"/>
        <v>118.20616145408269</v>
      </c>
      <c r="L234" s="105">
        <f t="shared" si="209"/>
        <v>0.12479358902597236</v>
      </c>
      <c r="N234" s="105">
        <f t="shared" si="213"/>
        <v>183.40230400172945</v>
      </c>
      <c r="O234" s="193">
        <f t="shared" si="210"/>
        <v>59</v>
      </c>
      <c r="P234" s="205">
        <f t="shared" ca="1" si="214"/>
        <v>8.7223770279172275E-3</v>
      </c>
      <c r="Q234" s="205">
        <f t="shared" ca="1" si="215"/>
        <v>1.8035964083414013E-2</v>
      </c>
      <c r="R234" s="205">
        <f t="shared" ca="1" si="216"/>
        <v>-0.10154681550669542</v>
      </c>
      <c r="S234" s="205">
        <f t="shared" ca="1" si="217"/>
        <v>2.6743174698351524E-4</v>
      </c>
      <c r="T234" s="205">
        <f t="shared" ca="1" si="218"/>
        <v>-9.4967061534511732E-2</v>
      </c>
      <c r="U234" s="205">
        <f t="shared" ca="1" si="219"/>
        <v>0.60060786360254159</v>
      </c>
      <c r="V234" s="205">
        <f t="shared" ca="1" si="201"/>
        <v>0.35107733955461851</v>
      </c>
      <c r="W234" s="205">
        <f t="shared" ca="1" si="211"/>
        <v>1.5015240762381727</v>
      </c>
      <c r="X234" s="205">
        <f t="shared" ca="1" si="202"/>
        <v>1.5108376632936695</v>
      </c>
      <c r="Y234" s="205">
        <f t="shared" ca="1" si="203"/>
        <v>1.3912548837035601</v>
      </c>
      <c r="Z234" s="205">
        <f t="shared" ca="1" si="204"/>
        <v>1.493069130957239</v>
      </c>
      <c r="AA234" s="205">
        <f t="shared" ca="1" si="205"/>
        <v>1.3978346376757438</v>
      </c>
      <c r="AB234" s="205">
        <f t="shared" ca="1" si="206"/>
        <v>2.0934095628127971</v>
      </c>
    </row>
    <row r="235" spans="5:28">
      <c r="E235" s="153">
        <f t="shared" si="212"/>
        <v>60</v>
      </c>
      <c r="F235" s="206">
        <f t="shared" si="207"/>
        <v>209.52689488747245</v>
      </c>
      <c r="G235" s="206">
        <f t="shared" si="207"/>
        <v>196.21955420117584</v>
      </c>
      <c r="H235" s="206">
        <f t="shared" si="207"/>
        <v>210.92633644975064</v>
      </c>
      <c r="I235" s="206">
        <f t="shared" si="207"/>
        <v>189.45691618192194</v>
      </c>
      <c r="J235" s="206">
        <f t="shared" si="208"/>
        <v>209.43909862770064</v>
      </c>
      <c r="K235" s="206">
        <f t="shared" si="208"/>
        <v>119.64146895003682</v>
      </c>
      <c r="L235" s="206">
        <f t="shared" si="209"/>
        <v>0.10724434714345664</v>
      </c>
      <c r="M235" s="206"/>
      <c r="N235" s="206">
        <f t="shared" si="213"/>
        <v>189.20171154967639</v>
      </c>
      <c r="O235" s="206">
        <f t="shared" si="210"/>
        <v>60</v>
      </c>
      <c r="P235" s="207">
        <f t="shared" ca="1" si="214"/>
        <v>-9.7005128380830641E-2</v>
      </c>
      <c r="Q235" s="207">
        <f t="shared" ca="1" si="215"/>
        <v>-3.5765256322539352E-2</v>
      </c>
      <c r="R235" s="207">
        <f t="shared" ca="1" si="216"/>
        <v>-0.10299626526367767</v>
      </c>
      <c r="S235" s="207">
        <f t="shared" ca="1" si="217"/>
        <v>-1.347032546441862E-3</v>
      </c>
      <c r="T235" s="207">
        <f t="shared" ca="1" si="218"/>
        <v>-9.6626595562265494E-2</v>
      </c>
      <c r="U235" s="207">
        <f t="shared" ca="1" si="219"/>
        <v>0.5814057885622288</v>
      </c>
      <c r="V235" s="207">
        <f t="shared" ca="1" si="201"/>
        <v>0.34220102691295323</v>
      </c>
      <c r="W235" s="207">
        <f t="shared" ca="1" si="211"/>
        <v>1.3957965708294249</v>
      </c>
      <c r="X235" s="207">
        <f t="shared" ca="1" si="202"/>
        <v>1.4570364428877163</v>
      </c>
      <c r="Y235" s="207">
        <f t="shared" ca="1" si="203"/>
        <v>1.3898054339465777</v>
      </c>
      <c r="Z235" s="207">
        <f t="shared" ca="1" si="204"/>
        <v>1.4914546666638135</v>
      </c>
      <c r="AA235" s="207">
        <f t="shared" ca="1" si="205"/>
        <v>1.3961751036479901</v>
      </c>
      <c r="AB235" s="207">
        <f t="shared" ca="1" si="206"/>
        <v>2.0742074877724841</v>
      </c>
    </row>
    <row r="236" spans="5:28">
      <c r="E236" s="111">
        <f t="shared" si="212"/>
        <v>61</v>
      </c>
      <c r="F236" s="105">
        <f t="shared" si="207"/>
        <v>237.31275048794689</v>
      </c>
      <c r="G236" s="105">
        <f t="shared" si="207"/>
        <v>207.81496585254058</v>
      </c>
      <c r="H236" s="105">
        <f t="shared" si="207"/>
        <v>211.26771958222631</v>
      </c>
      <c r="I236" s="105">
        <f t="shared" si="207"/>
        <v>189.76369613610495</v>
      </c>
      <c r="J236" s="105">
        <f t="shared" si="208"/>
        <v>209.82455494851416</v>
      </c>
      <c r="K236" s="105">
        <f t="shared" si="208"/>
        <v>121.11206106605002</v>
      </c>
      <c r="L236" s="105">
        <f t="shared" si="209"/>
        <v>0.22267233291700844</v>
      </c>
      <c r="N236" s="105">
        <f t="shared" si="213"/>
        <v>196.18262467889716</v>
      </c>
      <c r="O236" s="193">
        <f t="shared" si="210"/>
        <v>61</v>
      </c>
      <c r="P236" s="205">
        <f t="shared" ca="1" si="214"/>
        <v>-0.20273263378957829</v>
      </c>
      <c r="Q236" s="205">
        <f t="shared" ca="1" si="215"/>
        <v>-8.9566476728493272E-2</v>
      </c>
      <c r="R236" s="205">
        <f t="shared" ca="1" si="216"/>
        <v>-0.10444571502066002</v>
      </c>
      <c r="S236" s="205">
        <f t="shared" ca="1" si="217"/>
        <v>-2.9614968398670172E-3</v>
      </c>
      <c r="T236" s="205">
        <f t="shared" ca="1" si="218"/>
        <v>-9.8286129590019256E-2</v>
      </c>
      <c r="U236" s="205">
        <f t="shared" ca="1" si="219"/>
        <v>0.562203713521916</v>
      </c>
      <c r="V236" s="205">
        <f t="shared" ca="1" si="201"/>
        <v>0.38246817365574715</v>
      </c>
      <c r="W236" s="205">
        <f t="shared" ca="1" si="211"/>
        <v>1.2900690654206772</v>
      </c>
      <c r="X236" s="205">
        <f t="shared" ca="1" si="202"/>
        <v>1.4032352224817624</v>
      </c>
      <c r="Y236" s="205">
        <f t="shared" ca="1" si="203"/>
        <v>1.3883559841895954</v>
      </c>
      <c r="Z236" s="205">
        <f t="shared" ca="1" si="204"/>
        <v>1.4898402023703885</v>
      </c>
      <c r="AA236" s="205">
        <f t="shared" ca="1" si="205"/>
        <v>1.3945155696202363</v>
      </c>
      <c r="AB236" s="205">
        <f t="shared" ca="1" si="206"/>
        <v>2.0550054127321715</v>
      </c>
    </row>
    <row r="237" spans="5:28">
      <c r="E237" s="111">
        <f t="shared" si="212"/>
        <v>62</v>
      </c>
      <c r="F237" s="105">
        <f t="shared" si="207"/>
        <v>273.5948023738535</v>
      </c>
      <c r="G237" s="105">
        <f t="shared" si="207"/>
        <v>220.8668887651919</v>
      </c>
      <c r="H237" s="105">
        <f t="shared" si="207"/>
        <v>211.61020955962422</v>
      </c>
      <c r="I237" s="105">
        <f t="shared" si="207"/>
        <v>190.07147121450166</v>
      </c>
      <c r="J237" s="105">
        <f t="shared" si="208"/>
        <v>210.21143268991253</v>
      </c>
      <c r="K237" s="105">
        <f t="shared" si="208"/>
        <v>122.61925511359867</v>
      </c>
      <c r="L237" s="105">
        <f t="shared" si="209"/>
        <v>0.3602734808074663</v>
      </c>
      <c r="N237" s="105">
        <f t="shared" si="213"/>
        <v>204.82900995278044</v>
      </c>
      <c r="O237" s="193">
        <f t="shared" si="210"/>
        <v>62</v>
      </c>
      <c r="P237" s="205">
        <f t="shared" ca="1" si="214"/>
        <v>-0.30846013919832516</v>
      </c>
      <c r="Q237" s="205">
        <f t="shared" ca="1" si="215"/>
        <v>-0.14336769713444653</v>
      </c>
      <c r="R237" s="205">
        <f t="shared" ca="1" si="216"/>
        <v>-0.10589516477764238</v>
      </c>
      <c r="S237" s="205">
        <f t="shared" ca="1" si="217"/>
        <v>-4.5759611332923944E-3</v>
      </c>
      <c r="T237" s="205">
        <f t="shared" ca="1" si="218"/>
        <v>-9.9945663617773017E-2</v>
      </c>
      <c r="U237" s="205">
        <f t="shared" ca="1" si="219"/>
        <v>0.54300163848160277</v>
      </c>
      <c r="V237" s="205">
        <f t="shared" ca="1" si="201"/>
        <v>0.42573088883996396</v>
      </c>
      <c r="W237" s="205">
        <f t="shared" ca="1" si="211"/>
        <v>1.1843415600119305</v>
      </c>
      <c r="X237" s="205">
        <f t="shared" ca="1" si="202"/>
        <v>1.3494340020758089</v>
      </c>
      <c r="Y237" s="205">
        <f t="shared" ca="1" si="203"/>
        <v>1.386906534432613</v>
      </c>
      <c r="Z237" s="205">
        <f t="shared" ca="1" si="204"/>
        <v>1.488225738076963</v>
      </c>
      <c r="AA237" s="205">
        <f t="shared" ca="1" si="205"/>
        <v>1.3928560355924824</v>
      </c>
      <c r="AB237" s="205">
        <f t="shared" ca="1" si="206"/>
        <v>2.0358033376918581</v>
      </c>
    </row>
    <row r="238" spans="5:28">
      <c r="E238" s="111">
        <f t="shared" si="212"/>
        <v>63</v>
      </c>
      <c r="F238" s="105">
        <f t="shared" si="207"/>
        <v>322.97323504344911</v>
      </c>
      <c r="G238" s="105">
        <f t="shared" si="207"/>
        <v>235.66814449937229</v>
      </c>
      <c r="H238" s="105">
        <f t="shared" si="207"/>
        <v>211.95381177366485</v>
      </c>
      <c r="I238" s="105">
        <f t="shared" si="207"/>
        <v>190.38024626691183</v>
      </c>
      <c r="J238" s="105">
        <f t="shared" si="208"/>
        <v>210.59973972893093</v>
      </c>
      <c r="K238" s="105">
        <f t="shared" si="208"/>
        <v>124.16443480426686</v>
      </c>
      <c r="L238" s="105">
        <f t="shared" si="209"/>
        <v>0.51657578492732492</v>
      </c>
      <c r="N238" s="105">
        <f t="shared" si="213"/>
        <v>215.95660201943267</v>
      </c>
      <c r="O238" s="193">
        <f t="shared" si="210"/>
        <v>63</v>
      </c>
      <c r="P238" s="205">
        <f t="shared" ca="1" si="214"/>
        <v>-0.41418764460707291</v>
      </c>
      <c r="Q238" s="205">
        <f t="shared" ca="1" si="215"/>
        <v>-0.19716891754040045</v>
      </c>
      <c r="R238" s="205">
        <f t="shared" ca="1" si="216"/>
        <v>-0.10734461453462474</v>
      </c>
      <c r="S238" s="205">
        <f t="shared" ca="1" si="217"/>
        <v>-6.1904254267175496E-3</v>
      </c>
      <c r="T238" s="205">
        <f t="shared" ca="1" si="218"/>
        <v>-0.10160519764552689</v>
      </c>
      <c r="U238" s="205">
        <f t="shared" ca="1" si="219"/>
        <v>0.52379956344129019</v>
      </c>
      <c r="V238" s="205">
        <f t="shared" ca="1" si="201"/>
        <v>0.46899360402418155</v>
      </c>
      <c r="W238" s="205">
        <f t="shared" ca="1" si="211"/>
        <v>1.0786140546031826</v>
      </c>
      <c r="X238" s="205">
        <f t="shared" ca="1" si="202"/>
        <v>1.295632781669855</v>
      </c>
      <c r="Y238" s="205">
        <f t="shared" ca="1" si="203"/>
        <v>1.3854570846756307</v>
      </c>
      <c r="Z238" s="205">
        <f t="shared" ca="1" si="204"/>
        <v>1.486611273783538</v>
      </c>
      <c r="AA238" s="205">
        <f t="shared" ca="1" si="205"/>
        <v>1.3911965015647287</v>
      </c>
      <c r="AB238" s="205">
        <f t="shared" ca="1" si="206"/>
        <v>2.0166012626515455</v>
      </c>
    </row>
    <row r="239" spans="5:28">
      <c r="E239" s="111">
        <f t="shared" si="212"/>
        <v>64</v>
      </c>
      <c r="F239" s="105">
        <f t="shared" ref="F239:K239" si="220">F$171/(1+($E239-64+F$173)*F$172)</f>
        <v>-2146.2206163702108</v>
      </c>
      <c r="G239" s="105">
        <f t="shared" si="220"/>
        <v>-3414.579184474238</v>
      </c>
      <c r="H239" s="105">
        <f t="shared" si="220"/>
        <v>240.25157523968693</v>
      </c>
      <c r="I239" s="105">
        <f t="shared" si="220"/>
        <v>217.29809302481189</v>
      </c>
      <c r="J239" s="105">
        <f t="shared" si="220"/>
        <v>244.94480949903814</v>
      </c>
      <c r="K239" s="105">
        <f t="shared" si="220"/>
        <v>1076.0209191143222</v>
      </c>
      <c r="L239" s="105">
        <f t="shared" si="209"/>
        <v>2.3091142769436357</v>
      </c>
      <c r="N239" s="105">
        <f t="shared" ref="N239:N270" si="221">AVERAGE(F239:K239)</f>
        <v>-630.38073399443147</v>
      </c>
      <c r="O239" s="193">
        <f t="shared" si="210"/>
        <v>64</v>
      </c>
      <c r="P239" s="205">
        <f t="shared" ref="P239:P270" ca="1" si="222">attn/F239-1</f>
        <v>-1.0881557609252972</v>
      </c>
      <c r="Q239" s="205">
        <f t="shared" ref="Q239:Q270" ca="1" si="223">attn/G239-1</f>
        <v>-1.0554099645455459</v>
      </c>
      <c r="R239" s="205">
        <f t="shared" ref="R239:R270" ca="1" si="224">attn/H239-1</f>
        <v>-0.21248503215465142</v>
      </c>
      <c r="S239" s="205">
        <f t="shared" ref="S239:S270" ca="1" si="225">attn/I239-1</f>
        <v>-0.12929879449944071</v>
      </c>
      <c r="T239" s="205">
        <f t="shared" ref="T239:T270" ca="1" si="226">attn/J239-1</f>
        <v>-0.22757411379064407</v>
      </c>
      <c r="U239" s="205">
        <f t="shared" ref="U239:U270" ca="1" si="227">attn/K239-1</f>
        <v>-0.82416539661198296</v>
      </c>
      <c r="V239" s="205">
        <f t="shared" ref="V239:V253" ca="1" si="228">(MAX(P239:U239)-MIN(P239:U239))/2</f>
        <v>0.47942848321292825</v>
      </c>
      <c r="W239" s="205">
        <f t="shared" ca="1" si="211"/>
        <v>0.40464593828495832</v>
      </c>
      <c r="X239" s="205">
        <f t="shared" ref="X239:X302" ca="1" si="229">Q239+$V$174</f>
        <v>0.4373917346647096</v>
      </c>
      <c r="Y239" s="205">
        <f t="shared" ref="Y239:Y302" ca="1" si="230">R239+$V$174</f>
        <v>1.2803166670556041</v>
      </c>
      <c r="Z239" s="205">
        <f t="shared" ref="Z239:Z302" ca="1" si="231">S239+$V$174</f>
        <v>1.3635029047108147</v>
      </c>
      <c r="AA239" s="205">
        <f t="shared" ref="AA239:AA302" ca="1" si="232">T239+$V$174</f>
        <v>1.2652275854196113</v>
      </c>
      <c r="AB239" s="205">
        <f t="shared" ref="AB239:AB302" ca="1" si="233">U239+$V$174</f>
        <v>0.66863630259827256</v>
      </c>
    </row>
    <row r="240" spans="5:28">
      <c r="E240" s="111">
        <f>E239+1</f>
        <v>65</v>
      </c>
      <c r="F240" s="105">
        <f t="shared" ref="F240:I302" si="234">F$171/(1+($E240-64+F$173)*F$172)</f>
        <v>-975.85374502458274</v>
      </c>
      <c r="G240" s="105">
        <f t="shared" si="234"/>
        <v>-1732.438958827342</v>
      </c>
      <c r="H240" s="105">
        <f t="shared" si="234"/>
        <v>240.69458231649227</v>
      </c>
      <c r="I240" s="105">
        <f t="shared" si="234"/>
        <v>217.70175815463617</v>
      </c>
      <c r="J240" s="105">
        <f t="shared" ref="J240:K302" si="235">J$171/(1+($E240-64+J$173)*J$172)</f>
        <v>245.47219921335915</v>
      </c>
      <c r="K240" s="105">
        <f t="shared" si="235"/>
        <v>1207.9337130386677</v>
      </c>
      <c r="L240" s="105">
        <f t="shared" ref="L240:L302" si="236">ABS(2*(MAX(F240:J240)-MIN(F240:J240))/(MAX(F240:J240)+MIN(F240:J240)))</f>
        <v>2.6603300245315067</v>
      </c>
      <c r="N240" s="105">
        <f t="shared" si="221"/>
        <v>-132.74840852146156</v>
      </c>
      <c r="O240" s="193">
        <f t="shared" ref="O240:O302" si="237">E240</f>
        <v>65</v>
      </c>
      <c r="P240" s="205">
        <f t="shared" ca="1" si="222"/>
        <v>-1.1938832663340451</v>
      </c>
      <c r="Q240" s="205">
        <f t="shared" ca="1" si="223"/>
        <v>-1.1092111849514996</v>
      </c>
      <c r="R240" s="205">
        <f t="shared" ca="1" si="224"/>
        <v>-0.21393448191163389</v>
      </c>
      <c r="S240" s="205">
        <f t="shared" ca="1" si="225"/>
        <v>-0.13091325879286586</v>
      </c>
      <c r="T240" s="205">
        <f t="shared" ca="1" si="226"/>
        <v>-0.22923364781839783</v>
      </c>
      <c r="U240" s="205">
        <f t="shared" ca="1" si="227"/>
        <v>-0.84336747165229609</v>
      </c>
      <c r="V240" s="205">
        <f t="shared" ca="1" si="228"/>
        <v>0.5314850037705896</v>
      </c>
      <c r="W240" s="205">
        <f t="shared" ref="W240:W302" ca="1" si="238">P240+$V$174</f>
        <v>0.29891843287621045</v>
      </c>
      <c r="X240" s="205">
        <f t="shared" ca="1" si="229"/>
        <v>0.3835905142587559</v>
      </c>
      <c r="Y240" s="205">
        <f t="shared" ca="1" si="230"/>
        <v>1.2788672172986217</v>
      </c>
      <c r="Z240" s="205">
        <f t="shared" ca="1" si="231"/>
        <v>1.3618884404173897</v>
      </c>
      <c r="AA240" s="205">
        <f t="shared" ca="1" si="232"/>
        <v>1.2635680513918577</v>
      </c>
      <c r="AB240" s="205">
        <f t="shared" ca="1" si="233"/>
        <v>0.64943422755795943</v>
      </c>
    </row>
    <row r="241" spans="5:28">
      <c r="E241" s="111">
        <f t="shared" si="212"/>
        <v>66</v>
      </c>
      <c r="F241" s="105">
        <f t="shared" si="234"/>
        <v>-631.49168652754804</v>
      </c>
      <c r="G241" s="105">
        <f t="shared" si="234"/>
        <v>-1160.6583629926508</v>
      </c>
      <c r="H241" s="105">
        <f t="shared" si="234"/>
        <v>241.13922615941985</v>
      </c>
      <c r="I241" s="105">
        <f t="shared" si="234"/>
        <v>218.10692581763865</v>
      </c>
      <c r="J241" s="105">
        <f t="shared" si="235"/>
        <v>246.00186486947698</v>
      </c>
      <c r="K241" s="105">
        <f t="shared" si="235"/>
        <v>1376.7087788504077</v>
      </c>
      <c r="L241" s="105">
        <f t="shared" si="236"/>
        <v>3.075821864817053</v>
      </c>
      <c r="N241" s="105">
        <f t="shared" si="221"/>
        <v>48.301124362790723</v>
      </c>
      <c r="O241" s="193">
        <f t="shared" si="237"/>
        <v>66</v>
      </c>
      <c r="P241" s="205">
        <f t="shared" ca="1" si="222"/>
        <v>-1.2996107717427927</v>
      </c>
      <c r="Q241" s="205">
        <f t="shared" ca="1" si="223"/>
        <v>-1.1630124053574535</v>
      </c>
      <c r="R241" s="205">
        <f t="shared" ca="1" si="224"/>
        <v>-0.21538393166861614</v>
      </c>
      <c r="S241" s="205">
        <f t="shared" ca="1" si="225"/>
        <v>-0.13252772308629113</v>
      </c>
      <c r="T241" s="205">
        <f t="shared" ca="1" si="226"/>
        <v>-0.23089318184615171</v>
      </c>
      <c r="U241" s="205">
        <f t="shared" ca="1" si="227"/>
        <v>-0.86256954669260888</v>
      </c>
      <c r="V241" s="205">
        <f t="shared" ca="1" si="228"/>
        <v>0.58354152432825079</v>
      </c>
      <c r="W241" s="205">
        <f t="shared" ca="1" si="238"/>
        <v>0.1931909274674628</v>
      </c>
      <c r="X241" s="205">
        <f t="shared" ca="1" si="229"/>
        <v>0.32978929385280198</v>
      </c>
      <c r="Y241" s="205">
        <f t="shared" ca="1" si="230"/>
        <v>1.2774177675416394</v>
      </c>
      <c r="Z241" s="205">
        <f t="shared" ca="1" si="231"/>
        <v>1.3602739761239644</v>
      </c>
      <c r="AA241" s="205">
        <f t="shared" ca="1" si="232"/>
        <v>1.2619085173641038</v>
      </c>
      <c r="AB241" s="205">
        <f t="shared" ca="1" si="233"/>
        <v>0.63023215251764664</v>
      </c>
    </row>
    <row r="242" spans="5:28">
      <c r="E242" s="111">
        <f t="shared" ref="E242:E302" si="239">E241+1</f>
        <v>67</v>
      </c>
      <c r="F242" s="105">
        <f t="shared" si="234"/>
        <v>-466.77484514728212</v>
      </c>
      <c r="G242" s="105">
        <f t="shared" si="234"/>
        <v>-872.64677615851986</v>
      </c>
      <c r="H242" s="105">
        <f t="shared" si="234"/>
        <v>241.58551585623036</v>
      </c>
      <c r="I242" s="105">
        <f t="shared" si="234"/>
        <v>218.51360441861556</v>
      </c>
      <c r="J242" s="105">
        <f t="shared" si="235"/>
        <v>246.53382123193467</v>
      </c>
      <c r="K242" s="105">
        <f t="shared" si="235"/>
        <v>1600.3070863601722</v>
      </c>
      <c r="L242" s="105">
        <f t="shared" si="236"/>
        <v>3.5750117884773172</v>
      </c>
      <c r="N242" s="105">
        <f t="shared" si="221"/>
        <v>161.25306776019178</v>
      </c>
      <c r="O242" s="193">
        <f t="shared" si="237"/>
        <v>67</v>
      </c>
      <c r="P242" s="205">
        <f t="shared" ca="1" si="222"/>
        <v>-1.4053382771515404</v>
      </c>
      <c r="Q242" s="205">
        <f t="shared" ca="1" si="223"/>
        <v>-1.2168136257634063</v>
      </c>
      <c r="R242" s="205">
        <f t="shared" ca="1" si="224"/>
        <v>-0.21683338142559849</v>
      </c>
      <c r="S242" s="205">
        <f t="shared" ca="1" si="225"/>
        <v>-0.1341421873797165</v>
      </c>
      <c r="T242" s="205">
        <f t="shared" ca="1" si="226"/>
        <v>-0.23255271587390536</v>
      </c>
      <c r="U242" s="205">
        <f t="shared" ca="1" si="227"/>
        <v>-0.88177162173292167</v>
      </c>
      <c r="V242" s="205">
        <f t="shared" ca="1" si="228"/>
        <v>0.63559804488591198</v>
      </c>
      <c r="W242" s="205">
        <f t="shared" ca="1" si="238"/>
        <v>8.7463422058715157E-2</v>
      </c>
      <c r="X242" s="205">
        <f t="shared" ca="1" si="229"/>
        <v>0.27598807344684917</v>
      </c>
      <c r="Y242" s="205">
        <f t="shared" ca="1" si="230"/>
        <v>1.275968317784657</v>
      </c>
      <c r="Z242" s="205">
        <f t="shared" ca="1" si="231"/>
        <v>1.3586595118305391</v>
      </c>
      <c r="AA242" s="205">
        <f t="shared" ca="1" si="232"/>
        <v>1.2602489833363502</v>
      </c>
      <c r="AB242" s="205">
        <f t="shared" ca="1" si="233"/>
        <v>0.61103007747733384</v>
      </c>
    </row>
    <row r="243" spans="5:28">
      <c r="E243" s="111">
        <f t="shared" si="239"/>
        <v>68</v>
      </c>
      <c r="F243" s="105">
        <f t="shared" si="234"/>
        <v>-370.21009428929574</v>
      </c>
      <c r="G243" s="105">
        <f t="shared" si="234"/>
        <v>-699.1549585245865</v>
      </c>
      <c r="H243" s="105">
        <f t="shared" si="234"/>
        <v>242.03346056208608</v>
      </c>
      <c r="I243" s="105">
        <f t="shared" si="234"/>
        <v>218.92180242516599</v>
      </c>
      <c r="J243" s="105">
        <f t="shared" si="235"/>
        <v>247.06808319326012</v>
      </c>
      <c r="K243" s="105">
        <f t="shared" si="235"/>
        <v>1910.6207682661254</v>
      </c>
      <c r="L243" s="105">
        <f t="shared" si="236"/>
        <v>4.1860230559640854</v>
      </c>
      <c r="N243" s="105">
        <f t="shared" si="221"/>
        <v>258.21317693879251</v>
      </c>
      <c r="O243" s="193">
        <f t="shared" si="237"/>
        <v>68</v>
      </c>
      <c r="P243" s="205">
        <f t="shared" ca="1" si="222"/>
        <v>-1.5110657825602867</v>
      </c>
      <c r="Q243" s="205">
        <f t="shared" ca="1" si="223"/>
        <v>-1.2706148461693603</v>
      </c>
      <c r="R243" s="205">
        <f t="shared" ca="1" si="224"/>
        <v>-0.21828283118258085</v>
      </c>
      <c r="S243" s="205">
        <f t="shared" ca="1" si="225"/>
        <v>-0.13575665167314166</v>
      </c>
      <c r="T243" s="205">
        <f t="shared" ca="1" si="226"/>
        <v>-0.23421224990165912</v>
      </c>
      <c r="U243" s="205">
        <f t="shared" ca="1" si="227"/>
        <v>-0.9009736967732348</v>
      </c>
      <c r="V243" s="205">
        <f t="shared" ca="1" si="228"/>
        <v>0.68765456544357251</v>
      </c>
      <c r="W243" s="205">
        <f t="shared" ca="1" si="238"/>
        <v>-1.8264083350031157E-2</v>
      </c>
      <c r="X243" s="205">
        <f t="shared" ca="1" si="229"/>
        <v>0.22218685304089525</v>
      </c>
      <c r="Y243" s="205">
        <f t="shared" ca="1" si="230"/>
        <v>1.2745188680276747</v>
      </c>
      <c r="Z243" s="205">
        <f t="shared" ca="1" si="231"/>
        <v>1.3570450475371139</v>
      </c>
      <c r="AA243" s="205">
        <f t="shared" ca="1" si="232"/>
        <v>1.2585894493085963</v>
      </c>
      <c r="AB243" s="205">
        <f t="shared" ca="1" si="233"/>
        <v>0.59182800243702072</v>
      </c>
    </row>
    <row r="244" spans="5:28">
      <c r="E244" s="111">
        <f t="shared" si="239"/>
        <v>69</v>
      </c>
      <c r="F244" s="105">
        <f t="shared" si="234"/>
        <v>-306.75060063100938</v>
      </c>
      <c r="G244" s="105">
        <f t="shared" si="234"/>
        <v>-583.20697105718932</v>
      </c>
      <c r="H244" s="105">
        <f t="shared" si="234"/>
        <v>242.4830695001769</v>
      </c>
      <c r="I244" s="105">
        <f t="shared" si="234"/>
        <v>219.33152836827972</v>
      </c>
      <c r="J244" s="105">
        <f t="shared" si="235"/>
        <v>247.60466577535553</v>
      </c>
      <c r="K244" s="105">
        <f t="shared" si="235"/>
        <v>2370.2291377968795</v>
      </c>
      <c r="L244" s="105">
        <f t="shared" si="236"/>
        <v>4.9511676395359787</v>
      </c>
      <c r="N244" s="105">
        <f t="shared" si="221"/>
        <v>364.94847162541549</v>
      </c>
      <c r="O244" s="193">
        <f t="shared" si="237"/>
        <v>69</v>
      </c>
      <c r="P244" s="205">
        <f t="shared" ca="1" si="222"/>
        <v>-1.6167932879690343</v>
      </c>
      <c r="Q244" s="205">
        <f t="shared" ca="1" si="223"/>
        <v>-1.324416066575314</v>
      </c>
      <c r="R244" s="205">
        <f t="shared" ca="1" si="224"/>
        <v>-0.21973228093956321</v>
      </c>
      <c r="S244" s="205">
        <f t="shared" ca="1" si="225"/>
        <v>-0.13737111596656704</v>
      </c>
      <c r="T244" s="205">
        <f t="shared" ca="1" si="226"/>
        <v>-0.23587178392941288</v>
      </c>
      <c r="U244" s="205">
        <f t="shared" ca="1" si="227"/>
        <v>-0.92017577181354759</v>
      </c>
      <c r="V244" s="205">
        <f t="shared" ca="1" si="228"/>
        <v>0.7397110860012337</v>
      </c>
      <c r="W244" s="205">
        <f t="shared" ca="1" si="238"/>
        <v>-0.1239915887587788</v>
      </c>
      <c r="X244" s="205">
        <f t="shared" ca="1" si="229"/>
        <v>0.16838563263494155</v>
      </c>
      <c r="Y244" s="205">
        <f t="shared" ca="1" si="230"/>
        <v>1.2730694182706923</v>
      </c>
      <c r="Z244" s="205">
        <f t="shared" ca="1" si="231"/>
        <v>1.3554305832436886</v>
      </c>
      <c r="AA244" s="205">
        <f t="shared" ca="1" si="232"/>
        <v>1.2569299152808426</v>
      </c>
      <c r="AB244" s="205">
        <f t="shared" ca="1" si="233"/>
        <v>0.57262592739670792</v>
      </c>
    </row>
    <row r="245" spans="5:28">
      <c r="E245" s="111">
        <f t="shared" si="239"/>
        <v>70</v>
      </c>
      <c r="F245" s="105">
        <f t="shared" si="234"/>
        <v>-261.86334467297348</v>
      </c>
      <c r="G245" s="105">
        <f t="shared" si="234"/>
        <v>-500.24607034698425</v>
      </c>
      <c r="H245" s="105">
        <f t="shared" si="234"/>
        <v>242.93435196235347</v>
      </c>
      <c r="I245" s="105">
        <f t="shared" si="234"/>
        <v>219.7427908429313</v>
      </c>
      <c r="J245" s="105">
        <f t="shared" si="235"/>
        <v>248.14358413090542</v>
      </c>
      <c r="K245" s="105">
        <f t="shared" si="235"/>
        <v>3120.9995312039623</v>
      </c>
      <c r="L245" s="105">
        <f t="shared" si="236"/>
        <v>5.9371858303407583</v>
      </c>
      <c r="N245" s="105">
        <f t="shared" si="221"/>
        <v>511.61847385336586</v>
      </c>
      <c r="O245" s="193">
        <f t="shared" si="237"/>
        <v>70</v>
      </c>
      <c r="P245" s="205">
        <f t="shared" ca="1" si="222"/>
        <v>-1.722520793377782</v>
      </c>
      <c r="Q245" s="205">
        <f t="shared" ca="1" si="223"/>
        <v>-1.378217286981267</v>
      </c>
      <c r="R245" s="205">
        <f t="shared" ca="1" si="224"/>
        <v>-0.22118173069654556</v>
      </c>
      <c r="S245" s="205">
        <f t="shared" ca="1" si="225"/>
        <v>-0.13898558025999219</v>
      </c>
      <c r="T245" s="205">
        <f t="shared" ca="1" si="226"/>
        <v>-0.23753131795716664</v>
      </c>
      <c r="U245" s="205">
        <f t="shared" ca="1" si="227"/>
        <v>-0.93937784685386039</v>
      </c>
      <c r="V245" s="205">
        <f t="shared" ca="1" si="228"/>
        <v>0.79176760655889489</v>
      </c>
      <c r="W245" s="205">
        <f t="shared" ca="1" si="238"/>
        <v>-0.22971909416752645</v>
      </c>
      <c r="X245" s="205">
        <f t="shared" ca="1" si="229"/>
        <v>0.11458441222898852</v>
      </c>
      <c r="Y245" s="205">
        <f t="shared" ca="1" si="230"/>
        <v>1.27161996851371</v>
      </c>
      <c r="Z245" s="205">
        <f t="shared" ca="1" si="231"/>
        <v>1.3538161189502633</v>
      </c>
      <c r="AA245" s="205">
        <f t="shared" ca="1" si="232"/>
        <v>1.255270381253089</v>
      </c>
      <c r="AB245" s="205">
        <f t="shared" ca="1" si="233"/>
        <v>0.55342385235639513</v>
      </c>
    </row>
    <row r="246" spans="5:28">
      <c r="E246" s="111">
        <f t="shared" si="239"/>
        <v>71</v>
      </c>
      <c r="F246" s="105">
        <f t="shared" si="234"/>
        <v>-228.43597967768443</v>
      </c>
      <c r="G246" s="105">
        <f t="shared" si="234"/>
        <v>-437.94816267001676</v>
      </c>
      <c r="H246" s="105">
        <f t="shared" si="234"/>
        <v>243.38731730976724</v>
      </c>
      <c r="I246" s="105">
        <f t="shared" si="234"/>
        <v>220.15559850868127</v>
      </c>
      <c r="J246" s="105">
        <f t="shared" si="235"/>
        <v>248.68485354480296</v>
      </c>
      <c r="K246" s="105">
        <f t="shared" si="235"/>
        <v>4567.8743305667949</v>
      </c>
      <c r="L246" s="105">
        <f t="shared" si="236"/>
        <v>7.25584921227974</v>
      </c>
      <c r="N246" s="105">
        <f t="shared" si="221"/>
        <v>768.95299293039079</v>
      </c>
      <c r="O246" s="193">
        <f t="shared" si="237"/>
        <v>71</v>
      </c>
      <c r="P246" s="205">
        <f t="shared" ca="1" si="222"/>
        <v>-1.8282482987865296</v>
      </c>
      <c r="Q246" s="205">
        <f t="shared" ca="1" si="223"/>
        <v>-1.4320185073872207</v>
      </c>
      <c r="R246" s="205">
        <f t="shared" ca="1" si="224"/>
        <v>-0.22263118045352792</v>
      </c>
      <c r="S246" s="205">
        <f t="shared" ca="1" si="225"/>
        <v>-0.14060004455341746</v>
      </c>
      <c r="T246" s="205">
        <f t="shared" ca="1" si="226"/>
        <v>-0.23919085198492041</v>
      </c>
      <c r="U246" s="205">
        <f t="shared" ca="1" si="227"/>
        <v>-0.95857992189417351</v>
      </c>
      <c r="V246" s="205">
        <f t="shared" ca="1" si="228"/>
        <v>0.84382412711655608</v>
      </c>
      <c r="W246" s="205">
        <f t="shared" ca="1" si="238"/>
        <v>-0.3354465995762741</v>
      </c>
      <c r="X246" s="205">
        <f t="shared" ca="1" si="229"/>
        <v>6.0783191823034821E-2</v>
      </c>
      <c r="Y246" s="205">
        <f t="shared" ca="1" si="230"/>
        <v>1.2701705187567276</v>
      </c>
      <c r="Z246" s="205">
        <f t="shared" ca="1" si="231"/>
        <v>1.3522016546568381</v>
      </c>
      <c r="AA246" s="205">
        <f t="shared" ca="1" si="232"/>
        <v>1.2536108472253351</v>
      </c>
      <c r="AB246" s="205">
        <f t="shared" ca="1" si="233"/>
        <v>0.534221777316082</v>
      </c>
    </row>
    <row r="247" spans="5:28">
      <c r="E247" s="111">
        <f t="shared" si="239"/>
        <v>72</v>
      </c>
      <c r="F247" s="105">
        <f t="shared" si="234"/>
        <v>-202.57667350675581</v>
      </c>
      <c r="G247" s="105">
        <f t="shared" si="234"/>
        <v>-389.44839150341016</v>
      </c>
      <c r="H247" s="105">
        <f t="shared" si="234"/>
        <v>243.84197497351772</v>
      </c>
      <c r="I247" s="105">
        <f t="shared" si="234"/>
        <v>220.56996009028381</v>
      </c>
      <c r="J247" s="105">
        <f t="shared" si="235"/>
        <v>249.22848943559518</v>
      </c>
      <c r="K247" s="105">
        <f t="shared" si="235"/>
        <v>8515.693826838633</v>
      </c>
      <c r="L247" s="105">
        <f t="shared" si="236"/>
        <v>9.10964665529605</v>
      </c>
      <c r="N247" s="105">
        <f t="shared" si="221"/>
        <v>1439.5515310546441</v>
      </c>
      <c r="O247" s="193">
        <f t="shared" si="237"/>
        <v>72</v>
      </c>
      <c r="P247" s="205">
        <f t="shared" ca="1" si="222"/>
        <v>-1.9339758041952773</v>
      </c>
      <c r="Q247" s="205">
        <f t="shared" ca="1" si="223"/>
        <v>-1.4858197277931744</v>
      </c>
      <c r="R247" s="205">
        <f t="shared" ca="1" si="224"/>
        <v>-0.22408063021051028</v>
      </c>
      <c r="S247" s="205">
        <f t="shared" ca="1" si="225"/>
        <v>-0.14221450884684272</v>
      </c>
      <c r="T247" s="205">
        <f t="shared" ca="1" si="226"/>
        <v>-0.24085038601267417</v>
      </c>
      <c r="U247" s="205">
        <f t="shared" ca="1" si="227"/>
        <v>-0.97778199693448631</v>
      </c>
      <c r="V247" s="205">
        <f t="shared" ca="1" si="228"/>
        <v>0.89588064767421727</v>
      </c>
      <c r="W247" s="205">
        <f t="shared" ca="1" si="238"/>
        <v>-0.44117410498502174</v>
      </c>
      <c r="X247" s="205">
        <f t="shared" ca="1" si="229"/>
        <v>6.9819714170811231E-3</v>
      </c>
      <c r="Y247" s="205">
        <f t="shared" ca="1" si="230"/>
        <v>1.2687210689997452</v>
      </c>
      <c r="Z247" s="205">
        <f t="shared" ca="1" si="231"/>
        <v>1.3505871903634128</v>
      </c>
      <c r="AA247" s="205">
        <f t="shared" ca="1" si="232"/>
        <v>1.2519513131975812</v>
      </c>
      <c r="AB247" s="205">
        <f t="shared" ca="1" si="233"/>
        <v>0.51501970227576921</v>
      </c>
    </row>
    <row r="248" spans="5:28">
      <c r="E248" s="111">
        <f t="shared" si="239"/>
        <v>73</v>
      </c>
      <c r="F248" s="105">
        <f t="shared" si="234"/>
        <v>-181.97663679817904</v>
      </c>
      <c r="G248" s="105">
        <f t="shared" si="234"/>
        <v>-350.61965659616698</v>
      </c>
      <c r="H248" s="105">
        <f t="shared" si="234"/>
        <v>244.29833445530707</v>
      </c>
      <c r="I248" s="105">
        <f t="shared" si="234"/>
        <v>220.98588437830148</v>
      </c>
      <c r="J248" s="105">
        <f t="shared" si="235"/>
        <v>249.77450735694686</v>
      </c>
      <c r="K248" s="105">
        <f t="shared" si="235"/>
        <v>62734.160088942117</v>
      </c>
      <c r="L248" s="105">
        <f t="shared" si="236"/>
        <v>11.907249252591951</v>
      </c>
      <c r="N248" s="105">
        <f t="shared" si="221"/>
        <v>10486.103753623054</v>
      </c>
      <c r="O248" s="193">
        <f t="shared" si="237"/>
        <v>73</v>
      </c>
      <c r="P248" s="205">
        <f t="shared" ca="1" si="222"/>
        <v>-2.0397033096040253</v>
      </c>
      <c r="Q248" s="205">
        <f t="shared" ca="1" si="223"/>
        <v>-1.5396209481991283</v>
      </c>
      <c r="R248" s="205">
        <f t="shared" ca="1" si="224"/>
        <v>-0.22553007996749275</v>
      </c>
      <c r="S248" s="205">
        <f t="shared" ca="1" si="225"/>
        <v>-0.14382897314026799</v>
      </c>
      <c r="T248" s="205">
        <f t="shared" ca="1" si="226"/>
        <v>-0.24250992004042793</v>
      </c>
      <c r="U248" s="205">
        <f t="shared" ca="1" si="227"/>
        <v>-0.99698407197479921</v>
      </c>
      <c r="V248" s="205">
        <f t="shared" ca="1" si="228"/>
        <v>0.94793716823187868</v>
      </c>
      <c r="W248" s="205">
        <f t="shared" ca="1" si="238"/>
        <v>-0.54690161039376983</v>
      </c>
      <c r="X248" s="205">
        <f t="shared" ca="1" si="229"/>
        <v>-4.6819248988872797E-2</v>
      </c>
      <c r="Y248" s="205">
        <f t="shared" ca="1" si="230"/>
        <v>1.2672716192427629</v>
      </c>
      <c r="Z248" s="205">
        <f t="shared" ca="1" si="231"/>
        <v>1.3489727260699875</v>
      </c>
      <c r="AA248" s="205">
        <f t="shared" ca="1" si="232"/>
        <v>1.2502917791698276</v>
      </c>
      <c r="AB248" s="205">
        <f t="shared" ca="1" si="233"/>
        <v>0.4958176272354563</v>
      </c>
    </row>
    <row r="249" spans="5:28">
      <c r="E249" s="111">
        <f t="shared" si="239"/>
        <v>74</v>
      </c>
      <c r="F249" s="105">
        <f t="shared" si="234"/>
        <v>-165.17951941738758</v>
      </c>
      <c r="G249" s="105">
        <f t="shared" si="234"/>
        <v>-318.83155291353626</v>
      </c>
      <c r="H249" s="105">
        <f t="shared" si="234"/>
        <v>244.75640532810198</v>
      </c>
      <c r="I249" s="105">
        <f t="shared" si="234"/>
        <v>221.40338022972688</v>
      </c>
      <c r="J249" s="105">
        <f t="shared" si="235"/>
        <v>250.32292299912399</v>
      </c>
      <c r="K249" s="105">
        <f t="shared" si="235"/>
        <v>-11689.113621235943</v>
      </c>
      <c r="L249" s="105">
        <f t="shared" si="236"/>
        <v>16.615555635069747</v>
      </c>
      <c r="N249" s="105">
        <f t="shared" si="221"/>
        <v>-1909.4403308349856</v>
      </c>
      <c r="O249" s="193">
        <f t="shared" si="237"/>
        <v>74</v>
      </c>
      <c r="P249" s="205">
        <f t="shared" ca="1" si="222"/>
        <v>-2.145430815012773</v>
      </c>
      <c r="Q249" s="205">
        <f t="shared" ca="1" si="223"/>
        <v>-1.5934221686050813</v>
      </c>
      <c r="R249" s="205">
        <f t="shared" ca="1" si="224"/>
        <v>-0.2269795297244751</v>
      </c>
      <c r="S249" s="205">
        <f t="shared" ca="1" si="225"/>
        <v>-0.14544343743369326</v>
      </c>
      <c r="T249" s="205">
        <f t="shared" ca="1" si="226"/>
        <v>-0.24416945406818169</v>
      </c>
      <c r="U249" s="205">
        <f t="shared" ca="1" si="227"/>
        <v>-1.0161861470151123</v>
      </c>
      <c r="V249" s="205">
        <f t="shared" ca="1" si="228"/>
        <v>0.99999368878953987</v>
      </c>
      <c r="W249" s="205">
        <f t="shared" ca="1" si="238"/>
        <v>-0.65262911580251748</v>
      </c>
      <c r="X249" s="205">
        <f t="shared" ca="1" si="229"/>
        <v>-0.10062046939482583</v>
      </c>
      <c r="Y249" s="205">
        <f t="shared" ca="1" si="230"/>
        <v>1.2658221694857805</v>
      </c>
      <c r="Z249" s="205">
        <f t="shared" ca="1" si="231"/>
        <v>1.3473582617765623</v>
      </c>
      <c r="AA249" s="205">
        <f t="shared" ca="1" si="232"/>
        <v>1.2486322451420739</v>
      </c>
      <c r="AB249" s="205">
        <f t="shared" ca="1" si="233"/>
        <v>0.47661555219514318</v>
      </c>
    </row>
    <row r="250" spans="5:28">
      <c r="E250" s="111">
        <f t="shared" si="239"/>
        <v>75</v>
      </c>
      <c r="F250" s="105">
        <f t="shared" si="234"/>
        <v>-151.22123912018867</v>
      </c>
      <c r="G250" s="105">
        <f t="shared" si="234"/>
        <v>-292.32829771306444</v>
      </c>
      <c r="H250" s="105">
        <f t="shared" si="234"/>
        <v>245.21619723680311</v>
      </c>
      <c r="I250" s="105">
        <f t="shared" si="234"/>
        <v>221.82245656861124</v>
      </c>
      <c r="J250" s="105">
        <f t="shared" si="235"/>
        <v>250.87375219049667</v>
      </c>
      <c r="K250" s="105">
        <f t="shared" si="235"/>
        <v>-5346.459939506145</v>
      </c>
      <c r="L250" s="105">
        <f t="shared" si="236"/>
        <v>26.207116399712696</v>
      </c>
      <c r="N250" s="105">
        <f t="shared" si="221"/>
        <v>-845.34951172391447</v>
      </c>
      <c r="O250" s="193">
        <f t="shared" si="237"/>
        <v>75</v>
      </c>
      <c r="P250" s="205">
        <f t="shared" ca="1" si="222"/>
        <v>-2.2511583204215206</v>
      </c>
      <c r="Q250" s="205">
        <f t="shared" ca="1" si="223"/>
        <v>-1.647223389011035</v>
      </c>
      <c r="R250" s="205">
        <f t="shared" ca="1" si="224"/>
        <v>-0.22842897948145746</v>
      </c>
      <c r="S250" s="205">
        <f t="shared" ca="1" si="225"/>
        <v>-0.14705790172711852</v>
      </c>
      <c r="T250" s="205">
        <f t="shared" ca="1" si="226"/>
        <v>-0.24582898809593556</v>
      </c>
      <c r="U250" s="205">
        <f t="shared" ca="1" si="227"/>
        <v>-1.0353882220554247</v>
      </c>
      <c r="V250" s="205">
        <f t="shared" ca="1" si="228"/>
        <v>1.0520502093472011</v>
      </c>
      <c r="W250" s="205">
        <f t="shared" ca="1" si="238"/>
        <v>-0.75835662121126513</v>
      </c>
      <c r="X250" s="205">
        <f t="shared" ca="1" si="229"/>
        <v>-0.15442168980077953</v>
      </c>
      <c r="Y250" s="205">
        <f t="shared" ca="1" si="230"/>
        <v>1.2643727197287982</v>
      </c>
      <c r="Z250" s="205">
        <f t="shared" ca="1" si="231"/>
        <v>1.345743797483137</v>
      </c>
      <c r="AA250" s="205">
        <f t="shared" ca="1" si="232"/>
        <v>1.2469727111143198</v>
      </c>
      <c r="AB250" s="205">
        <f t="shared" ca="1" si="233"/>
        <v>0.45741347715483083</v>
      </c>
    </row>
    <row r="251" spans="5:28">
      <c r="E251" s="111">
        <f t="shared" si="239"/>
        <v>76</v>
      </c>
      <c r="F251" s="105">
        <f t="shared" si="234"/>
        <v>-139.43819586582038</v>
      </c>
      <c r="G251" s="105">
        <f t="shared" si="234"/>
        <v>-269.89310932611488</v>
      </c>
      <c r="H251" s="105">
        <f t="shared" si="234"/>
        <v>245.67771989892194</v>
      </c>
      <c r="I251" s="105">
        <f t="shared" si="234"/>
        <v>222.24312238670041</v>
      </c>
      <c r="J251" s="105">
        <f t="shared" si="235"/>
        <v>251.42701089906194</v>
      </c>
      <c r="K251" s="105">
        <f t="shared" si="235"/>
        <v>-3465.8487243229933</v>
      </c>
      <c r="L251" s="105">
        <f t="shared" si="236"/>
        <v>56.462400250335492</v>
      </c>
      <c r="N251" s="105">
        <f t="shared" si="221"/>
        <v>-525.97202938837404</v>
      </c>
      <c r="O251" s="193">
        <f t="shared" si="237"/>
        <v>76</v>
      </c>
      <c r="P251" s="205">
        <f t="shared" ca="1" si="222"/>
        <v>-2.3568858258302683</v>
      </c>
      <c r="Q251" s="205">
        <f t="shared" ca="1" si="223"/>
        <v>-1.701024609416989</v>
      </c>
      <c r="R251" s="205">
        <f t="shared" ca="1" si="224"/>
        <v>-0.22987842923843971</v>
      </c>
      <c r="S251" s="205">
        <f t="shared" ca="1" si="225"/>
        <v>-0.14867236602054368</v>
      </c>
      <c r="T251" s="205">
        <f t="shared" ca="1" si="226"/>
        <v>-0.24748852212368921</v>
      </c>
      <c r="U251" s="205">
        <f t="shared" ca="1" si="227"/>
        <v>-1.0545902970957379</v>
      </c>
      <c r="V251" s="205">
        <f t="shared" ca="1" si="228"/>
        <v>1.1041067299048624</v>
      </c>
      <c r="W251" s="205">
        <f t="shared" ca="1" si="238"/>
        <v>-0.86408412662001277</v>
      </c>
      <c r="X251" s="205">
        <f t="shared" ca="1" si="229"/>
        <v>-0.20822291020673345</v>
      </c>
      <c r="Y251" s="205">
        <f t="shared" ca="1" si="230"/>
        <v>1.2629232699718158</v>
      </c>
      <c r="Z251" s="205">
        <f t="shared" ca="1" si="231"/>
        <v>1.344129333189712</v>
      </c>
      <c r="AA251" s="205">
        <f t="shared" ca="1" si="232"/>
        <v>1.2453131770865662</v>
      </c>
      <c r="AB251" s="205">
        <f t="shared" ca="1" si="233"/>
        <v>0.43821140211451759</v>
      </c>
    </row>
    <row r="252" spans="5:28">
      <c r="E252" s="111">
        <f t="shared" si="239"/>
        <v>77</v>
      </c>
      <c r="F252" s="105">
        <f t="shared" si="234"/>
        <v>-129.3586674677708</v>
      </c>
      <c r="G252" s="105">
        <f t="shared" si="234"/>
        <v>-250.65611704630871</v>
      </c>
      <c r="H252" s="105">
        <f t="shared" si="234"/>
        <v>246.14098310526549</v>
      </c>
      <c r="I252" s="105">
        <f t="shared" si="234"/>
        <v>222.66538674407792</v>
      </c>
      <c r="J252" s="105">
        <f t="shared" si="235"/>
        <v>251.98271523398682</v>
      </c>
      <c r="K252" s="105">
        <f t="shared" si="235"/>
        <v>-2563.9738373072651</v>
      </c>
      <c r="L252" s="105">
        <f t="shared" si="236"/>
        <v>757.7860982307559</v>
      </c>
      <c r="N252" s="105">
        <f t="shared" si="221"/>
        <v>-370.53325612300233</v>
      </c>
      <c r="O252" s="193">
        <f t="shared" si="237"/>
        <v>77</v>
      </c>
      <c r="P252" s="205">
        <f t="shared" ca="1" si="222"/>
        <v>-2.4626133312390159</v>
      </c>
      <c r="Q252" s="205">
        <f t="shared" ca="1" si="223"/>
        <v>-1.7548258298229418</v>
      </c>
      <c r="R252" s="205">
        <f t="shared" ca="1" si="224"/>
        <v>-0.23132787899542218</v>
      </c>
      <c r="S252" s="205">
        <f t="shared" ca="1" si="225"/>
        <v>-0.15028683031396906</v>
      </c>
      <c r="T252" s="205">
        <f t="shared" ca="1" si="226"/>
        <v>-0.24914805615144309</v>
      </c>
      <c r="U252" s="205">
        <f t="shared" ca="1" si="227"/>
        <v>-1.0737923721360509</v>
      </c>
      <c r="V252" s="205">
        <f t="shared" ca="1" si="228"/>
        <v>1.1561632504625234</v>
      </c>
      <c r="W252" s="205">
        <f t="shared" ca="1" si="238"/>
        <v>-0.96981163202876042</v>
      </c>
      <c r="X252" s="205">
        <f t="shared" ca="1" si="229"/>
        <v>-0.26202413061268626</v>
      </c>
      <c r="Y252" s="205">
        <f t="shared" ca="1" si="230"/>
        <v>1.2614738202148335</v>
      </c>
      <c r="Z252" s="205">
        <f t="shared" ca="1" si="231"/>
        <v>1.3425148688962865</v>
      </c>
      <c r="AA252" s="205">
        <f t="shared" ca="1" si="232"/>
        <v>1.2436536430588125</v>
      </c>
      <c r="AB252" s="205">
        <f t="shared" ca="1" si="233"/>
        <v>0.41900932707420457</v>
      </c>
    </row>
    <row r="253" spans="5:28">
      <c r="E253" s="111">
        <f t="shared" si="239"/>
        <v>78</v>
      </c>
      <c r="F253" s="105">
        <f t="shared" si="234"/>
        <v>-120.63813370700971</v>
      </c>
      <c r="G253" s="105">
        <f t="shared" si="234"/>
        <v>-233.97895419912012</v>
      </c>
      <c r="H253" s="105">
        <f t="shared" si="234"/>
        <v>246.60599672062855</v>
      </c>
      <c r="I253" s="105">
        <f t="shared" si="234"/>
        <v>223.08925876981533</v>
      </c>
      <c r="J253" s="105">
        <f t="shared" si="235"/>
        <v>252.54088144717176</v>
      </c>
      <c r="K253" s="105">
        <f t="shared" si="235"/>
        <v>-2034.5484842859087</v>
      </c>
      <c r="L253" s="105">
        <f t="shared" si="236"/>
        <v>52.421263066566524</v>
      </c>
      <c r="N253" s="105">
        <f t="shared" si="221"/>
        <v>-277.82157254240383</v>
      </c>
      <c r="O253" s="193">
        <f t="shared" si="237"/>
        <v>78</v>
      </c>
      <c r="P253" s="205">
        <f t="shared" ca="1" si="222"/>
        <v>-2.5683408366477636</v>
      </c>
      <c r="Q253" s="205">
        <f t="shared" ca="1" si="223"/>
        <v>-1.8086270502288957</v>
      </c>
      <c r="R253" s="205">
        <f t="shared" ca="1" si="224"/>
        <v>-0.23277732875240464</v>
      </c>
      <c r="S253" s="205">
        <f t="shared" ca="1" si="225"/>
        <v>-0.15190129460739432</v>
      </c>
      <c r="T253" s="205">
        <f t="shared" ca="1" si="226"/>
        <v>-0.25080759017919674</v>
      </c>
      <c r="U253" s="205">
        <f t="shared" ca="1" si="227"/>
        <v>-1.0929944471763635</v>
      </c>
      <c r="V253" s="205">
        <f t="shared" ca="1" si="228"/>
        <v>1.2082197710201847</v>
      </c>
      <c r="W253" s="205">
        <f t="shared" ca="1" si="238"/>
        <v>-1.0755391374375081</v>
      </c>
      <c r="X253" s="205">
        <f t="shared" ca="1" si="229"/>
        <v>-0.31582535101864018</v>
      </c>
      <c r="Y253" s="205">
        <f t="shared" ca="1" si="230"/>
        <v>1.2600243704578509</v>
      </c>
      <c r="Z253" s="205">
        <f t="shared" ca="1" si="231"/>
        <v>1.3409004046028612</v>
      </c>
      <c r="AA253" s="205">
        <f t="shared" ca="1" si="232"/>
        <v>1.2419941090310589</v>
      </c>
      <c r="AB253" s="205">
        <f t="shared" ca="1" si="233"/>
        <v>0.399807252033892</v>
      </c>
    </row>
    <row r="254" spans="5:28">
      <c r="E254" s="328">
        <f t="shared" si="239"/>
        <v>79</v>
      </c>
      <c r="F254" s="329">
        <f t="shared" si="234"/>
        <v>-113.01910847752576</v>
      </c>
      <c r="G254" s="329">
        <f t="shared" si="234"/>
        <v>-219.38254808182657</v>
      </c>
      <c r="H254" s="329">
        <f t="shared" si="234"/>
        <v>247.07277068449389</v>
      </c>
      <c r="I254" s="329">
        <f t="shared" si="234"/>
        <v>223.51474766263027</v>
      </c>
      <c r="J254" s="329">
        <f t="shared" si="235"/>
        <v>253.10152593483514</v>
      </c>
      <c r="K254" s="329">
        <f t="shared" si="235"/>
        <v>-1686.3420345978773</v>
      </c>
      <c r="L254" s="329">
        <f t="shared" si="236"/>
        <v>28.024815940528541</v>
      </c>
      <c r="M254" s="329"/>
      <c r="N254" s="329">
        <f t="shared" si="221"/>
        <v>-215.84244114587838</v>
      </c>
      <c r="O254" s="329">
        <f t="shared" si="237"/>
        <v>79</v>
      </c>
      <c r="P254" s="330">
        <f t="shared" ca="1" si="222"/>
        <v>-2.6740683420565099</v>
      </c>
      <c r="Q254" s="330">
        <f t="shared" ca="1" si="223"/>
        <v>-1.8624282706348494</v>
      </c>
      <c r="R254" s="330">
        <f t="shared" ca="1" si="224"/>
        <v>-0.23422677850938689</v>
      </c>
      <c r="S254" s="330">
        <f t="shared" ca="1" si="225"/>
        <v>-0.15351575890081959</v>
      </c>
      <c r="T254" s="330">
        <f t="shared" ca="1" si="226"/>
        <v>-0.25246712420695061</v>
      </c>
      <c r="U254" s="330">
        <f t="shared" ca="1" si="227"/>
        <v>-1.1121965222166765</v>
      </c>
      <c r="V254" s="330">
        <f ca="1">(MAX(P254:U254)-MIN(P254:U254))/2</f>
        <v>1.2602762915778452</v>
      </c>
      <c r="W254" s="205">
        <f t="shared" ca="1" si="238"/>
        <v>-1.1812666428462544</v>
      </c>
      <c r="X254" s="205">
        <f t="shared" ca="1" si="229"/>
        <v>-0.36962657142459387</v>
      </c>
      <c r="Y254" s="205">
        <f t="shared" ca="1" si="230"/>
        <v>1.2585749207008687</v>
      </c>
      <c r="Z254" s="205">
        <f t="shared" ca="1" si="231"/>
        <v>1.3392859403094359</v>
      </c>
      <c r="AA254" s="205">
        <f t="shared" ca="1" si="232"/>
        <v>1.2403345750033048</v>
      </c>
      <c r="AB254" s="205">
        <f t="shared" ca="1" si="233"/>
        <v>0.38060517699357899</v>
      </c>
    </row>
    <row r="255" spans="5:28">
      <c r="E255" s="328">
        <f t="shared" si="239"/>
        <v>80</v>
      </c>
      <c r="F255" s="329">
        <f t="shared" si="234"/>
        <v>-106.30528878867366</v>
      </c>
      <c r="G255" s="329">
        <f t="shared" si="234"/>
        <v>-206.50035105806313</v>
      </c>
      <c r="H255" s="329">
        <f t="shared" si="234"/>
        <v>247.54131501174058</v>
      </c>
      <c r="I255" s="329">
        <f t="shared" si="234"/>
        <v>223.94186269155176</v>
      </c>
      <c r="J255" s="329">
        <f t="shared" si="235"/>
        <v>253.66466523911856</v>
      </c>
      <c r="K255" s="329">
        <f t="shared" si="235"/>
        <v>-1439.9066314203885</v>
      </c>
      <c r="L255" s="329">
        <f t="shared" si="236"/>
        <v>19.513270755117517</v>
      </c>
      <c r="M255" s="329"/>
      <c r="N255" s="329">
        <f t="shared" si="221"/>
        <v>-171.26073805411906</v>
      </c>
      <c r="O255" s="329">
        <f t="shared" si="237"/>
        <v>80</v>
      </c>
      <c r="P255" s="330">
        <f t="shared" ca="1" si="222"/>
        <v>-2.7797958474652575</v>
      </c>
      <c r="Q255" s="330">
        <f t="shared" ca="1" si="223"/>
        <v>-1.9162294910408033</v>
      </c>
      <c r="R255" s="330">
        <f t="shared" ca="1" si="224"/>
        <v>-0.23567622826636925</v>
      </c>
      <c r="S255" s="330">
        <f t="shared" ca="1" si="225"/>
        <v>-0.15513022319424496</v>
      </c>
      <c r="T255" s="330">
        <f t="shared" ca="1" si="226"/>
        <v>-0.25412665823470437</v>
      </c>
      <c r="U255" s="330">
        <f t="shared" ca="1" si="227"/>
        <v>-1.1313985972569898</v>
      </c>
      <c r="V255" s="330">
        <f t="shared" ref="V255:V302" ca="1" si="240">(MAX(P255:U255)-MIN(P255:U255))/2</f>
        <v>1.3123328121355062</v>
      </c>
      <c r="W255" s="205">
        <f t="shared" ca="1" si="238"/>
        <v>-1.286994148255002</v>
      </c>
      <c r="X255" s="205">
        <f t="shared" ca="1" si="229"/>
        <v>-0.4234277918305478</v>
      </c>
      <c r="Y255" s="205">
        <f t="shared" ca="1" si="230"/>
        <v>1.2571254709438864</v>
      </c>
      <c r="Z255" s="205">
        <f t="shared" ca="1" si="231"/>
        <v>1.3376714760160104</v>
      </c>
      <c r="AA255" s="205">
        <f t="shared" ca="1" si="232"/>
        <v>1.2386750409755511</v>
      </c>
      <c r="AB255" s="205">
        <f t="shared" ca="1" si="233"/>
        <v>0.36140310195326575</v>
      </c>
    </row>
    <row r="256" spans="5:28">
      <c r="E256" s="328">
        <f t="shared" si="239"/>
        <v>81</v>
      </c>
      <c r="F256" s="329">
        <f t="shared" si="234"/>
        <v>-100.34440107107984</v>
      </c>
      <c r="G256" s="329">
        <f t="shared" si="234"/>
        <v>-195.04713543295011</v>
      </c>
      <c r="H256" s="329">
        <f t="shared" si="234"/>
        <v>248.01163979336019</v>
      </c>
      <c r="I256" s="329">
        <f t="shared" si="234"/>
        <v>224.3706131965933</v>
      </c>
      <c r="J256" s="329">
        <f t="shared" si="235"/>
        <v>254.23031604971402</v>
      </c>
      <c r="K256" s="329">
        <f t="shared" si="235"/>
        <v>-1256.3138574585607</v>
      </c>
      <c r="L256" s="329">
        <f t="shared" si="236"/>
        <v>15.18260582823101</v>
      </c>
      <c r="M256" s="329"/>
      <c r="N256" s="329">
        <f t="shared" si="221"/>
        <v>-137.5154708204872</v>
      </c>
      <c r="O256" s="329">
        <f t="shared" si="237"/>
        <v>81</v>
      </c>
      <c r="P256" s="330">
        <f t="shared" ca="1" si="222"/>
        <v>-2.8855233528740052</v>
      </c>
      <c r="Q256" s="330">
        <f t="shared" ca="1" si="223"/>
        <v>-1.9700307114467561</v>
      </c>
      <c r="R256" s="330">
        <f t="shared" ca="1" si="224"/>
        <v>-0.23712567802335172</v>
      </c>
      <c r="S256" s="330">
        <f t="shared" ca="1" si="225"/>
        <v>-0.15674468748767001</v>
      </c>
      <c r="T256" s="330">
        <f t="shared" ca="1" si="226"/>
        <v>-0.25578619226245802</v>
      </c>
      <c r="U256" s="330">
        <f t="shared" ca="1" si="227"/>
        <v>-1.1506006722973023</v>
      </c>
      <c r="V256" s="330">
        <f t="shared" ca="1" si="240"/>
        <v>1.3643893326931675</v>
      </c>
      <c r="W256" s="205">
        <f t="shared" ca="1" si="238"/>
        <v>-1.3927216536637497</v>
      </c>
      <c r="X256" s="205">
        <f t="shared" ca="1" si="229"/>
        <v>-0.4772290122365006</v>
      </c>
      <c r="Y256" s="205">
        <f t="shared" ca="1" si="230"/>
        <v>1.2556760211869038</v>
      </c>
      <c r="Z256" s="205">
        <f t="shared" ca="1" si="231"/>
        <v>1.3360570117225854</v>
      </c>
      <c r="AA256" s="205">
        <f t="shared" ca="1" si="232"/>
        <v>1.2370155069477975</v>
      </c>
      <c r="AB256" s="205">
        <f t="shared" ca="1" si="233"/>
        <v>0.34220102691295318</v>
      </c>
    </row>
    <row r="257" spans="5:28">
      <c r="E257" s="111">
        <f t="shared" si="239"/>
        <v>82</v>
      </c>
      <c r="F257" s="105">
        <f t="shared" si="234"/>
        <v>-95.016512240372975</v>
      </c>
      <c r="G257" s="105">
        <f t="shared" si="234"/>
        <v>-184.79762709422431</v>
      </c>
      <c r="H257" s="105">
        <f t="shared" si="234"/>
        <v>248.4837551971811</v>
      </c>
      <c r="I257" s="105">
        <f t="shared" si="234"/>
        <v>224.80100858943385</v>
      </c>
      <c r="J257" s="105">
        <f t="shared" si="235"/>
        <v>254.79849520551267</v>
      </c>
      <c r="K257" s="105">
        <f t="shared" si="235"/>
        <v>-1114.2441127497807</v>
      </c>
      <c r="L257" s="105">
        <f t="shared" si="236"/>
        <v>12.559733447901273</v>
      </c>
      <c r="N257" s="105">
        <f t="shared" si="221"/>
        <v>-110.99583218204172</v>
      </c>
      <c r="O257" s="193">
        <f t="shared" si="237"/>
        <v>82</v>
      </c>
      <c r="P257" s="205">
        <f t="shared" ca="1" si="222"/>
        <v>-2.9912508582827533</v>
      </c>
      <c r="Q257" s="205">
        <f t="shared" ca="1" si="223"/>
        <v>-2.02383193185271</v>
      </c>
      <c r="R257" s="205">
        <f t="shared" ca="1" si="224"/>
        <v>-0.23857512778033396</v>
      </c>
      <c r="S257" s="205">
        <f t="shared" ca="1" si="225"/>
        <v>-0.15835915178109528</v>
      </c>
      <c r="T257" s="205">
        <f t="shared" ca="1" si="226"/>
        <v>-0.2574457262902119</v>
      </c>
      <c r="U257" s="205">
        <f t="shared" ca="1" si="227"/>
        <v>-1.1698027473376154</v>
      </c>
      <c r="V257" s="205">
        <f t="shared" ca="1" si="240"/>
        <v>1.4164458532508291</v>
      </c>
      <c r="W257" s="205">
        <f t="shared" ca="1" si="238"/>
        <v>-1.4984491590724978</v>
      </c>
      <c r="X257" s="205">
        <f t="shared" ca="1" si="229"/>
        <v>-0.53103023264245452</v>
      </c>
      <c r="Y257" s="205">
        <f t="shared" ca="1" si="230"/>
        <v>1.2542265714299217</v>
      </c>
      <c r="Z257" s="205">
        <f t="shared" ca="1" si="231"/>
        <v>1.3344425474291604</v>
      </c>
      <c r="AA257" s="205">
        <f t="shared" ca="1" si="232"/>
        <v>1.2353559729200436</v>
      </c>
      <c r="AB257" s="205">
        <f t="shared" ca="1" si="233"/>
        <v>0.32299895187264016</v>
      </c>
    </row>
    <row r="258" spans="5:28">
      <c r="E258" s="111">
        <f t="shared" si="239"/>
        <v>83</v>
      </c>
      <c r="F258" s="105">
        <f t="shared" si="234"/>
        <v>-90.225876826219377</v>
      </c>
      <c r="G258" s="105">
        <f t="shared" si="234"/>
        <v>-175.57153949200551</v>
      </c>
      <c r="H258" s="105">
        <f t="shared" si="234"/>
        <v>248.95767146860143</v>
      </c>
      <c r="I258" s="105">
        <f t="shared" si="234"/>
        <v>225.23305835410628</v>
      </c>
      <c r="J258" s="105">
        <f t="shared" si="235"/>
        <v>255.36921969627565</v>
      </c>
      <c r="K258" s="105">
        <f t="shared" si="235"/>
        <v>-1001.0417150698632</v>
      </c>
      <c r="L258" s="105">
        <f t="shared" si="236"/>
        <v>10.80083426197697</v>
      </c>
      <c r="N258" s="105">
        <f t="shared" si="221"/>
        <v>-89.546530311517472</v>
      </c>
      <c r="O258" s="193">
        <f t="shared" si="237"/>
        <v>83</v>
      </c>
      <c r="P258" s="205">
        <f t="shared" ca="1" si="222"/>
        <v>-3.0969783636915005</v>
      </c>
      <c r="Q258" s="205">
        <f t="shared" ca="1" si="223"/>
        <v>-2.077633152258664</v>
      </c>
      <c r="R258" s="205">
        <f t="shared" ca="1" si="224"/>
        <v>-0.24002457753731632</v>
      </c>
      <c r="S258" s="205">
        <f t="shared" ca="1" si="225"/>
        <v>-0.15997361607452054</v>
      </c>
      <c r="T258" s="205">
        <f t="shared" ca="1" si="226"/>
        <v>-0.25910526031796566</v>
      </c>
      <c r="U258" s="205">
        <f t="shared" ca="1" si="227"/>
        <v>-1.1890048223779286</v>
      </c>
      <c r="V258" s="205">
        <f t="shared" ca="1" si="240"/>
        <v>1.4685023738084899</v>
      </c>
      <c r="W258" s="205">
        <f t="shared" ca="1" si="238"/>
        <v>-1.604176664481245</v>
      </c>
      <c r="X258" s="205">
        <f t="shared" ca="1" si="229"/>
        <v>-0.58483145304840845</v>
      </c>
      <c r="Y258" s="205">
        <f t="shared" ca="1" si="230"/>
        <v>1.2527771216729393</v>
      </c>
      <c r="Z258" s="205">
        <f t="shared" ca="1" si="231"/>
        <v>1.3328280831357349</v>
      </c>
      <c r="AA258" s="205">
        <f t="shared" ca="1" si="232"/>
        <v>1.2336964388922897</v>
      </c>
      <c r="AB258" s="205">
        <f t="shared" ca="1" si="233"/>
        <v>0.30379687683232692</v>
      </c>
    </row>
    <row r="259" spans="5:28">
      <c r="E259" s="111">
        <f t="shared" si="239"/>
        <v>84</v>
      </c>
      <c r="F259" s="105">
        <f t="shared" si="234"/>
        <v>-85.895132075423518</v>
      </c>
      <c r="G259" s="105">
        <f t="shared" si="234"/>
        <v>-167.22287754444963</v>
      </c>
      <c r="H259" s="105">
        <f t="shared" si="234"/>
        <v>249.43339893133009</v>
      </c>
      <c r="I259" s="105">
        <f t="shared" si="234"/>
        <v>225.66677204769408</v>
      </c>
      <c r="J259" s="105">
        <f t="shared" si="235"/>
        <v>255.94250666432774</v>
      </c>
      <c r="K259" s="105">
        <f t="shared" si="235"/>
        <v>-908.71971051762307</v>
      </c>
      <c r="L259" s="105">
        <f t="shared" si="236"/>
        <v>9.5393857798254675</v>
      </c>
      <c r="N259" s="105">
        <f t="shared" si="221"/>
        <v>-71.79917374902405</v>
      </c>
      <c r="O259" s="193">
        <f t="shared" si="237"/>
        <v>84</v>
      </c>
      <c r="P259" s="205">
        <f t="shared" ca="1" si="222"/>
        <v>-3.2027058691002486</v>
      </c>
      <c r="Q259" s="205">
        <f t="shared" ca="1" si="223"/>
        <v>-2.131434372664617</v>
      </c>
      <c r="R259" s="205">
        <f t="shared" ca="1" si="224"/>
        <v>-0.24147402729429868</v>
      </c>
      <c r="S259" s="205">
        <f t="shared" ca="1" si="225"/>
        <v>-0.16158808036794581</v>
      </c>
      <c r="T259" s="205">
        <f t="shared" ca="1" si="226"/>
        <v>-0.26076479434571942</v>
      </c>
      <c r="U259" s="205">
        <f t="shared" ca="1" si="227"/>
        <v>-1.2082068974182409</v>
      </c>
      <c r="V259" s="205">
        <f t="shared" ca="1" si="240"/>
        <v>1.5205588943661514</v>
      </c>
      <c r="W259" s="205">
        <f t="shared" ca="1" si="238"/>
        <v>-1.7099041698899931</v>
      </c>
      <c r="X259" s="205">
        <f t="shared" ca="1" si="229"/>
        <v>-0.63863267345436148</v>
      </c>
      <c r="Y259" s="205">
        <f t="shared" ca="1" si="230"/>
        <v>1.251327671915957</v>
      </c>
      <c r="Z259" s="205">
        <f t="shared" ca="1" si="231"/>
        <v>1.3312136188423098</v>
      </c>
      <c r="AA259" s="205">
        <f t="shared" ca="1" si="232"/>
        <v>1.2320369048645361</v>
      </c>
      <c r="AB259" s="205">
        <f t="shared" ca="1" si="233"/>
        <v>0.28459480179201457</v>
      </c>
    </row>
    <row r="260" spans="5:28">
      <c r="E260" s="111">
        <f t="shared" si="239"/>
        <v>85</v>
      </c>
      <c r="F260" s="105">
        <f t="shared" si="234"/>
        <v>-81.961088259659903</v>
      </c>
      <c r="G260" s="105">
        <f t="shared" si="234"/>
        <v>-159.63215470058117</v>
      </c>
      <c r="H260" s="105">
        <f t="shared" si="234"/>
        <v>249.91094798813631</v>
      </c>
      <c r="I260" s="105">
        <f t="shared" si="234"/>
        <v>226.10215930103618</v>
      </c>
      <c r="J260" s="105">
        <f t="shared" si="235"/>
        <v>256.5183734062735</v>
      </c>
      <c r="K260" s="105">
        <f t="shared" si="235"/>
        <v>-831.98877117374479</v>
      </c>
      <c r="L260" s="105">
        <f t="shared" si="236"/>
        <v>8.5904999424320536</v>
      </c>
      <c r="N260" s="105">
        <f t="shared" si="221"/>
        <v>-56.841755573089983</v>
      </c>
      <c r="O260" s="193">
        <f t="shared" si="237"/>
        <v>85</v>
      </c>
      <c r="P260" s="205">
        <f t="shared" ca="1" si="222"/>
        <v>-3.3084333745089962</v>
      </c>
      <c r="Q260" s="205">
        <f t="shared" ca="1" si="223"/>
        <v>-2.1852355930705705</v>
      </c>
      <c r="R260" s="205">
        <f t="shared" ca="1" si="224"/>
        <v>-0.24292347705128103</v>
      </c>
      <c r="S260" s="205">
        <f t="shared" ca="1" si="225"/>
        <v>-0.16320254466137107</v>
      </c>
      <c r="T260" s="205">
        <f t="shared" ca="1" si="226"/>
        <v>-0.26242432837347307</v>
      </c>
      <c r="U260" s="205">
        <f t="shared" ca="1" si="227"/>
        <v>-1.2274089724585542</v>
      </c>
      <c r="V260" s="205">
        <f t="shared" ca="1" si="240"/>
        <v>1.5726154149238125</v>
      </c>
      <c r="W260" s="205">
        <f t="shared" ca="1" si="238"/>
        <v>-1.8156316752987407</v>
      </c>
      <c r="X260" s="205">
        <f t="shared" ca="1" si="229"/>
        <v>-0.69243389386031495</v>
      </c>
      <c r="Y260" s="205">
        <f t="shared" ca="1" si="230"/>
        <v>1.2498782221589746</v>
      </c>
      <c r="Z260" s="205">
        <f t="shared" ca="1" si="231"/>
        <v>1.3295991545488843</v>
      </c>
      <c r="AA260" s="205">
        <f t="shared" ca="1" si="232"/>
        <v>1.2303773708367824</v>
      </c>
      <c r="AB260" s="205">
        <f t="shared" ca="1" si="233"/>
        <v>0.26539272675170134</v>
      </c>
    </row>
    <row r="261" spans="5:28">
      <c r="E261" s="111">
        <f t="shared" si="239"/>
        <v>86</v>
      </c>
      <c r="F261" s="105">
        <f t="shared" si="234"/>
        <v>-78.371625157028859</v>
      </c>
      <c r="G261" s="105">
        <f t="shared" si="234"/>
        <v>-152.70063769841423</v>
      </c>
      <c r="H261" s="105">
        <f t="shared" si="234"/>
        <v>250.39032912160809</v>
      </c>
      <c r="I261" s="105">
        <f t="shared" si="234"/>
        <v>226.53922981943964</v>
      </c>
      <c r="J261" s="105">
        <f t="shared" si="235"/>
        <v>257.09683737473711</v>
      </c>
      <c r="K261" s="105">
        <f t="shared" si="235"/>
        <v>-767.20695795489655</v>
      </c>
      <c r="L261" s="105">
        <f t="shared" si="236"/>
        <v>7.8508121242672706</v>
      </c>
      <c r="N261" s="105">
        <f t="shared" si="221"/>
        <v>-44.042137415759136</v>
      </c>
      <c r="O261" s="193">
        <f t="shared" si="237"/>
        <v>86</v>
      </c>
      <c r="P261" s="205">
        <f t="shared" ca="1" si="222"/>
        <v>-3.4141608799177439</v>
      </c>
      <c r="Q261" s="205">
        <f t="shared" ca="1" si="223"/>
        <v>-2.2390368134765244</v>
      </c>
      <c r="R261" s="205">
        <f t="shared" ca="1" si="224"/>
        <v>-0.24437292680826328</v>
      </c>
      <c r="S261" s="205">
        <f t="shared" ca="1" si="225"/>
        <v>-0.16481700895479634</v>
      </c>
      <c r="T261" s="205">
        <f t="shared" ca="1" si="226"/>
        <v>-0.26408386240122705</v>
      </c>
      <c r="U261" s="205">
        <f t="shared" ca="1" si="227"/>
        <v>-1.2466110474988672</v>
      </c>
      <c r="V261" s="205">
        <f t="shared" ca="1" si="240"/>
        <v>1.6246719354814738</v>
      </c>
      <c r="W261" s="205">
        <f t="shared" ca="1" si="238"/>
        <v>-1.9213591807074883</v>
      </c>
      <c r="X261" s="205">
        <f t="shared" ca="1" si="229"/>
        <v>-0.74623511426626887</v>
      </c>
      <c r="Y261" s="205">
        <f t="shared" ca="1" si="230"/>
        <v>1.2484287724019922</v>
      </c>
      <c r="Z261" s="205">
        <f t="shared" ca="1" si="231"/>
        <v>1.3279846902554593</v>
      </c>
      <c r="AA261" s="205">
        <f t="shared" ca="1" si="232"/>
        <v>1.2287178368090284</v>
      </c>
      <c r="AB261" s="205">
        <f t="shared" ca="1" si="233"/>
        <v>0.24619065171138832</v>
      </c>
    </row>
    <row r="262" spans="5:28">
      <c r="E262" s="111">
        <f t="shared" si="239"/>
        <v>87</v>
      </c>
      <c r="F262" s="105">
        <f t="shared" si="234"/>
        <v>-75.083369823605224</v>
      </c>
      <c r="G262" s="105">
        <f t="shared" si="234"/>
        <v>-146.34602834315689</v>
      </c>
      <c r="H262" s="105">
        <f t="shared" si="234"/>
        <v>250.87155289491918</v>
      </c>
      <c r="I262" s="105">
        <f t="shared" si="234"/>
        <v>226.9779933834009</v>
      </c>
      <c r="J262" s="105">
        <f t="shared" si="235"/>
        <v>257.67791618012501</v>
      </c>
      <c r="K262" s="105">
        <f t="shared" si="235"/>
        <v>-711.78469197580296</v>
      </c>
      <c r="L262" s="105">
        <f t="shared" si="236"/>
        <v>7.2580094054441142</v>
      </c>
      <c r="N262" s="105">
        <f t="shared" si="221"/>
        <v>-32.947771280686673</v>
      </c>
      <c r="O262" s="193">
        <f t="shared" si="237"/>
        <v>87</v>
      </c>
      <c r="P262" s="205">
        <f t="shared" ca="1" si="222"/>
        <v>-3.5198883853264915</v>
      </c>
      <c r="Q262" s="205">
        <f t="shared" ca="1" si="223"/>
        <v>-2.2928380338824783</v>
      </c>
      <c r="R262" s="205">
        <f t="shared" ca="1" si="224"/>
        <v>-0.24582237656524575</v>
      </c>
      <c r="S262" s="205">
        <f t="shared" ca="1" si="225"/>
        <v>-0.16643147324822161</v>
      </c>
      <c r="T262" s="205">
        <f t="shared" ca="1" si="226"/>
        <v>-0.2657433964289807</v>
      </c>
      <c r="U262" s="205">
        <f t="shared" ca="1" si="227"/>
        <v>-1.2658131225391798</v>
      </c>
      <c r="V262" s="205">
        <f t="shared" ca="1" si="240"/>
        <v>1.6767284560391349</v>
      </c>
      <c r="W262" s="205">
        <f t="shared" ca="1" si="238"/>
        <v>-2.027086686116236</v>
      </c>
      <c r="X262" s="205">
        <f t="shared" ca="1" si="229"/>
        <v>-0.80003633467222279</v>
      </c>
      <c r="Y262" s="205">
        <f t="shared" ca="1" si="230"/>
        <v>1.2469793226450099</v>
      </c>
      <c r="Z262" s="205">
        <f t="shared" ca="1" si="231"/>
        <v>1.3263702259620338</v>
      </c>
      <c r="AA262" s="205">
        <f t="shared" ca="1" si="232"/>
        <v>1.2270583027812747</v>
      </c>
      <c r="AB262" s="205">
        <f t="shared" ca="1" si="233"/>
        <v>0.22698857667107575</v>
      </c>
    </row>
    <row r="263" spans="5:28">
      <c r="E263" s="111">
        <f t="shared" si="239"/>
        <v>88</v>
      </c>
      <c r="F263" s="105">
        <f t="shared" si="234"/>
        <v>-72.059935429738388</v>
      </c>
      <c r="G263" s="105">
        <f t="shared" si="234"/>
        <v>-140.49918042055833</v>
      </c>
      <c r="H263" s="105">
        <f t="shared" si="234"/>
        <v>251.35462995260482</v>
      </c>
      <c r="I263" s="105">
        <f t="shared" si="234"/>
        <v>227.41845984933533</v>
      </c>
      <c r="J263" s="105">
        <f t="shared" si="235"/>
        <v>258.26162759241362</v>
      </c>
      <c r="K263" s="105">
        <f t="shared" si="235"/>
        <v>-663.83025591786782</v>
      </c>
      <c r="L263" s="105">
        <f t="shared" si="236"/>
        <v>6.7722914662438169</v>
      </c>
      <c r="N263" s="105">
        <f t="shared" si="221"/>
        <v>-23.225775728968454</v>
      </c>
      <c r="O263" s="193">
        <f t="shared" si="237"/>
        <v>88</v>
      </c>
      <c r="P263" s="205">
        <f t="shared" ca="1" si="222"/>
        <v>-3.6256158907352392</v>
      </c>
      <c r="Q263" s="205">
        <f t="shared" ca="1" si="223"/>
        <v>-2.3466392542884309</v>
      </c>
      <c r="R263" s="205">
        <f t="shared" ca="1" si="224"/>
        <v>-0.24727182632222822</v>
      </c>
      <c r="S263" s="205">
        <f t="shared" ca="1" si="225"/>
        <v>-0.16804593754164698</v>
      </c>
      <c r="T263" s="205">
        <f t="shared" ca="1" si="226"/>
        <v>-0.26740293045673447</v>
      </c>
      <c r="U263" s="205">
        <f t="shared" ca="1" si="227"/>
        <v>-1.2850151975794928</v>
      </c>
      <c r="V263" s="205">
        <f t="shared" ca="1" si="240"/>
        <v>1.728784976596796</v>
      </c>
      <c r="W263" s="205">
        <f t="shared" ca="1" si="238"/>
        <v>-2.1328141915249836</v>
      </c>
      <c r="X263" s="205">
        <f t="shared" ca="1" si="229"/>
        <v>-0.85383755507817538</v>
      </c>
      <c r="Y263" s="205">
        <f t="shared" ca="1" si="230"/>
        <v>1.2455298728880273</v>
      </c>
      <c r="Z263" s="205">
        <f t="shared" ca="1" si="231"/>
        <v>1.3247557616686085</v>
      </c>
      <c r="AA263" s="205">
        <f t="shared" ca="1" si="232"/>
        <v>1.2253987687535211</v>
      </c>
      <c r="AB263" s="205">
        <f t="shared" ca="1" si="233"/>
        <v>0.20778650163076273</v>
      </c>
    </row>
    <row r="264" spans="5:28">
      <c r="E264" s="111">
        <f t="shared" si="239"/>
        <v>89</v>
      </c>
      <c r="F264" s="105">
        <f t="shared" si="234"/>
        <v>-69.270569133410589</v>
      </c>
      <c r="G264" s="105">
        <f t="shared" si="234"/>
        <v>-135.10157337530927</v>
      </c>
      <c r="H264" s="105">
        <f t="shared" si="234"/>
        <v>251.8395710213467</v>
      </c>
      <c r="I264" s="105">
        <f t="shared" si="234"/>
        <v>227.86063915031525</v>
      </c>
      <c r="J264" s="105">
        <f t="shared" si="235"/>
        <v>258.84798954296036</v>
      </c>
      <c r="K264" s="105">
        <f t="shared" si="235"/>
        <v>-621.92955028602307</v>
      </c>
      <c r="L264" s="105">
        <f t="shared" si="236"/>
        <v>6.3670460142384817</v>
      </c>
      <c r="N264" s="105">
        <f t="shared" si="221"/>
        <v>-14.625582180020103</v>
      </c>
      <c r="O264" s="193">
        <f t="shared" si="237"/>
        <v>89</v>
      </c>
      <c r="P264" s="205">
        <f t="shared" ca="1" si="222"/>
        <v>-3.731343396143985</v>
      </c>
      <c r="Q264" s="205">
        <f t="shared" ca="1" si="223"/>
        <v>-2.4004404746943848</v>
      </c>
      <c r="R264" s="205">
        <f t="shared" ca="1" si="224"/>
        <v>-0.24872127607921046</v>
      </c>
      <c r="S264" s="205">
        <f t="shared" ca="1" si="225"/>
        <v>-0.16966040183507214</v>
      </c>
      <c r="T264" s="205">
        <f t="shared" ca="1" si="226"/>
        <v>-0.26906246448448834</v>
      </c>
      <c r="U264" s="205">
        <f t="shared" ca="1" si="227"/>
        <v>-1.304217272619806</v>
      </c>
      <c r="V264" s="205">
        <f t="shared" ca="1" si="240"/>
        <v>1.7808414971544564</v>
      </c>
      <c r="W264" s="205">
        <f t="shared" ca="1" si="238"/>
        <v>-2.2385416969337295</v>
      </c>
      <c r="X264" s="205">
        <f t="shared" ca="1" si="229"/>
        <v>-0.9076387754841293</v>
      </c>
      <c r="Y264" s="205">
        <f t="shared" ca="1" si="230"/>
        <v>1.2440804231310452</v>
      </c>
      <c r="Z264" s="205">
        <f t="shared" ca="1" si="231"/>
        <v>1.3231412973751833</v>
      </c>
      <c r="AA264" s="205">
        <f t="shared" ca="1" si="232"/>
        <v>1.2237392347257672</v>
      </c>
      <c r="AB264" s="205">
        <f t="shared" ca="1" si="233"/>
        <v>0.18858442659044949</v>
      </c>
    </row>
    <row r="265" spans="5:28">
      <c r="E265" s="111">
        <f t="shared" si="239"/>
        <v>90</v>
      </c>
      <c r="F265" s="105">
        <f t="shared" si="234"/>
        <v>-66.689102287195581</v>
      </c>
      <c r="G265" s="105">
        <f t="shared" si="234"/>
        <v>-130.10334677319369</v>
      </c>
      <c r="H265" s="105">
        <f t="shared" si="234"/>
        <v>252.32638691076701</v>
      </c>
      <c r="I265" s="105">
        <f t="shared" si="234"/>
        <v>228.30454129681667</v>
      </c>
      <c r="J265" s="105">
        <f t="shared" si="235"/>
        <v>259.43702012633986</v>
      </c>
      <c r="K265" s="105">
        <f t="shared" si="235"/>
        <v>-585.00430762264898</v>
      </c>
      <c r="L265" s="105">
        <f t="shared" si="236"/>
        <v>6.0238042699969068</v>
      </c>
      <c r="N265" s="105">
        <f t="shared" si="221"/>
        <v>-6.9548013915191218</v>
      </c>
      <c r="O265" s="193">
        <f t="shared" si="237"/>
        <v>90</v>
      </c>
      <c r="P265" s="205">
        <f t="shared" ca="1" si="222"/>
        <v>-3.8370709015527331</v>
      </c>
      <c r="Q265" s="205">
        <f t="shared" ca="1" si="223"/>
        <v>-2.4542416951003387</v>
      </c>
      <c r="R265" s="205">
        <f t="shared" ca="1" si="224"/>
        <v>-0.25017072583619293</v>
      </c>
      <c r="S265" s="205">
        <f t="shared" ca="1" si="225"/>
        <v>-0.1712748661284974</v>
      </c>
      <c r="T265" s="205">
        <f t="shared" ca="1" si="226"/>
        <v>-0.27072199851224199</v>
      </c>
      <c r="U265" s="205">
        <f t="shared" ca="1" si="227"/>
        <v>-1.3234193476601184</v>
      </c>
      <c r="V265" s="205">
        <f t="shared" ca="1" si="240"/>
        <v>1.8328980177121179</v>
      </c>
      <c r="W265" s="205">
        <f t="shared" ca="1" si="238"/>
        <v>-2.3442692023424776</v>
      </c>
      <c r="X265" s="205">
        <f t="shared" ca="1" si="229"/>
        <v>-0.96143999589008322</v>
      </c>
      <c r="Y265" s="205">
        <f t="shared" ca="1" si="230"/>
        <v>1.2426309733740626</v>
      </c>
      <c r="Z265" s="205">
        <f t="shared" ca="1" si="231"/>
        <v>1.3215268330817582</v>
      </c>
      <c r="AA265" s="205">
        <f t="shared" ca="1" si="232"/>
        <v>1.2220797006980135</v>
      </c>
      <c r="AB265" s="205">
        <f t="shared" ca="1" si="233"/>
        <v>0.16938235155013714</v>
      </c>
    </row>
    <row r="266" spans="5:28">
      <c r="E266" s="111">
        <f t="shared" si="239"/>
        <v>91</v>
      </c>
      <c r="F266" s="105">
        <f t="shared" si="234"/>
        <v>-64.293126944102255</v>
      </c>
      <c r="G266" s="105">
        <f t="shared" si="234"/>
        <v>-125.46175550060931</v>
      </c>
      <c r="H266" s="105">
        <f t="shared" si="234"/>
        <v>252.81508851423143</v>
      </c>
      <c r="I266" s="105">
        <f t="shared" si="234"/>
        <v>228.7501763774747</v>
      </c>
      <c r="J266" s="105">
        <f t="shared" si="235"/>
        <v>260.02873760220558</v>
      </c>
      <c r="K266" s="105">
        <f t="shared" si="235"/>
        <v>-552.21798467372389</v>
      </c>
      <c r="L266" s="105">
        <f t="shared" si="236"/>
        <v>5.7293473790141878</v>
      </c>
      <c r="N266" s="105">
        <f t="shared" si="221"/>
        <v>-6.3144104087295247E-2</v>
      </c>
      <c r="O266" s="193">
        <f t="shared" si="237"/>
        <v>91</v>
      </c>
      <c r="P266" s="205">
        <f t="shared" ca="1" si="222"/>
        <v>-3.9427984069614812</v>
      </c>
      <c r="Q266" s="205">
        <f t="shared" ca="1" si="223"/>
        <v>-2.5080429155062918</v>
      </c>
      <c r="R266" s="205">
        <f t="shared" ca="1" si="224"/>
        <v>-0.25162017559317518</v>
      </c>
      <c r="S266" s="205">
        <f t="shared" ca="1" si="225"/>
        <v>-0.17288933042192267</v>
      </c>
      <c r="T266" s="205">
        <f t="shared" ca="1" si="226"/>
        <v>-0.27238153253999586</v>
      </c>
      <c r="U266" s="205">
        <f t="shared" ca="1" si="227"/>
        <v>-1.3426214227004316</v>
      </c>
      <c r="V266" s="205">
        <f t="shared" ca="1" si="240"/>
        <v>1.8849545382697792</v>
      </c>
      <c r="W266" s="205">
        <f t="shared" ca="1" si="238"/>
        <v>-2.4499967077512257</v>
      </c>
      <c r="X266" s="205">
        <f t="shared" ca="1" si="229"/>
        <v>-1.0152412162960363</v>
      </c>
      <c r="Y266" s="205">
        <f t="shared" ca="1" si="230"/>
        <v>1.2411815236170805</v>
      </c>
      <c r="Z266" s="205">
        <f t="shared" ca="1" si="231"/>
        <v>1.3199123687883327</v>
      </c>
      <c r="AA266" s="205">
        <f t="shared" ca="1" si="232"/>
        <v>1.2204201666702597</v>
      </c>
      <c r="AB266" s="205">
        <f t="shared" ca="1" si="233"/>
        <v>0.15018027650982391</v>
      </c>
    </row>
    <row r="267" spans="5:28">
      <c r="E267" s="111">
        <f t="shared" si="239"/>
        <v>92</v>
      </c>
      <c r="F267" s="105">
        <f t="shared" si="234"/>
        <v>-62.063343723580843</v>
      </c>
      <c r="G267" s="105">
        <f t="shared" si="234"/>
        <v>-121.13994424876913</v>
      </c>
      <c r="H267" s="105">
        <f t="shared" si="234"/>
        <v>253.30568680966186</v>
      </c>
      <c r="I267" s="105">
        <f t="shared" si="234"/>
        <v>229.19755455984782</v>
      </c>
      <c r="J267" s="105">
        <f t="shared" si="235"/>
        <v>260.62316039717621</v>
      </c>
      <c r="K267" s="105">
        <f t="shared" si="235"/>
        <v>-522.91162053063795</v>
      </c>
      <c r="L267" s="105">
        <f t="shared" si="236"/>
        <v>5.473964756300969</v>
      </c>
      <c r="N267" s="105">
        <f t="shared" si="221"/>
        <v>6.1685822106163259</v>
      </c>
      <c r="O267" s="193">
        <f t="shared" si="237"/>
        <v>92</v>
      </c>
      <c r="P267" s="205">
        <f t="shared" ca="1" si="222"/>
        <v>-4.0485259123702289</v>
      </c>
      <c r="Q267" s="205">
        <f t="shared" ca="1" si="223"/>
        <v>-2.5618441359122452</v>
      </c>
      <c r="R267" s="205">
        <f t="shared" ca="1" si="224"/>
        <v>-0.25306962535015753</v>
      </c>
      <c r="S267" s="205">
        <f t="shared" ca="1" si="225"/>
        <v>-0.17450379471534783</v>
      </c>
      <c r="T267" s="205">
        <f t="shared" ca="1" si="226"/>
        <v>-0.27404106656774951</v>
      </c>
      <c r="U267" s="205">
        <f t="shared" ca="1" si="227"/>
        <v>-1.3618234977407446</v>
      </c>
      <c r="V267" s="205">
        <f t="shared" ca="1" si="240"/>
        <v>1.9370110588274405</v>
      </c>
      <c r="W267" s="205">
        <f t="shared" ca="1" si="238"/>
        <v>-2.5557242131599733</v>
      </c>
      <c r="X267" s="205">
        <f t="shared" ca="1" si="229"/>
        <v>-1.0690424367019897</v>
      </c>
      <c r="Y267" s="205">
        <f t="shared" ca="1" si="230"/>
        <v>1.2397320738600981</v>
      </c>
      <c r="Z267" s="205">
        <f t="shared" ca="1" si="231"/>
        <v>1.3182979044949077</v>
      </c>
      <c r="AA267" s="205">
        <f t="shared" ca="1" si="232"/>
        <v>1.218760632642506</v>
      </c>
      <c r="AB267" s="205">
        <f t="shared" ca="1" si="233"/>
        <v>0.13097820146951089</v>
      </c>
    </row>
    <row r="268" spans="5:28">
      <c r="E268" s="111">
        <f t="shared" si="239"/>
        <v>93</v>
      </c>
      <c r="F268" s="105">
        <f t="shared" si="234"/>
        <v>-59.983040830910838</v>
      </c>
      <c r="G268" s="105">
        <f t="shared" si="234"/>
        <v>-117.10596685700705</v>
      </c>
      <c r="H268" s="105">
        <f t="shared" si="234"/>
        <v>253.79819286035831</v>
      </c>
      <c r="I268" s="105">
        <f t="shared" si="234"/>
        <v>229.64668609119124</v>
      </c>
      <c r="J268" s="105">
        <f t="shared" si="235"/>
        <v>261.22030710674886</v>
      </c>
      <c r="K268" s="105">
        <f t="shared" si="235"/>
        <v>-496.55908963988213</v>
      </c>
      <c r="L268" s="105">
        <f t="shared" si="236"/>
        <v>5.2503626399446208</v>
      </c>
      <c r="N268" s="105">
        <f t="shared" si="221"/>
        <v>11.836181455083079</v>
      </c>
      <c r="O268" s="193">
        <f t="shared" si="237"/>
        <v>93</v>
      </c>
      <c r="P268" s="205">
        <f t="shared" ca="1" si="222"/>
        <v>-4.1542534177789765</v>
      </c>
      <c r="Q268" s="205">
        <f t="shared" ca="1" si="223"/>
        <v>-2.6156453563181996</v>
      </c>
      <c r="R268" s="205">
        <f t="shared" ca="1" si="224"/>
        <v>-0.25451907510713989</v>
      </c>
      <c r="S268" s="205">
        <f t="shared" ca="1" si="225"/>
        <v>-0.1761182590087732</v>
      </c>
      <c r="T268" s="205">
        <f t="shared" ca="1" si="226"/>
        <v>-0.27570060059550328</v>
      </c>
      <c r="U268" s="205">
        <f t="shared" ca="1" si="227"/>
        <v>-1.3810255727810572</v>
      </c>
      <c r="V268" s="205">
        <f t="shared" ca="1" si="240"/>
        <v>1.9890675793851016</v>
      </c>
      <c r="W268" s="205">
        <f t="shared" ca="1" si="238"/>
        <v>-2.661451718568721</v>
      </c>
      <c r="X268" s="205">
        <f t="shared" ca="1" si="229"/>
        <v>-1.1228436571079441</v>
      </c>
      <c r="Y268" s="205">
        <f t="shared" ca="1" si="230"/>
        <v>1.2382826241031157</v>
      </c>
      <c r="Z268" s="205">
        <f t="shared" ca="1" si="231"/>
        <v>1.3166834402014822</v>
      </c>
      <c r="AA268" s="205">
        <f t="shared" ca="1" si="232"/>
        <v>1.2171010986147524</v>
      </c>
      <c r="AB268" s="205">
        <f t="shared" ca="1" si="233"/>
        <v>0.11177612642919832</v>
      </c>
    </row>
    <row r="269" spans="5:28">
      <c r="E269" s="111">
        <f t="shared" si="239"/>
        <v>94</v>
      </c>
      <c r="F269" s="105">
        <f t="shared" si="234"/>
        <v>-58.037674455060397</v>
      </c>
      <c r="G269" s="105">
        <f t="shared" si="234"/>
        <v>-113.33199527770141</v>
      </c>
      <c r="H269" s="105">
        <f t="shared" si="234"/>
        <v>254.2926178158306</v>
      </c>
      <c r="I269" s="105">
        <f t="shared" si="234"/>
        <v>230.09758129923918</v>
      </c>
      <c r="J269" s="105">
        <f t="shared" si="235"/>
        <v>261.82019649723787</v>
      </c>
      <c r="K269" s="105">
        <f t="shared" si="235"/>
        <v>-472.73523600778566</v>
      </c>
      <c r="L269" s="105">
        <f t="shared" si="236"/>
        <v>5.0529562442511544</v>
      </c>
      <c r="N269" s="105">
        <f t="shared" si="221"/>
        <v>17.017581645293365</v>
      </c>
      <c r="O269" s="193">
        <f t="shared" si="237"/>
        <v>94</v>
      </c>
      <c r="P269" s="205">
        <f t="shared" ca="1" si="222"/>
        <v>-4.2599809231877241</v>
      </c>
      <c r="Q269" s="205">
        <f t="shared" ca="1" si="223"/>
        <v>-2.6694465767241522</v>
      </c>
      <c r="R269" s="205">
        <f t="shared" ca="1" si="224"/>
        <v>-0.25596852486412236</v>
      </c>
      <c r="S269" s="205">
        <f t="shared" ca="1" si="225"/>
        <v>-0.17773272330219847</v>
      </c>
      <c r="T269" s="205">
        <f t="shared" ca="1" si="226"/>
        <v>-0.27736013462325693</v>
      </c>
      <c r="U269" s="205">
        <f t="shared" ca="1" si="227"/>
        <v>-1.4002276478213702</v>
      </c>
      <c r="V269" s="205">
        <f t="shared" ca="1" si="240"/>
        <v>2.0411240999427629</v>
      </c>
      <c r="W269" s="205">
        <f t="shared" ca="1" si="238"/>
        <v>-2.7671792239774686</v>
      </c>
      <c r="X269" s="205">
        <f t="shared" ca="1" si="229"/>
        <v>-1.1766448775138967</v>
      </c>
      <c r="Y269" s="205">
        <f t="shared" ca="1" si="230"/>
        <v>1.2368331743461332</v>
      </c>
      <c r="Z269" s="205">
        <f t="shared" ca="1" si="231"/>
        <v>1.3150689759080572</v>
      </c>
      <c r="AA269" s="205">
        <f t="shared" ca="1" si="232"/>
        <v>1.2154415645869987</v>
      </c>
      <c r="AB269" s="205">
        <f t="shared" ca="1" si="233"/>
        <v>9.2574051388885303E-2</v>
      </c>
    </row>
    <row r="270" spans="5:28">
      <c r="E270" s="111">
        <f t="shared" si="239"/>
        <v>95</v>
      </c>
      <c r="F270" s="105">
        <f t="shared" si="234"/>
        <v>-56.21452825269688</v>
      </c>
      <c r="G270" s="105">
        <f t="shared" si="234"/>
        <v>-109.79367672181134</v>
      </c>
      <c r="H270" s="105">
        <f t="shared" si="234"/>
        <v>254.78897291263959</v>
      </c>
      <c r="I270" s="105">
        <f t="shared" si="234"/>
        <v>230.5502505929966</v>
      </c>
      <c r="J270" s="105">
        <f t="shared" si="235"/>
        <v>262.42284750774104</v>
      </c>
      <c r="K270" s="105">
        <f t="shared" si="235"/>
        <v>-451.09276056735257</v>
      </c>
      <c r="L270" s="105">
        <f t="shared" si="236"/>
        <v>4.8773969263268189</v>
      </c>
      <c r="N270" s="105">
        <f t="shared" si="221"/>
        <v>21.776850911919421</v>
      </c>
      <c r="O270" s="193">
        <f t="shared" si="237"/>
        <v>95</v>
      </c>
      <c r="P270" s="205">
        <f t="shared" ca="1" si="222"/>
        <v>-4.3657084285964718</v>
      </c>
      <c r="Q270" s="205">
        <f t="shared" ca="1" si="223"/>
        <v>-2.7232477971301061</v>
      </c>
      <c r="R270" s="205">
        <f t="shared" ca="1" si="224"/>
        <v>-0.25741797462110472</v>
      </c>
      <c r="S270" s="205">
        <f t="shared" ca="1" si="225"/>
        <v>-0.17934718759562374</v>
      </c>
      <c r="T270" s="205">
        <f t="shared" ca="1" si="226"/>
        <v>-0.2790196686510108</v>
      </c>
      <c r="U270" s="205">
        <f t="shared" ca="1" si="227"/>
        <v>-1.4194297228616835</v>
      </c>
      <c r="V270" s="205">
        <f t="shared" ca="1" si="240"/>
        <v>2.0931806205004242</v>
      </c>
      <c r="W270" s="205">
        <f t="shared" ca="1" si="238"/>
        <v>-2.8729067293862163</v>
      </c>
      <c r="X270" s="205">
        <f t="shared" ca="1" si="229"/>
        <v>-1.2304460979198506</v>
      </c>
      <c r="Y270" s="205">
        <f t="shared" ca="1" si="230"/>
        <v>1.2353837245891508</v>
      </c>
      <c r="Z270" s="205">
        <f t="shared" ca="1" si="231"/>
        <v>1.3134545116146317</v>
      </c>
      <c r="AA270" s="205">
        <f t="shared" ca="1" si="232"/>
        <v>1.2137820305592446</v>
      </c>
      <c r="AB270" s="205">
        <f t="shared" ca="1" si="233"/>
        <v>7.3371976348572066E-2</v>
      </c>
    </row>
    <row r="271" spans="5:28">
      <c r="E271" s="111">
        <f t="shared" si="239"/>
        <v>96</v>
      </c>
      <c r="F271" s="105">
        <f t="shared" si="234"/>
        <v>-54.502435057582119</v>
      </c>
      <c r="G271" s="105">
        <f t="shared" si="234"/>
        <v>-106.46960758123102</v>
      </c>
      <c r="H271" s="105">
        <f t="shared" si="234"/>
        <v>255.28726947524865</v>
      </c>
      <c r="I271" s="105">
        <f t="shared" si="234"/>
        <v>231.00470446354021</v>
      </c>
      <c r="J271" s="105">
        <f t="shared" si="235"/>
        <v>263.02827925213234</v>
      </c>
      <c r="K271" s="105">
        <f t="shared" si="235"/>
        <v>-431.34517938425881</v>
      </c>
      <c r="L271" s="105">
        <f t="shared" si="236"/>
        <v>4.7202481074964284</v>
      </c>
      <c r="N271" s="105">
        <f t="shared" ref="N271:N302" si="241">AVERAGE(F271:K271)</f>
        <v>26.167171861308191</v>
      </c>
      <c r="O271" s="193">
        <f t="shared" si="237"/>
        <v>96</v>
      </c>
      <c r="P271" s="205">
        <f t="shared" ref="P271:P302" ca="1" si="242">attn/F271-1</f>
        <v>-4.4714359340052194</v>
      </c>
      <c r="Q271" s="205">
        <f t="shared" ref="Q271:Q302" ca="1" si="243">attn/G271-1</f>
        <v>-2.7770490175360596</v>
      </c>
      <c r="R271" s="205">
        <f t="shared" ref="R271:R302" ca="1" si="244">attn/H271-1</f>
        <v>-0.25886742437808707</v>
      </c>
      <c r="S271" s="205">
        <f t="shared" ref="S271:S302" ca="1" si="245">attn/I271-1</f>
        <v>-0.180961651889049</v>
      </c>
      <c r="T271" s="205">
        <f t="shared" ref="T271:T302" ca="1" si="246">attn/J271-1</f>
        <v>-0.28067920267876456</v>
      </c>
      <c r="U271" s="205">
        <f t="shared" ref="U271:U302" ca="1" si="247">attn/K271-1</f>
        <v>-1.438631797901996</v>
      </c>
      <c r="V271" s="205">
        <f t="shared" ca="1" si="240"/>
        <v>2.1452371410580851</v>
      </c>
      <c r="W271" s="205">
        <f t="shared" ca="1" si="238"/>
        <v>-2.9786342347949639</v>
      </c>
      <c r="X271" s="205">
        <f t="shared" ca="1" si="229"/>
        <v>-1.2842473183258041</v>
      </c>
      <c r="Y271" s="205">
        <f t="shared" ca="1" si="230"/>
        <v>1.2339342748321684</v>
      </c>
      <c r="Z271" s="205">
        <f t="shared" ca="1" si="231"/>
        <v>1.3118400473212066</v>
      </c>
      <c r="AA271" s="205">
        <f t="shared" ca="1" si="232"/>
        <v>1.212122496531491</v>
      </c>
      <c r="AB271" s="205">
        <f t="shared" ca="1" si="233"/>
        <v>5.4169901308259494E-2</v>
      </c>
    </row>
    <row r="272" spans="5:28">
      <c r="E272" s="111">
        <f t="shared" si="239"/>
        <v>97</v>
      </c>
      <c r="F272" s="105">
        <f t="shared" si="234"/>
        <v>-52.891547941313121</v>
      </c>
      <c r="G272" s="105">
        <f t="shared" si="234"/>
        <v>-103.34090010679986</v>
      </c>
      <c r="H272" s="105">
        <f t="shared" si="234"/>
        <v>255.78751891688478</v>
      </c>
      <c r="I272" s="105">
        <f t="shared" si="234"/>
        <v>231.46095348482876</v>
      </c>
      <c r="J272" s="105">
        <f t="shared" si="235"/>
        <v>263.63651102108309</v>
      </c>
      <c r="K272" s="105">
        <f t="shared" si="235"/>
        <v>-413.25407037656521</v>
      </c>
      <c r="L272" s="105">
        <f t="shared" si="236"/>
        <v>4.578758071225308</v>
      </c>
      <c r="N272" s="105">
        <f t="shared" si="241"/>
        <v>30.233077499686392</v>
      </c>
      <c r="O272" s="193">
        <f t="shared" si="237"/>
        <v>97</v>
      </c>
      <c r="P272" s="205">
        <f t="shared" ca="1" si="242"/>
        <v>-4.5771634394139671</v>
      </c>
      <c r="Q272" s="205">
        <f t="shared" ca="1" si="243"/>
        <v>-2.8308502379420135</v>
      </c>
      <c r="R272" s="205">
        <f t="shared" ca="1" si="244"/>
        <v>-0.26031687413506943</v>
      </c>
      <c r="S272" s="205">
        <f t="shared" ca="1" si="245"/>
        <v>-0.18257611618247427</v>
      </c>
      <c r="T272" s="205">
        <f t="shared" ca="1" si="246"/>
        <v>-0.28233873670651832</v>
      </c>
      <c r="U272" s="205">
        <f t="shared" ca="1" si="247"/>
        <v>-1.457833872942309</v>
      </c>
      <c r="V272" s="205">
        <f t="shared" ca="1" si="240"/>
        <v>2.1972936616157464</v>
      </c>
      <c r="W272" s="205">
        <f t="shared" ca="1" si="238"/>
        <v>-3.0843617402037116</v>
      </c>
      <c r="X272" s="205">
        <f t="shared" ca="1" si="229"/>
        <v>-1.338048538731758</v>
      </c>
      <c r="Y272" s="205">
        <f t="shared" ca="1" si="230"/>
        <v>1.2324848250751861</v>
      </c>
      <c r="Z272" s="205">
        <f t="shared" ca="1" si="231"/>
        <v>1.3102255830277811</v>
      </c>
      <c r="AA272" s="205">
        <f t="shared" ca="1" si="232"/>
        <v>1.2104629625037373</v>
      </c>
      <c r="AB272" s="205">
        <f t="shared" ca="1" si="233"/>
        <v>3.4967826267946478E-2</v>
      </c>
    </row>
    <row r="273" spans="5:28">
      <c r="E273" s="111">
        <f t="shared" si="239"/>
        <v>98</v>
      </c>
      <c r="F273" s="105">
        <f t="shared" si="234"/>
        <v>-51.37315070804631</v>
      </c>
      <c r="G273" s="105">
        <f t="shared" si="234"/>
        <v>-100.39082330667411</v>
      </c>
      <c r="H273" s="105">
        <f t="shared" si="234"/>
        <v>256.28973274040993</v>
      </c>
      <c r="I273" s="105">
        <f t="shared" si="234"/>
        <v>231.91900831452341</v>
      </c>
      <c r="J273" s="105">
        <f t="shared" si="235"/>
        <v>264.2475622841107</v>
      </c>
      <c r="K273" s="105">
        <f t="shared" si="235"/>
        <v>-396.61940017268637</v>
      </c>
      <c r="L273" s="105">
        <f t="shared" si="236"/>
        <v>4.4506974551836569</v>
      </c>
      <c r="N273" s="105">
        <f t="shared" si="241"/>
        <v>34.012154858606209</v>
      </c>
      <c r="O273" s="193">
        <f t="shared" si="237"/>
        <v>98</v>
      </c>
      <c r="P273" s="205">
        <f t="shared" ca="1" si="242"/>
        <v>-4.6828909448227147</v>
      </c>
      <c r="Q273" s="205">
        <f t="shared" ca="1" si="243"/>
        <v>-2.8846514583479665</v>
      </c>
      <c r="R273" s="205">
        <f t="shared" ca="1" si="244"/>
        <v>-0.26176632389205179</v>
      </c>
      <c r="S273" s="205">
        <f t="shared" ca="1" si="245"/>
        <v>-0.18419058047589942</v>
      </c>
      <c r="T273" s="205">
        <f t="shared" ca="1" si="246"/>
        <v>-0.2839982707342722</v>
      </c>
      <c r="U273" s="205">
        <f t="shared" ca="1" si="247"/>
        <v>-1.4770359479826221</v>
      </c>
      <c r="V273" s="205">
        <f t="shared" ca="1" si="240"/>
        <v>2.2493501821734077</v>
      </c>
      <c r="W273" s="205">
        <f t="shared" ca="1" si="238"/>
        <v>-3.1900892456124592</v>
      </c>
      <c r="X273" s="205">
        <f t="shared" ca="1" si="229"/>
        <v>-1.391849759137711</v>
      </c>
      <c r="Y273" s="205">
        <f t="shared" ca="1" si="230"/>
        <v>1.2310353753182037</v>
      </c>
      <c r="Z273" s="205">
        <f t="shared" ca="1" si="231"/>
        <v>1.3086111187343561</v>
      </c>
      <c r="AA273" s="205">
        <f t="shared" ca="1" si="232"/>
        <v>1.2088034284759832</v>
      </c>
      <c r="AB273" s="205">
        <f t="shared" ca="1" si="233"/>
        <v>1.5765751227633462E-2</v>
      </c>
    </row>
    <row r="274" spans="5:28">
      <c r="E274" s="111">
        <f t="shared" si="239"/>
        <v>99</v>
      </c>
      <c r="F274" s="105">
        <f t="shared" si="234"/>
        <v>-49.93950011992294</v>
      </c>
      <c r="G274" s="105">
        <f t="shared" si="234"/>
        <v>-97.604503645298877</v>
      </c>
      <c r="H274" s="105">
        <f t="shared" si="234"/>
        <v>256.79392253920281</v>
      </c>
      <c r="I274" s="105">
        <f t="shared" si="234"/>
        <v>232.3788796948175</v>
      </c>
      <c r="J274" s="105">
        <f t="shared" si="235"/>
        <v>264.86145269165604</v>
      </c>
      <c r="K274" s="105">
        <f t="shared" si="235"/>
        <v>-381.27209679966836</v>
      </c>
      <c r="L274" s="105">
        <f t="shared" si="236"/>
        <v>4.3342409197777894</v>
      </c>
      <c r="N274" s="105">
        <f t="shared" si="241"/>
        <v>37.536359060131041</v>
      </c>
      <c r="O274" s="193">
        <f t="shared" si="237"/>
        <v>99</v>
      </c>
      <c r="P274" s="205">
        <f t="shared" ca="1" si="242"/>
        <v>-4.7886184502314624</v>
      </c>
      <c r="Q274" s="205">
        <f t="shared" ca="1" si="243"/>
        <v>-2.9384526787539205</v>
      </c>
      <c r="R274" s="205">
        <f t="shared" ca="1" si="244"/>
        <v>-0.26321577364903415</v>
      </c>
      <c r="S274" s="205">
        <f t="shared" ca="1" si="245"/>
        <v>-0.1858050447693248</v>
      </c>
      <c r="T274" s="205">
        <f t="shared" ca="1" si="246"/>
        <v>-0.28565780476202596</v>
      </c>
      <c r="U274" s="205">
        <f t="shared" ca="1" si="247"/>
        <v>-1.4962380230229346</v>
      </c>
      <c r="V274" s="205">
        <f t="shared" ca="1" si="240"/>
        <v>2.301406702731069</v>
      </c>
      <c r="W274" s="205">
        <f t="shared" ca="1" si="238"/>
        <v>-3.2958167510212069</v>
      </c>
      <c r="X274" s="205">
        <f t="shared" ca="1" si="229"/>
        <v>-1.4456509795436649</v>
      </c>
      <c r="Y274" s="205">
        <f t="shared" ca="1" si="230"/>
        <v>1.2295859255612214</v>
      </c>
      <c r="Z274" s="205">
        <f t="shared" ca="1" si="231"/>
        <v>1.3069966544409306</v>
      </c>
      <c r="AA274" s="205">
        <f t="shared" ca="1" si="232"/>
        <v>1.2071438944482296</v>
      </c>
      <c r="AB274" s="205">
        <f t="shared" ca="1" si="233"/>
        <v>-3.4363238126791096E-3</v>
      </c>
    </row>
    <row r="275" spans="5:28">
      <c r="E275" s="111">
        <f t="shared" si="239"/>
        <v>100</v>
      </c>
      <c r="F275" s="105">
        <f t="shared" si="234"/>
        <v>-48.583693823003635</v>
      </c>
      <c r="G275" s="105">
        <f t="shared" si="234"/>
        <v>-94.968674238490408</v>
      </c>
      <c r="H275" s="105">
        <f t="shared" si="234"/>
        <v>257.30009999805094</v>
      </c>
      <c r="I275" s="105">
        <f t="shared" si="234"/>
        <v>232.84057845327612</v>
      </c>
      <c r="J275" s="105">
        <f t="shared" si="235"/>
        <v>265.47820207718996</v>
      </c>
      <c r="K275" s="105">
        <f t="shared" si="235"/>
        <v>-367.06828254262081</v>
      </c>
      <c r="L275" s="105">
        <f t="shared" si="236"/>
        <v>4.2278795898920061</v>
      </c>
      <c r="N275" s="105">
        <f t="shared" si="241"/>
        <v>40.833038320733699</v>
      </c>
      <c r="O275" s="193">
        <f t="shared" si="237"/>
        <v>100</v>
      </c>
      <c r="P275" s="205">
        <f t="shared" ca="1" si="242"/>
        <v>-4.8943459556402082</v>
      </c>
      <c r="Q275" s="205">
        <f t="shared" ca="1" si="243"/>
        <v>-2.9922538991598739</v>
      </c>
      <c r="R275" s="205">
        <f t="shared" ca="1" si="244"/>
        <v>-0.2646652234060165</v>
      </c>
      <c r="S275" s="205">
        <f t="shared" ca="1" si="245"/>
        <v>-0.18741950906274996</v>
      </c>
      <c r="T275" s="205">
        <f t="shared" ca="1" si="246"/>
        <v>-0.28731733878977961</v>
      </c>
      <c r="U275" s="205">
        <f t="shared" ca="1" si="247"/>
        <v>-1.5154400980632476</v>
      </c>
      <c r="V275" s="205">
        <f t="shared" ca="1" si="240"/>
        <v>2.3534632232887294</v>
      </c>
      <c r="W275" s="205">
        <f t="shared" ca="1" si="238"/>
        <v>-3.4015442564299527</v>
      </c>
      <c r="X275" s="205">
        <f t="shared" ca="1" si="229"/>
        <v>-1.4994521999496184</v>
      </c>
      <c r="Y275" s="205">
        <f t="shared" ca="1" si="230"/>
        <v>1.228136475804239</v>
      </c>
      <c r="Z275" s="205">
        <f t="shared" ca="1" si="231"/>
        <v>1.3053821901475056</v>
      </c>
      <c r="AA275" s="205">
        <f t="shared" ca="1" si="232"/>
        <v>1.2054843604204759</v>
      </c>
      <c r="AB275" s="205">
        <f t="shared" ca="1" si="233"/>
        <v>-2.2638398852992125E-2</v>
      </c>
    </row>
    <row r="276" spans="5:28">
      <c r="E276" s="111">
        <f t="shared" si="239"/>
        <v>101</v>
      </c>
      <c r="F276" s="105">
        <f t="shared" si="234"/>
        <v>-47.299559218610256</v>
      </c>
      <c r="G276" s="105">
        <f t="shared" si="234"/>
        <v>-92.471463618157557</v>
      </c>
      <c r="H276" s="105">
        <f t="shared" si="234"/>
        <v>257.80827689405328</v>
      </c>
      <c r="I276" s="105">
        <f t="shared" si="234"/>
        <v>233.30411550368623</v>
      </c>
      <c r="J276" s="105">
        <f t="shared" si="235"/>
        <v>266.09783045934938</v>
      </c>
      <c r="K276" s="105">
        <f t="shared" si="235"/>
        <v>-353.88474959125193</v>
      </c>
      <c r="L276" s="105">
        <f t="shared" si="236"/>
        <v>4.1303553210380075</v>
      </c>
      <c r="N276" s="105">
        <f t="shared" si="241"/>
        <v>43.925741738178196</v>
      </c>
      <c r="O276" s="193">
        <f t="shared" si="237"/>
        <v>101</v>
      </c>
      <c r="P276" s="205">
        <f t="shared" ca="1" si="242"/>
        <v>-5.0000734610489559</v>
      </c>
      <c r="Q276" s="205">
        <f t="shared" ca="1" si="243"/>
        <v>-3.046055119565827</v>
      </c>
      <c r="R276" s="205">
        <f t="shared" ca="1" si="244"/>
        <v>-0.26611467316299886</v>
      </c>
      <c r="S276" s="205">
        <f t="shared" ca="1" si="245"/>
        <v>-0.18903397335617522</v>
      </c>
      <c r="T276" s="205">
        <f t="shared" ca="1" si="246"/>
        <v>-0.28897687281753348</v>
      </c>
      <c r="U276" s="205">
        <f t="shared" ca="1" si="247"/>
        <v>-1.5346421731035607</v>
      </c>
      <c r="V276" s="205">
        <f t="shared" ca="1" si="240"/>
        <v>2.4055197438463902</v>
      </c>
      <c r="W276" s="205">
        <f t="shared" ca="1" si="238"/>
        <v>-3.5072717618387004</v>
      </c>
      <c r="X276" s="205">
        <f t="shared" ca="1" si="229"/>
        <v>-1.5532534203555715</v>
      </c>
      <c r="Y276" s="205">
        <f t="shared" ca="1" si="230"/>
        <v>1.2266870260472567</v>
      </c>
      <c r="Z276" s="205">
        <f t="shared" ca="1" si="231"/>
        <v>1.3037677258540803</v>
      </c>
      <c r="AA276" s="205">
        <f t="shared" ca="1" si="232"/>
        <v>1.203824826392722</v>
      </c>
      <c r="AB276" s="205">
        <f t="shared" ca="1" si="233"/>
        <v>-4.1840473893305141E-2</v>
      </c>
    </row>
    <row r="277" spans="5:28">
      <c r="E277" s="111">
        <f t="shared" si="239"/>
        <v>102</v>
      </c>
      <c r="F277" s="105">
        <f t="shared" si="234"/>
        <v>-46.081559504554093</v>
      </c>
      <c r="G277" s="105">
        <f t="shared" si="234"/>
        <v>-90.102216969861374</v>
      </c>
      <c r="H277" s="105">
        <f t="shared" si="234"/>
        <v>258.31846509753376</v>
      </c>
      <c r="I277" s="105">
        <f t="shared" si="234"/>
        <v>233.7695018469164</v>
      </c>
      <c r="J277" s="105">
        <f t="shared" si="235"/>
        <v>266.72035804410297</v>
      </c>
      <c r="K277" s="105">
        <f t="shared" si="235"/>
        <v>-341.61537685686505</v>
      </c>
      <c r="L277" s="105">
        <f t="shared" si="236"/>
        <v>4.0406106965419104</v>
      </c>
      <c r="N277" s="105">
        <f t="shared" si="241"/>
        <v>46.834861942878753</v>
      </c>
      <c r="O277" s="193">
        <f t="shared" si="237"/>
        <v>102</v>
      </c>
      <c r="P277" s="205">
        <f t="shared" ca="1" si="242"/>
        <v>-5.1058009664577035</v>
      </c>
      <c r="Q277" s="205">
        <f t="shared" ca="1" si="243"/>
        <v>-3.0998563399717809</v>
      </c>
      <c r="R277" s="205">
        <f t="shared" ca="1" si="244"/>
        <v>-0.26756412291998111</v>
      </c>
      <c r="S277" s="205">
        <f t="shared" ca="1" si="245"/>
        <v>-0.19064843764960049</v>
      </c>
      <c r="T277" s="205">
        <f t="shared" ca="1" si="246"/>
        <v>-0.29063640684528713</v>
      </c>
      <c r="U277" s="205">
        <f t="shared" ca="1" si="247"/>
        <v>-1.5538442481438732</v>
      </c>
      <c r="V277" s="205">
        <f t="shared" ca="1" si="240"/>
        <v>2.4575762644040515</v>
      </c>
      <c r="W277" s="205">
        <f t="shared" ca="1" si="238"/>
        <v>-3.612999267247448</v>
      </c>
      <c r="X277" s="205">
        <f t="shared" ca="1" si="229"/>
        <v>-1.6070546407615254</v>
      </c>
      <c r="Y277" s="205">
        <f t="shared" ca="1" si="230"/>
        <v>1.2252375762902745</v>
      </c>
      <c r="Z277" s="205">
        <f t="shared" ca="1" si="231"/>
        <v>1.302153261560655</v>
      </c>
      <c r="AA277" s="205">
        <f t="shared" ca="1" si="232"/>
        <v>1.2021652923649684</v>
      </c>
      <c r="AB277" s="205">
        <f t="shared" ca="1" si="233"/>
        <v>-6.1042548933617713E-2</v>
      </c>
    </row>
    <row r="278" spans="5:28">
      <c r="E278" s="111">
        <f t="shared" si="239"/>
        <v>103</v>
      </c>
      <c r="F278" s="105">
        <f t="shared" si="234"/>
        <v>-44.924713868983197</v>
      </c>
      <c r="G278" s="105">
        <f t="shared" si="234"/>
        <v>-87.85134416471108</v>
      </c>
      <c r="H278" s="105">
        <f t="shared" si="234"/>
        <v>258.8306765729655</v>
      </c>
      <c r="I278" s="105">
        <f t="shared" si="234"/>
        <v>234.23674857178707</v>
      </c>
      <c r="J278" s="105">
        <f t="shared" si="235"/>
        <v>267.3458052269479</v>
      </c>
      <c r="K278" s="105">
        <f t="shared" si="235"/>
        <v>-330.16826719759592</v>
      </c>
      <c r="L278" s="105">
        <f t="shared" si="236"/>
        <v>3.9577505321292343</v>
      </c>
      <c r="N278" s="105">
        <f t="shared" si="241"/>
        <v>49.578150856735043</v>
      </c>
      <c r="O278" s="193">
        <f t="shared" si="237"/>
        <v>103</v>
      </c>
      <c r="P278" s="205">
        <f t="shared" ca="1" si="242"/>
        <v>-5.2115284718664512</v>
      </c>
      <c r="Q278" s="205">
        <f t="shared" ca="1" si="243"/>
        <v>-3.1536575603777344</v>
      </c>
      <c r="R278" s="205">
        <f t="shared" ca="1" si="244"/>
        <v>-0.26901357267696357</v>
      </c>
      <c r="S278" s="205">
        <f t="shared" ca="1" si="245"/>
        <v>-0.19226290194302575</v>
      </c>
      <c r="T278" s="205">
        <f t="shared" ca="1" si="246"/>
        <v>-0.292295940873041</v>
      </c>
      <c r="U278" s="205">
        <f t="shared" ca="1" si="247"/>
        <v>-1.5730463231841865</v>
      </c>
      <c r="V278" s="205">
        <f t="shared" ca="1" si="240"/>
        <v>2.5096327849617128</v>
      </c>
      <c r="W278" s="205">
        <f t="shared" ca="1" si="238"/>
        <v>-3.7187267726561957</v>
      </c>
      <c r="X278" s="205">
        <f t="shared" ca="1" si="229"/>
        <v>-1.6608558611674789</v>
      </c>
      <c r="Y278" s="205">
        <f t="shared" ca="1" si="230"/>
        <v>1.2237881265332919</v>
      </c>
      <c r="Z278" s="205">
        <f t="shared" ca="1" si="231"/>
        <v>1.3005387972672298</v>
      </c>
      <c r="AA278" s="205">
        <f t="shared" ca="1" si="232"/>
        <v>1.2005057583372145</v>
      </c>
      <c r="AB278" s="205">
        <f t="shared" ca="1" si="233"/>
        <v>-8.0244623973930951E-2</v>
      </c>
    </row>
    <row r="279" spans="5:28">
      <c r="E279" s="111">
        <f t="shared" si="239"/>
        <v>104</v>
      </c>
      <c r="F279" s="105">
        <f t="shared" si="234"/>
        <v>-43.824529410713673</v>
      </c>
      <c r="G279" s="105">
        <f t="shared" si="234"/>
        <v>-85.710190014287065</v>
      </c>
      <c r="H279" s="105">
        <f t="shared" si="234"/>
        <v>259.34492337990582</v>
      </c>
      <c r="I279" s="105">
        <f t="shared" si="234"/>
        <v>234.7058668559514</v>
      </c>
      <c r="J279" s="105">
        <f t="shared" si="235"/>
        <v>267.97419259513686</v>
      </c>
      <c r="K279" s="105">
        <f t="shared" si="235"/>
        <v>-319.4634415506805</v>
      </c>
      <c r="L279" s="105">
        <f t="shared" si="236"/>
        <v>3.8810119124047482</v>
      </c>
      <c r="N279" s="105">
        <f t="shared" si="241"/>
        <v>52.171136975885474</v>
      </c>
      <c r="O279" s="193">
        <f t="shared" si="237"/>
        <v>104</v>
      </c>
      <c r="P279" s="205">
        <f t="shared" ca="1" si="242"/>
        <v>-5.3172559772751997</v>
      </c>
      <c r="Q279" s="205">
        <f t="shared" ca="1" si="243"/>
        <v>-3.2074587807836883</v>
      </c>
      <c r="R279" s="205">
        <f t="shared" ca="1" si="244"/>
        <v>-0.27046302243394582</v>
      </c>
      <c r="S279" s="205">
        <f t="shared" ca="1" si="245"/>
        <v>-0.19387736623645102</v>
      </c>
      <c r="T279" s="205">
        <f t="shared" ca="1" si="246"/>
        <v>-0.29395547490079466</v>
      </c>
      <c r="U279" s="205">
        <f t="shared" ca="1" si="247"/>
        <v>-1.592248398224499</v>
      </c>
      <c r="V279" s="205">
        <f t="shared" ca="1" si="240"/>
        <v>2.5616893055193746</v>
      </c>
      <c r="W279" s="205">
        <f t="shared" ca="1" si="238"/>
        <v>-3.8244542780649442</v>
      </c>
      <c r="X279" s="205">
        <f t="shared" ca="1" si="229"/>
        <v>-1.7146570815734328</v>
      </c>
      <c r="Y279" s="205">
        <f t="shared" ca="1" si="230"/>
        <v>1.2223386767763098</v>
      </c>
      <c r="Z279" s="205">
        <f t="shared" ca="1" si="231"/>
        <v>1.2989243329738045</v>
      </c>
      <c r="AA279" s="205">
        <f t="shared" ca="1" si="232"/>
        <v>1.1988462243094609</v>
      </c>
      <c r="AB279" s="205">
        <f t="shared" ca="1" si="233"/>
        <v>-9.9446699014243523E-2</v>
      </c>
    </row>
    <row r="280" spans="5:28">
      <c r="E280" s="111">
        <f t="shared" si="239"/>
        <v>105</v>
      </c>
      <c r="F280" s="105">
        <f t="shared" si="234"/>
        <v>-42.776942823866328</v>
      </c>
      <c r="G280" s="105">
        <f t="shared" si="234"/>
        <v>-83.670923047388627</v>
      </c>
      <c r="H280" s="105">
        <f t="shared" si="234"/>
        <v>259.86121767394326</v>
      </c>
      <c r="I280" s="105">
        <f t="shared" si="234"/>
        <v>235.17686796678655</v>
      </c>
      <c r="J280" s="105">
        <f t="shared" si="235"/>
        <v>268.60554092993749</v>
      </c>
      <c r="K280" s="105">
        <f t="shared" si="235"/>
        <v>-309.43096754744897</v>
      </c>
      <c r="L280" s="105">
        <f t="shared" si="236"/>
        <v>3.8097406316977955</v>
      </c>
      <c r="N280" s="105">
        <f t="shared" si="241"/>
        <v>54.627465525327239</v>
      </c>
      <c r="O280" s="193">
        <f t="shared" si="237"/>
        <v>105</v>
      </c>
      <c r="P280" s="205">
        <f t="shared" ca="1" si="242"/>
        <v>-5.4229834826839474</v>
      </c>
      <c r="Q280" s="205">
        <f t="shared" ca="1" si="243"/>
        <v>-3.2612600011896413</v>
      </c>
      <c r="R280" s="205">
        <f t="shared" ca="1" si="244"/>
        <v>-0.27191247219092829</v>
      </c>
      <c r="S280" s="205">
        <f t="shared" ca="1" si="245"/>
        <v>-0.1954918305298764</v>
      </c>
      <c r="T280" s="205">
        <f t="shared" ca="1" si="246"/>
        <v>-0.29561500892854864</v>
      </c>
      <c r="U280" s="205">
        <f t="shared" ca="1" si="247"/>
        <v>-1.6114504732648121</v>
      </c>
      <c r="V280" s="205">
        <f t="shared" ca="1" si="240"/>
        <v>2.6137458260770354</v>
      </c>
      <c r="W280" s="205">
        <f t="shared" ca="1" si="238"/>
        <v>-3.9301817834736918</v>
      </c>
      <c r="X280" s="205">
        <f t="shared" ca="1" si="229"/>
        <v>-1.7684583019793858</v>
      </c>
      <c r="Y280" s="205">
        <f t="shared" ca="1" si="230"/>
        <v>1.2208892270193272</v>
      </c>
      <c r="Z280" s="205">
        <f t="shared" ca="1" si="231"/>
        <v>1.297309868680379</v>
      </c>
      <c r="AA280" s="205">
        <f t="shared" ca="1" si="232"/>
        <v>1.1971866902817068</v>
      </c>
      <c r="AB280" s="205">
        <f t="shared" ca="1" si="233"/>
        <v>-0.11864877405455654</v>
      </c>
    </row>
    <row r="281" spans="5:28">
      <c r="E281" s="111">
        <f t="shared" si="239"/>
        <v>106</v>
      </c>
      <c r="F281" s="105">
        <f t="shared" si="234"/>
        <v>-41.778270251103017</v>
      </c>
      <c r="G281" s="105">
        <f t="shared" si="234"/>
        <v>-81.726439795520434</v>
      </c>
      <c r="H281" s="105">
        <f t="shared" si="234"/>
        <v>260.37957170765469</v>
      </c>
      <c r="I281" s="105">
        <f t="shared" si="234"/>
        <v>235.64976326229566</v>
      </c>
      <c r="J281" s="105">
        <f t="shared" si="235"/>
        <v>269.23987120892252</v>
      </c>
      <c r="K281" s="105">
        <f t="shared" si="235"/>
        <v>-300.00943000730723</v>
      </c>
      <c r="L281" s="105">
        <f t="shared" si="236"/>
        <v>3.7433724972019093</v>
      </c>
      <c r="N281" s="105">
        <f t="shared" si="241"/>
        <v>56.95917768749036</v>
      </c>
      <c r="O281" s="193">
        <f t="shared" si="237"/>
        <v>106</v>
      </c>
      <c r="P281" s="205">
        <f t="shared" ca="1" si="242"/>
        <v>-5.528710988092695</v>
      </c>
      <c r="Q281" s="205">
        <f t="shared" ca="1" si="243"/>
        <v>-3.3150612215955952</v>
      </c>
      <c r="R281" s="205">
        <f t="shared" ca="1" si="244"/>
        <v>-0.27336192194791065</v>
      </c>
      <c r="S281" s="205">
        <f t="shared" ca="1" si="245"/>
        <v>-0.19710629482330155</v>
      </c>
      <c r="T281" s="205">
        <f t="shared" ca="1" si="246"/>
        <v>-0.29727454295630229</v>
      </c>
      <c r="U281" s="205">
        <f t="shared" ca="1" si="247"/>
        <v>-1.6306525483051253</v>
      </c>
      <c r="V281" s="205">
        <f t="shared" ca="1" si="240"/>
        <v>2.6658023466346967</v>
      </c>
      <c r="W281" s="205">
        <f t="shared" ca="1" si="238"/>
        <v>-4.0359092888824399</v>
      </c>
      <c r="X281" s="205">
        <f t="shared" ca="1" si="229"/>
        <v>-1.8222595223853397</v>
      </c>
      <c r="Y281" s="205">
        <f t="shared" ca="1" si="230"/>
        <v>1.2194397772623449</v>
      </c>
      <c r="Z281" s="205">
        <f t="shared" ca="1" si="231"/>
        <v>1.295695404386954</v>
      </c>
      <c r="AA281" s="205">
        <f t="shared" ca="1" si="232"/>
        <v>1.1955271562539531</v>
      </c>
      <c r="AB281" s="205">
        <f t="shared" ca="1" si="233"/>
        <v>-0.13785084909486978</v>
      </c>
    </row>
    <row r="282" spans="5:28">
      <c r="E282" s="111">
        <f t="shared" si="239"/>
        <v>107</v>
      </c>
      <c r="F282" s="105">
        <f t="shared" si="234"/>
        <v>-40.82516400098546</v>
      </c>
      <c r="G282" s="105">
        <f t="shared" si="234"/>
        <v>-79.870282121494611</v>
      </c>
      <c r="H282" s="105">
        <f t="shared" si="234"/>
        <v>260.89999783157521</v>
      </c>
      <c r="I282" s="105">
        <f t="shared" si="234"/>
        <v>236.12456419202113</v>
      </c>
      <c r="J282" s="105">
        <f t="shared" si="235"/>
        <v>269.87720460829399</v>
      </c>
      <c r="K282" s="105">
        <f t="shared" si="235"/>
        <v>-291.14467259718799</v>
      </c>
      <c r="L282" s="105">
        <f t="shared" si="236"/>
        <v>3.6814183625766272</v>
      </c>
      <c r="N282" s="105">
        <f t="shared" si="241"/>
        <v>59.176941318703712</v>
      </c>
      <c r="O282" s="193">
        <f t="shared" si="237"/>
        <v>107</v>
      </c>
      <c r="P282" s="205">
        <f t="shared" ca="1" si="242"/>
        <v>-5.6344384935014427</v>
      </c>
      <c r="Q282" s="205">
        <f t="shared" ca="1" si="243"/>
        <v>-3.3688624420015492</v>
      </c>
      <c r="R282" s="205">
        <f t="shared" ca="1" si="244"/>
        <v>-0.27481137170489311</v>
      </c>
      <c r="S282" s="205">
        <f t="shared" ca="1" si="245"/>
        <v>-0.19872075911672682</v>
      </c>
      <c r="T282" s="205">
        <f t="shared" ca="1" si="246"/>
        <v>-0.29893407698405605</v>
      </c>
      <c r="U282" s="205">
        <f t="shared" ca="1" si="247"/>
        <v>-1.6498546233454379</v>
      </c>
      <c r="V282" s="205">
        <f t="shared" ca="1" si="240"/>
        <v>2.717858867192358</v>
      </c>
      <c r="W282" s="205">
        <f t="shared" ca="1" si="238"/>
        <v>-4.1416367942911876</v>
      </c>
      <c r="X282" s="205">
        <f t="shared" ca="1" si="229"/>
        <v>-1.8760607427912936</v>
      </c>
      <c r="Y282" s="205">
        <f t="shared" ca="1" si="230"/>
        <v>1.2179903275053623</v>
      </c>
      <c r="Z282" s="205">
        <f t="shared" ca="1" si="231"/>
        <v>1.2940809400935287</v>
      </c>
      <c r="AA282" s="205">
        <f t="shared" ca="1" si="232"/>
        <v>1.1938676222261995</v>
      </c>
      <c r="AB282" s="205">
        <f t="shared" ca="1" si="233"/>
        <v>-0.15705292413518235</v>
      </c>
    </row>
    <row r="283" spans="5:28">
      <c r="E283" s="111">
        <f t="shared" si="239"/>
        <v>108</v>
      </c>
      <c r="F283" s="105">
        <f t="shared" si="234"/>
        <v>-39.914575057746013</v>
      </c>
      <c r="G283" s="105">
        <f t="shared" si="234"/>
        <v>-78.096565563566003</v>
      </c>
      <c r="H283" s="105">
        <f t="shared" si="234"/>
        <v>261.42250849517853</v>
      </c>
      <c r="I283" s="105">
        <f t="shared" si="234"/>
        <v>236.60128229796831</v>
      </c>
      <c r="J283" s="105">
        <f t="shared" si="235"/>
        <v>270.5175625052392</v>
      </c>
      <c r="K283" s="105">
        <f t="shared" si="235"/>
        <v>-282.78875617891265</v>
      </c>
      <c r="L283" s="105">
        <f t="shared" si="236"/>
        <v>3.6234520515916189</v>
      </c>
      <c r="N283" s="105">
        <f t="shared" si="241"/>
        <v>61.290242749693562</v>
      </c>
      <c r="O283" s="193">
        <f t="shared" si="237"/>
        <v>108</v>
      </c>
      <c r="P283" s="205">
        <f t="shared" ca="1" si="242"/>
        <v>-5.7401659989101903</v>
      </c>
      <c r="Q283" s="205">
        <f t="shared" ca="1" si="243"/>
        <v>-3.4226636624075018</v>
      </c>
      <c r="R283" s="205">
        <f t="shared" ca="1" si="244"/>
        <v>-0.27626082146187547</v>
      </c>
      <c r="S283" s="205">
        <f t="shared" ca="1" si="245"/>
        <v>-0.20033522341015197</v>
      </c>
      <c r="T283" s="205">
        <f t="shared" ca="1" si="246"/>
        <v>-0.30059361101180981</v>
      </c>
      <c r="U283" s="205">
        <f t="shared" ca="1" si="247"/>
        <v>-1.6690566983857509</v>
      </c>
      <c r="V283" s="205">
        <f t="shared" ca="1" si="240"/>
        <v>2.7699153877500193</v>
      </c>
      <c r="W283" s="205">
        <f t="shared" ca="1" si="238"/>
        <v>-4.2473642996999352</v>
      </c>
      <c r="X283" s="205">
        <f t="shared" ca="1" si="229"/>
        <v>-1.9298619631972462</v>
      </c>
      <c r="Y283" s="205">
        <f t="shared" ca="1" si="230"/>
        <v>1.2165408777483799</v>
      </c>
      <c r="Z283" s="205">
        <f t="shared" ca="1" si="231"/>
        <v>1.2924664758001034</v>
      </c>
      <c r="AA283" s="205">
        <f t="shared" ca="1" si="232"/>
        <v>1.1922080881984458</v>
      </c>
      <c r="AB283" s="205">
        <f t="shared" ca="1" si="233"/>
        <v>-0.17625499917549536</v>
      </c>
    </row>
    <row r="284" spans="5:28">
      <c r="E284" s="111">
        <f t="shared" si="239"/>
        <v>109</v>
      </c>
      <c r="F284" s="105">
        <f t="shared" si="234"/>
        <v>-39.043720498820079</v>
      </c>
      <c r="G284" s="105">
        <f t="shared" si="234"/>
        <v>-76.39991701991292</v>
      </c>
      <c r="H284" s="105">
        <f t="shared" si="234"/>
        <v>261.9471162478701</v>
      </c>
      <c r="I284" s="105">
        <f t="shared" si="234"/>
        <v>237.07992921554114</v>
      </c>
      <c r="J284" s="105">
        <f t="shared" si="235"/>
        <v>271.16096648032112</v>
      </c>
      <c r="K284" s="105">
        <f t="shared" si="235"/>
        <v>-274.89909152607606</v>
      </c>
      <c r="L284" s="105">
        <f t="shared" si="236"/>
        <v>3.5691005410287397</v>
      </c>
      <c r="N284" s="105">
        <f t="shared" si="241"/>
        <v>63.30754714982055</v>
      </c>
      <c r="O284" s="193">
        <f t="shared" si="237"/>
        <v>109</v>
      </c>
      <c r="P284" s="205">
        <f t="shared" ca="1" si="242"/>
        <v>-5.8458935043189379</v>
      </c>
      <c r="Q284" s="205">
        <f t="shared" ca="1" si="243"/>
        <v>-3.4764648828134557</v>
      </c>
      <c r="R284" s="205">
        <f t="shared" ca="1" si="244"/>
        <v>-0.27771027121885794</v>
      </c>
      <c r="S284" s="205">
        <f t="shared" ca="1" si="245"/>
        <v>-0.20194968770357735</v>
      </c>
      <c r="T284" s="205">
        <f t="shared" ca="1" si="246"/>
        <v>-0.30225314503956358</v>
      </c>
      <c r="U284" s="205">
        <f t="shared" ca="1" si="247"/>
        <v>-1.6882587734260639</v>
      </c>
      <c r="V284" s="205">
        <f t="shared" ca="1" si="240"/>
        <v>2.8219719083076802</v>
      </c>
      <c r="W284" s="205">
        <f t="shared" ca="1" si="238"/>
        <v>-4.3530918051086829</v>
      </c>
      <c r="X284" s="205">
        <f t="shared" ca="1" si="229"/>
        <v>-1.9836631836032002</v>
      </c>
      <c r="Y284" s="205">
        <f t="shared" ca="1" si="230"/>
        <v>1.2150914279913976</v>
      </c>
      <c r="Z284" s="205">
        <f t="shared" ca="1" si="231"/>
        <v>1.2908520115066782</v>
      </c>
      <c r="AA284" s="205">
        <f t="shared" ca="1" si="232"/>
        <v>1.1905485541706919</v>
      </c>
      <c r="AB284" s="205">
        <f t="shared" ca="1" si="233"/>
        <v>-0.19545707421580838</v>
      </c>
    </row>
    <row r="285" spans="5:28">
      <c r="E285" s="111">
        <f t="shared" si="239"/>
        <v>110</v>
      </c>
      <c r="F285" s="105">
        <f t="shared" si="234"/>
        <v>-38.210055086603148</v>
      </c>
      <c r="G285" s="105">
        <f t="shared" si="234"/>
        <v>-74.775420383233083</v>
      </c>
      <c r="H285" s="105">
        <f t="shared" si="234"/>
        <v>262.47383373999151</v>
      </c>
      <c r="I285" s="105">
        <f t="shared" si="234"/>
        <v>237.56051667448841</v>
      </c>
      <c r="J285" s="105">
        <f t="shared" si="235"/>
        <v>271.80743831990259</v>
      </c>
      <c r="K285" s="105">
        <f t="shared" si="235"/>
        <v>-267.43771328098956</v>
      </c>
      <c r="L285" s="105">
        <f t="shared" si="236"/>
        <v>3.5180359246438333</v>
      </c>
      <c r="N285" s="105">
        <f t="shared" si="241"/>
        <v>65.236433330592789</v>
      </c>
      <c r="O285" s="193">
        <f t="shared" si="237"/>
        <v>110</v>
      </c>
      <c r="P285" s="205">
        <f t="shared" ca="1" si="242"/>
        <v>-5.9516210097276865</v>
      </c>
      <c r="Q285" s="205">
        <f t="shared" ca="1" si="243"/>
        <v>-3.5302661032194096</v>
      </c>
      <c r="R285" s="205">
        <f t="shared" ca="1" si="244"/>
        <v>-0.2791597209758403</v>
      </c>
      <c r="S285" s="205">
        <f t="shared" ca="1" si="245"/>
        <v>-0.20356415199700262</v>
      </c>
      <c r="T285" s="205">
        <f t="shared" ca="1" si="246"/>
        <v>-0.30391267906731734</v>
      </c>
      <c r="U285" s="205">
        <f t="shared" ca="1" si="247"/>
        <v>-1.7074608484663765</v>
      </c>
      <c r="V285" s="205">
        <f t="shared" ca="1" si="240"/>
        <v>2.8740284288653419</v>
      </c>
      <c r="W285" s="205">
        <f t="shared" ca="1" si="238"/>
        <v>-4.4588193105174305</v>
      </c>
      <c r="X285" s="205">
        <f t="shared" ca="1" si="229"/>
        <v>-2.0374644040091541</v>
      </c>
      <c r="Y285" s="205">
        <f t="shared" ca="1" si="230"/>
        <v>1.2136419782344152</v>
      </c>
      <c r="Z285" s="205">
        <f t="shared" ca="1" si="231"/>
        <v>1.2892375472132529</v>
      </c>
      <c r="AA285" s="205">
        <f t="shared" ca="1" si="232"/>
        <v>1.1888890201429381</v>
      </c>
      <c r="AB285" s="205">
        <f t="shared" ca="1" si="233"/>
        <v>-0.21465914925612095</v>
      </c>
    </row>
    <row r="286" spans="5:28">
      <c r="E286" s="111">
        <f t="shared" si="239"/>
        <v>111</v>
      </c>
      <c r="F286" s="105">
        <f t="shared" si="234"/>
        <v>-37.41124642357623</v>
      </c>
      <c r="G286" s="105">
        <f t="shared" si="234"/>
        <v>-73.218568966783906</v>
      </c>
      <c r="H286" s="105">
        <f t="shared" si="234"/>
        <v>263.00267372383752</v>
      </c>
      <c r="I286" s="105">
        <f t="shared" si="234"/>
        <v>238.04305649986227</v>
      </c>
      <c r="J286" s="105">
        <f t="shared" si="235"/>
        <v>272.45700001860547</v>
      </c>
      <c r="K286" s="105">
        <f t="shared" si="235"/>
        <v>-260.37066902579437</v>
      </c>
      <c r="L286" s="105">
        <f t="shared" si="236"/>
        <v>3.4699687922706008</v>
      </c>
      <c r="N286" s="105">
        <f t="shared" si="241"/>
        <v>67.083707637691788</v>
      </c>
      <c r="O286" s="193">
        <f t="shared" si="237"/>
        <v>111</v>
      </c>
      <c r="P286" s="205">
        <f t="shared" ca="1" si="242"/>
        <v>-6.0573485151364315</v>
      </c>
      <c r="Q286" s="205">
        <f t="shared" ca="1" si="243"/>
        <v>-3.5840673236253635</v>
      </c>
      <c r="R286" s="205">
        <f t="shared" ca="1" si="244"/>
        <v>-0.28060917073282243</v>
      </c>
      <c r="S286" s="205">
        <f t="shared" ca="1" si="245"/>
        <v>-0.20517861629042788</v>
      </c>
      <c r="T286" s="205">
        <f t="shared" ca="1" si="246"/>
        <v>-0.30557221309507099</v>
      </c>
      <c r="U286" s="205">
        <f t="shared" ca="1" si="247"/>
        <v>-1.7266629235066895</v>
      </c>
      <c r="V286" s="205">
        <f t="shared" ca="1" si="240"/>
        <v>2.9260849494230019</v>
      </c>
      <c r="W286" s="205">
        <f t="shared" ca="1" si="238"/>
        <v>-4.5645468159261764</v>
      </c>
      <c r="X286" s="205">
        <f t="shared" ca="1" si="229"/>
        <v>-2.091265624415108</v>
      </c>
      <c r="Y286" s="205">
        <f t="shared" ca="1" si="230"/>
        <v>1.2121925284774331</v>
      </c>
      <c r="Z286" s="205">
        <f t="shared" ca="1" si="231"/>
        <v>1.2876230829198276</v>
      </c>
      <c r="AA286" s="205">
        <f t="shared" ca="1" si="232"/>
        <v>1.1872294861151844</v>
      </c>
      <c r="AB286" s="205">
        <f t="shared" ca="1" si="233"/>
        <v>-0.23386122429643397</v>
      </c>
    </row>
    <row r="287" spans="5:28">
      <c r="E287" s="111">
        <f t="shared" si="239"/>
        <v>112</v>
      </c>
      <c r="F287" s="105">
        <f t="shared" si="234"/>
        <v>-36.645153160014523</v>
      </c>
      <c r="G287" s="105">
        <f t="shared" si="234"/>
        <v>-71.725223752253143</v>
      </c>
      <c r="H287" s="105">
        <f t="shared" si="234"/>
        <v>263.53364905468533</v>
      </c>
      <c r="I287" s="105">
        <f t="shared" si="234"/>
        <v>238.52756061298791</v>
      </c>
      <c r="J287" s="105">
        <f t="shared" si="235"/>
        <v>273.10967378180516</v>
      </c>
      <c r="K287" s="105">
        <f t="shared" si="235"/>
        <v>-253.66750272268385</v>
      </c>
      <c r="L287" s="105">
        <f t="shared" si="236"/>
        <v>3.4246427416164038</v>
      </c>
      <c r="N287" s="105">
        <f t="shared" si="241"/>
        <v>68.855500635754495</v>
      </c>
      <c r="O287" s="193">
        <f t="shared" si="237"/>
        <v>112</v>
      </c>
      <c r="P287" s="205">
        <f t="shared" ca="1" si="242"/>
        <v>-6.1630760205451791</v>
      </c>
      <c r="Q287" s="205">
        <f t="shared" ca="1" si="243"/>
        <v>-3.6378685440313165</v>
      </c>
      <c r="R287" s="205">
        <f t="shared" ca="1" si="244"/>
        <v>-0.28205862048980501</v>
      </c>
      <c r="S287" s="205">
        <f t="shared" ca="1" si="245"/>
        <v>-0.20679308058385315</v>
      </c>
      <c r="T287" s="205">
        <f t="shared" ca="1" si="246"/>
        <v>-0.30723174712282486</v>
      </c>
      <c r="U287" s="205">
        <f t="shared" ca="1" si="247"/>
        <v>-1.7458649985470027</v>
      </c>
      <c r="V287" s="205">
        <f t="shared" ca="1" si="240"/>
        <v>2.9781414699806632</v>
      </c>
      <c r="W287" s="205">
        <f t="shared" ca="1" si="238"/>
        <v>-4.670274321334924</v>
      </c>
      <c r="X287" s="205">
        <f t="shared" ca="1" si="229"/>
        <v>-2.145066844821061</v>
      </c>
      <c r="Y287" s="205">
        <f t="shared" ca="1" si="230"/>
        <v>1.2107430787204505</v>
      </c>
      <c r="Z287" s="205">
        <f t="shared" ca="1" si="231"/>
        <v>1.2860086186264024</v>
      </c>
      <c r="AA287" s="205">
        <f t="shared" ca="1" si="232"/>
        <v>1.1855699520874308</v>
      </c>
      <c r="AB287" s="205">
        <f t="shared" ca="1" si="233"/>
        <v>-0.25306329933674721</v>
      </c>
    </row>
    <row r="288" spans="5:28">
      <c r="E288" s="111">
        <f t="shared" si="239"/>
        <v>113</v>
      </c>
      <c r="F288" s="105">
        <f t="shared" si="234"/>
        <v>-35.909805825492619</v>
      </c>
      <c r="G288" s="105">
        <f t="shared" si="234"/>
        <v>-70.29157664489037</v>
      </c>
      <c r="H288" s="105">
        <f t="shared" si="234"/>
        <v>264.06677269183575</v>
      </c>
      <c r="I288" s="105">
        <f t="shared" si="234"/>
        <v>239.01404103244545</v>
      </c>
      <c r="J288" s="105">
        <f t="shared" si="235"/>
        <v>273.76548202816065</v>
      </c>
      <c r="K288" s="105">
        <f t="shared" si="235"/>
        <v>-247.30081594353607</v>
      </c>
      <c r="L288" s="105">
        <f t="shared" si="236"/>
        <v>3.3818298029417933</v>
      </c>
      <c r="N288" s="105">
        <f t="shared" si="241"/>
        <v>70.557349556420476</v>
      </c>
      <c r="O288" s="193">
        <f t="shared" si="237"/>
        <v>113</v>
      </c>
      <c r="P288" s="205">
        <f t="shared" ca="1" si="242"/>
        <v>-6.2688035259539276</v>
      </c>
      <c r="Q288" s="205">
        <f t="shared" ca="1" si="243"/>
        <v>-3.6916697644372705</v>
      </c>
      <c r="R288" s="205">
        <f t="shared" ca="1" si="244"/>
        <v>-0.28350807024678726</v>
      </c>
      <c r="S288" s="205">
        <f t="shared" ca="1" si="245"/>
        <v>-0.20840754487727853</v>
      </c>
      <c r="T288" s="205">
        <f t="shared" ca="1" si="246"/>
        <v>-0.30889128115057862</v>
      </c>
      <c r="U288" s="205">
        <f t="shared" ca="1" si="247"/>
        <v>-1.7650670735873151</v>
      </c>
      <c r="V288" s="205">
        <f t="shared" ca="1" si="240"/>
        <v>3.0301979905383245</v>
      </c>
      <c r="W288" s="205">
        <f t="shared" ca="1" si="238"/>
        <v>-4.7760018267436717</v>
      </c>
      <c r="X288" s="205">
        <f t="shared" ca="1" si="229"/>
        <v>-2.1988680652270149</v>
      </c>
      <c r="Y288" s="205">
        <f t="shared" ca="1" si="230"/>
        <v>1.2092936289634681</v>
      </c>
      <c r="Z288" s="205">
        <f t="shared" ca="1" si="231"/>
        <v>1.2843941543329769</v>
      </c>
      <c r="AA288" s="205">
        <f t="shared" ca="1" si="232"/>
        <v>1.1839104180596769</v>
      </c>
      <c r="AB288" s="205">
        <f t="shared" ca="1" si="233"/>
        <v>-0.27226537437705955</v>
      </c>
    </row>
    <row r="289" spans="1:42">
      <c r="E289" s="111">
        <f t="shared" si="239"/>
        <v>114</v>
      </c>
      <c r="F289" s="105">
        <f t="shared" si="234"/>
        <v>-35.20338992287958</v>
      </c>
      <c r="G289" s="105">
        <f t="shared" si="234"/>
        <v>-68.914118049031359</v>
      </c>
      <c r="H289" s="105">
        <f t="shared" si="234"/>
        <v>264.60205769966819</v>
      </c>
      <c r="I289" s="105">
        <f t="shared" si="234"/>
        <v>239.50250987506351</v>
      </c>
      <c r="J289" s="105">
        <f t="shared" si="235"/>
        <v>274.42444739218183</v>
      </c>
      <c r="K289" s="105">
        <f t="shared" si="235"/>
        <v>-241.24589355676611</v>
      </c>
      <c r="L289" s="105">
        <f t="shared" si="236"/>
        <v>3.3413266042498941</v>
      </c>
      <c r="N289" s="105">
        <f t="shared" si="241"/>
        <v>72.194268906372756</v>
      </c>
      <c r="O289" s="193">
        <f t="shared" si="237"/>
        <v>114</v>
      </c>
      <c r="P289" s="205">
        <f t="shared" ca="1" si="242"/>
        <v>-6.3745310313626753</v>
      </c>
      <c r="Q289" s="205">
        <f t="shared" ca="1" si="243"/>
        <v>-3.7454709848432248</v>
      </c>
      <c r="R289" s="205">
        <f t="shared" ca="1" si="244"/>
        <v>-0.28495752000376962</v>
      </c>
      <c r="S289" s="205">
        <f t="shared" ca="1" si="245"/>
        <v>-0.21002200917070357</v>
      </c>
      <c r="T289" s="205">
        <f t="shared" ca="1" si="246"/>
        <v>-0.31055081517833227</v>
      </c>
      <c r="U289" s="205">
        <f t="shared" ca="1" si="247"/>
        <v>-1.7842691486276283</v>
      </c>
      <c r="V289" s="205">
        <f t="shared" ca="1" si="240"/>
        <v>3.0822545110959858</v>
      </c>
      <c r="W289" s="205">
        <f t="shared" ca="1" si="238"/>
        <v>-4.8817293321524193</v>
      </c>
      <c r="X289" s="205">
        <f t="shared" ca="1" si="229"/>
        <v>-2.2526692856329693</v>
      </c>
      <c r="Y289" s="205">
        <f t="shared" ca="1" si="230"/>
        <v>1.2078441792064858</v>
      </c>
      <c r="Z289" s="205">
        <f t="shared" ca="1" si="231"/>
        <v>1.2827796900395518</v>
      </c>
      <c r="AA289" s="205">
        <f t="shared" ca="1" si="232"/>
        <v>1.1822508840319232</v>
      </c>
      <c r="AB289" s="205">
        <f t="shared" ca="1" si="233"/>
        <v>-0.29146744941737279</v>
      </c>
    </row>
    <row r="290" spans="1:42">
      <c r="E290" s="111">
        <f t="shared" si="239"/>
        <v>115</v>
      </c>
      <c r="F290" s="105">
        <f t="shared" si="234"/>
        <v>-34.524230979281597</v>
      </c>
      <c r="G290" s="105">
        <f t="shared" si="234"/>
        <v>-67.589608182757829</v>
      </c>
      <c r="H290" s="105">
        <f t="shared" si="234"/>
        <v>265.13951724870725</v>
      </c>
      <c r="I290" s="105">
        <f t="shared" si="234"/>
        <v>239.99297935692562</v>
      </c>
      <c r="J290" s="105">
        <f t="shared" si="235"/>
        <v>275.08659272683349</v>
      </c>
      <c r="K290" s="105">
        <f t="shared" si="235"/>
        <v>-235.48038308820588</v>
      </c>
      <c r="L290" s="105">
        <f t="shared" si="236"/>
        <v>3.3029511408326178</v>
      </c>
      <c r="N290" s="105">
        <f t="shared" si="241"/>
        <v>73.77081118037016</v>
      </c>
      <c r="O290" s="193">
        <f t="shared" si="237"/>
        <v>115</v>
      </c>
      <c r="P290" s="205">
        <f t="shared" ca="1" si="242"/>
        <v>-6.4802585367714229</v>
      </c>
      <c r="Q290" s="205">
        <f t="shared" ca="1" si="243"/>
        <v>-3.7992722052491779</v>
      </c>
      <c r="R290" s="205">
        <f t="shared" ca="1" si="244"/>
        <v>-0.28640696976075197</v>
      </c>
      <c r="S290" s="205">
        <f t="shared" ca="1" si="245"/>
        <v>-0.21163647346412895</v>
      </c>
      <c r="T290" s="205">
        <f t="shared" ca="1" si="246"/>
        <v>-0.31221034920608626</v>
      </c>
      <c r="U290" s="205">
        <f t="shared" ca="1" si="247"/>
        <v>-1.8034712236679413</v>
      </c>
      <c r="V290" s="205">
        <f t="shared" ca="1" si="240"/>
        <v>3.1343110316536471</v>
      </c>
      <c r="W290" s="205">
        <f t="shared" ca="1" si="238"/>
        <v>-4.987456837561167</v>
      </c>
      <c r="X290" s="205">
        <f t="shared" ca="1" si="229"/>
        <v>-2.3064705060389223</v>
      </c>
      <c r="Y290" s="205">
        <f t="shared" ca="1" si="230"/>
        <v>1.2063947294495034</v>
      </c>
      <c r="Z290" s="205">
        <f t="shared" ca="1" si="231"/>
        <v>1.2811652257461266</v>
      </c>
      <c r="AA290" s="205">
        <f t="shared" ca="1" si="232"/>
        <v>1.1805913500041694</v>
      </c>
      <c r="AB290" s="205">
        <f t="shared" ca="1" si="233"/>
        <v>-0.31066952445768581</v>
      </c>
    </row>
    <row r="291" spans="1:42">
      <c r="E291" s="111">
        <f t="shared" si="239"/>
        <v>116</v>
      </c>
      <c r="F291" s="105">
        <f t="shared" si="234"/>
        <v>-33.87078129465435</v>
      </c>
      <c r="G291" s="105">
        <f t="shared" si="234"/>
        <v>-66.315051638122952</v>
      </c>
      <c r="H291" s="105">
        <f t="shared" si="234"/>
        <v>265.6791646167033</v>
      </c>
      <c r="I291" s="105">
        <f t="shared" si="234"/>
        <v>240.4854617943881</v>
      </c>
      <c r="J291" s="105">
        <f t="shared" si="235"/>
        <v>275.75194110617679</v>
      </c>
      <c r="K291" s="105">
        <f t="shared" si="235"/>
        <v>-229.98401898634287</v>
      </c>
      <c r="L291" s="105">
        <f t="shared" si="236"/>
        <v>3.2665400408983487</v>
      </c>
      <c r="N291" s="105">
        <f t="shared" si="241"/>
        <v>75.291119266357995</v>
      </c>
      <c r="O291" s="193">
        <f t="shared" si="237"/>
        <v>116</v>
      </c>
      <c r="P291" s="205">
        <f t="shared" ca="1" si="242"/>
        <v>-6.5859860421801697</v>
      </c>
      <c r="Q291" s="205">
        <f t="shared" ca="1" si="243"/>
        <v>-3.8530734256551313</v>
      </c>
      <c r="R291" s="205">
        <f t="shared" ca="1" si="244"/>
        <v>-0.28785641951773422</v>
      </c>
      <c r="S291" s="205">
        <f t="shared" ca="1" si="245"/>
        <v>-0.2132509377575541</v>
      </c>
      <c r="T291" s="205">
        <f t="shared" ca="1" si="246"/>
        <v>-0.31386988323383991</v>
      </c>
      <c r="U291" s="205">
        <f t="shared" ca="1" si="247"/>
        <v>-1.8226732987082539</v>
      </c>
      <c r="V291" s="205">
        <f t="shared" ca="1" si="240"/>
        <v>3.186367552211308</v>
      </c>
      <c r="W291" s="205">
        <f t="shared" ca="1" si="238"/>
        <v>-5.0931843429699146</v>
      </c>
      <c r="X291" s="205">
        <f t="shared" ca="1" si="229"/>
        <v>-2.3602717264448758</v>
      </c>
      <c r="Y291" s="205">
        <f t="shared" ca="1" si="230"/>
        <v>1.2049452796925213</v>
      </c>
      <c r="Z291" s="205">
        <f t="shared" ca="1" si="231"/>
        <v>1.2795507614527013</v>
      </c>
      <c r="AA291" s="205">
        <f t="shared" ca="1" si="232"/>
        <v>1.1789318159764157</v>
      </c>
      <c r="AB291" s="205">
        <f t="shared" ca="1" si="233"/>
        <v>-0.32987159949799838</v>
      </c>
    </row>
    <row r="292" spans="1:42">
      <c r="E292" s="111">
        <f t="shared" si="239"/>
        <v>117</v>
      </c>
      <c r="F292" s="105">
        <f t="shared" si="234"/>
        <v>-33.24160816733734</v>
      </c>
      <c r="G292" s="105">
        <f t="shared" si="234"/>
        <v>-65.087674766454469</v>
      </c>
      <c r="H292" s="105">
        <f t="shared" si="234"/>
        <v>266.2210131897258</v>
      </c>
      <c r="I292" s="105">
        <f t="shared" si="234"/>
        <v>240.97996960511145</v>
      </c>
      <c r="J292" s="105">
        <f t="shared" si="235"/>
        <v>276.42051582805021</v>
      </c>
      <c r="K292" s="105">
        <f t="shared" si="235"/>
        <v>-224.73838462245249</v>
      </c>
      <c r="L292" s="105">
        <f t="shared" si="236"/>
        <v>3.2319462406220874</v>
      </c>
      <c r="N292" s="105">
        <f t="shared" si="241"/>
        <v>76.758971844440524</v>
      </c>
      <c r="O292" s="193">
        <f t="shared" si="237"/>
        <v>117</v>
      </c>
      <c r="P292" s="205">
        <f t="shared" ca="1" si="242"/>
        <v>-6.6917135475889191</v>
      </c>
      <c r="Q292" s="205">
        <f t="shared" ca="1" si="243"/>
        <v>-3.9068746460610857</v>
      </c>
      <c r="R292" s="205">
        <f t="shared" ca="1" si="244"/>
        <v>-0.28930586927471658</v>
      </c>
      <c r="S292" s="205">
        <f t="shared" ca="1" si="245"/>
        <v>-0.21486540205097937</v>
      </c>
      <c r="T292" s="205">
        <f t="shared" ca="1" si="246"/>
        <v>-0.31552941726159367</v>
      </c>
      <c r="U292" s="205">
        <f t="shared" ca="1" si="247"/>
        <v>-1.8418753737485671</v>
      </c>
      <c r="V292" s="205">
        <f t="shared" ca="1" si="240"/>
        <v>3.2384240727689697</v>
      </c>
      <c r="W292" s="205">
        <f t="shared" ca="1" si="238"/>
        <v>-5.198911848378664</v>
      </c>
      <c r="X292" s="205">
        <f t="shared" ca="1" si="229"/>
        <v>-2.4140729468508302</v>
      </c>
      <c r="Y292" s="205">
        <f t="shared" ca="1" si="230"/>
        <v>1.2034958299355389</v>
      </c>
      <c r="Z292" s="205">
        <f t="shared" ca="1" si="231"/>
        <v>1.2779362971592763</v>
      </c>
      <c r="AA292" s="205">
        <f t="shared" ca="1" si="232"/>
        <v>1.1772722819486618</v>
      </c>
      <c r="AB292" s="205">
        <f t="shared" ca="1" si="233"/>
        <v>-0.34907367453831162</v>
      </c>
    </row>
    <row r="293" spans="1:42">
      <c r="E293" s="111">
        <f t="shared" si="239"/>
        <v>118</v>
      </c>
      <c r="F293" s="105">
        <f t="shared" si="234"/>
        <v>-32.635383407968661</v>
      </c>
      <c r="G293" s="105">
        <f t="shared" si="234"/>
        <v>-63.904905529374943</v>
      </c>
      <c r="H293" s="105">
        <f t="shared" si="234"/>
        <v>266.76507646327002</v>
      </c>
      <c r="I293" s="105">
        <f t="shared" si="234"/>
        <v>241.47651530910375</v>
      </c>
      <c r="J293" s="105">
        <f t="shared" si="235"/>
        <v>277.09234041678837</v>
      </c>
      <c r="K293" s="105">
        <f t="shared" si="235"/>
        <v>-219.7267061351935</v>
      </c>
      <c r="L293" s="105">
        <f t="shared" si="236"/>
        <v>3.1990369988385821</v>
      </c>
      <c r="N293" s="105">
        <f t="shared" si="241"/>
        <v>78.177822852770859</v>
      </c>
      <c r="O293" s="193">
        <f t="shared" si="237"/>
        <v>118</v>
      </c>
      <c r="P293" s="205">
        <f t="shared" ca="1" si="242"/>
        <v>-6.7974410529976659</v>
      </c>
      <c r="Q293" s="205">
        <f t="shared" ca="1" si="243"/>
        <v>-3.9606758664670383</v>
      </c>
      <c r="R293" s="205">
        <f t="shared" ca="1" si="244"/>
        <v>-0.29075531903169893</v>
      </c>
      <c r="S293" s="205">
        <f t="shared" ca="1" si="245"/>
        <v>-0.21647986634440464</v>
      </c>
      <c r="T293" s="205">
        <f t="shared" ca="1" si="246"/>
        <v>-0.31718895128934754</v>
      </c>
      <c r="U293" s="205">
        <f t="shared" ca="1" si="247"/>
        <v>-1.8610774487888802</v>
      </c>
      <c r="V293" s="205">
        <f t="shared" ca="1" si="240"/>
        <v>3.2904805933266306</v>
      </c>
      <c r="W293" s="205">
        <f t="shared" ca="1" si="238"/>
        <v>-5.3046393537874099</v>
      </c>
      <c r="X293" s="205">
        <f t="shared" ca="1" si="229"/>
        <v>-2.4678741672567828</v>
      </c>
      <c r="Y293" s="205">
        <f t="shared" ca="1" si="230"/>
        <v>1.2020463801785566</v>
      </c>
      <c r="Z293" s="205">
        <f t="shared" ca="1" si="231"/>
        <v>1.2763218328658508</v>
      </c>
      <c r="AA293" s="205">
        <f t="shared" ca="1" si="232"/>
        <v>1.175612747920908</v>
      </c>
      <c r="AB293" s="205">
        <f t="shared" ca="1" si="233"/>
        <v>-0.36827574957862463</v>
      </c>
    </row>
    <row r="294" spans="1:42">
      <c r="E294" s="111">
        <f t="shared" si="239"/>
        <v>119</v>
      </c>
      <c r="F294" s="105">
        <f t="shared" si="234"/>
        <v>-32.050873980253108</v>
      </c>
      <c r="G294" s="105">
        <f t="shared" si="234"/>
        <v>-62.764355507489036</v>
      </c>
      <c r="H294" s="105">
        <f t="shared" si="234"/>
        <v>267.31136804337768</v>
      </c>
      <c r="I294" s="105">
        <f t="shared" si="234"/>
        <v>241.97511152977745</v>
      </c>
      <c r="J294" s="105">
        <f t="shared" si="235"/>
        <v>277.76743862598147</v>
      </c>
      <c r="K294" s="105">
        <f t="shared" si="235"/>
        <v>-214.93367325716488</v>
      </c>
      <c r="L294" s="105">
        <f t="shared" si="236"/>
        <v>3.1676921948677053</v>
      </c>
      <c r="N294" s="105">
        <f t="shared" si="241"/>
        <v>79.550835909038256</v>
      </c>
      <c r="O294" s="193">
        <f t="shared" si="237"/>
        <v>119</v>
      </c>
      <c r="P294" s="205">
        <f t="shared" ca="1" si="242"/>
        <v>-6.9031685584064144</v>
      </c>
      <c r="Q294" s="205">
        <f t="shared" ca="1" si="243"/>
        <v>-4.0144770868729918</v>
      </c>
      <c r="R294" s="205">
        <f t="shared" ca="1" si="244"/>
        <v>-0.2922047687886814</v>
      </c>
      <c r="S294" s="205">
        <f t="shared" ca="1" si="245"/>
        <v>-0.2180943306378299</v>
      </c>
      <c r="T294" s="205">
        <f t="shared" ca="1" si="246"/>
        <v>-0.3188484853171013</v>
      </c>
      <c r="U294" s="205">
        <f t="shared" ca="1" si="247"/>
        <v>-1.8802795238291927</v>
      </c>
      <c r="V294" s="205">
        <f t="shared" ca="1" si="240"/>
        <v>3.3425371138842923</v>
      </c>
      <c r="W294" s="205">
        <f t="shared" ca="1" si="238"/>
        <v>-5.4103668591961593</v>
      </c>
      <c r="X294" s="205">
        <f t="shared" ca="1" si="229"/>
        <v>-2.5216753876627362</v>
      </c>
      <c r="Y294" s="205">
        <f t="shared" ca="1" si="230"/>
        <v>1.200596930421574</v>
      </c>
      <c r="Z294" s="205">
        <f t="shared" ca="1" si="231"/>
        <v>1.2747073685724257</v>
      </c>
      <c r="AA294" s="205">
        <f t="shared" ca="1" si="232"/>
        <v>1.1739532138931543</v>
      </c>
      <c r="AB294" s="205">
        <f t="shared" ca="1" si="233"/>
        <v>-0.38747782461893721</v>
      </c>
    </row>
    <row r="295" spans="1:42">
      <c r="E295" s="111">
        <f t="shared" si="239"/>
        <v>120</v>
      </c>
      <c r="F295" s="105">
        <f t="shared" si="234"/>
        <v>-31.486933629793665</v>
      </c>
      <c r="G295" s="105">
        <f t="shared" si="234"/>
        <v>-61.663803801900528</v>
      </c>
      <c r="H295" s="105">
        <f t="shared" si="234"/>
        <v>267.85990164777093</v>
      </c>
      <c r="I295" s="105">
        <f t="shared" si="234"/>
        <v>242.47577099501905</v>
      </c>
      <c r="J295" s="105">
        <f t="shared" si="235"/>
        <v>278.44583444127477</v>
      </c>
      <c r="K295" s="105">
        <f t="shared" si="235"/>
        <v>-210.34528309136121</v>
      </c>
      <c r="L295" s="105">
        <f t="shared" si="236"/>
        <v>3.1378028634574568</v>
      </c>
      <c r="N295" s="105">
        <f t="shared" si="241"/>
        <v>80.880914426834877</v>
      </c>
      <c r="O295" s="193">
        <f t="shared" si="237"/>
        <v>120</v>
      </c>
      <c r="P295" s="205">
        <f t="shared" ca="1" si="242"/>
        <v>-7.0088960638151612</v>
      </c>
      <c r="Q295" s="205">
        <f t="shared" ca="1" si="243"/>
        <v>-4.0682783072789466</v>
      </c>
      <c r="R295" s="205">
        <f t="shared" ca="1" si="244"/>
        <v>-0.29365421854566376</v>
      </c>
      <c r="S295" s="205">
        <f t="shared" ca="1" si="245"/>
        <v>-0.21970879493125528</v>
      </c>
      <c r="T295" s="205">
        <f t="shared" ca="1" si="246"/>
        <v>-0.32050801934485496</v>
      </c>
      <c r="U295" s="205">
        <f t="shared" ca="1" si="247"/>
        <v>-1.8994815988695057</v>
      </c>
      <c r="V295" s="205">
        <f t="shared" ca="1" si="240"/>
        <v>3.3945936344419527</v>
      </c>
      <c r="W295" s="205">
        <f t="shared" ca="1" si="238"/>
        <v>-5.5160943646049052</v>
      </c>
      <c r="X295" s="205">
        <f t="shared" ca="1" si="229"/>
        <v>-2.5754766080686911</v>
      </c>
      <c r="Y295" s="205">
        <f t="shared" ca="1" si="230"/>
        <v>1.1991474806645916</v>
      </c>
      <c r="Z295" s="205">
        <f t="shared" ca="1" si="231"/>
        <v>1.2730929042790002</v>
      </c>
      <c r="AA295" s="205">
        <f t="shared" ca="1" si="232"/>
        <v>1.1722936798654007</v>
      </c>
      <c r="AB295" s="205">
        <f t="shared" ca="1" si="233"/>
        <v>-0.40667989965925022</v>
      </c>
    </row>
    <row r="296" spans="1:42">
      <c r="E296" s="111">
        <f t="shared" si="239"/>
        <v>121</v>
      </c>
      <c r="F296" s="105">
        <f t="shared" si="234"/>
        <v>-30.942495381394448</v>
      </c>
      <c r="G296" s="105">
        <f t="shared" si="234"/>
        <v>-60.601182600231262</v>
      </c>
      <c r="H296" s="105">
        <f t="shared" si="234"/>
        <v>268.41069110700073</v>
      </c>
      <c r="I296" s="105">
        <f t="shared" si="234"/>
        <v>242.97850653827211</v>
      </c>
      <c r="J296" s="105">
        <f t="shared" si="235"/>
        <v>279.12755208320937</v>
      </c>
      <c r="K296" s="105">
        <f t="shared" si="235"/>
        <v>-205.94870347968009</v>
      </c>
      <c r="L296" s="105">
        <f t="shared" si="236"/>
        <v>3.1092699291826511</v>
      </c>
      <c r="N296" s="105">
        <f t="shared" si="241"/>
        <v>82.170728044529397</v>
      </c>
      <c r="O296" s="193">
        <f t="shared" si="237"/>
        <v>121</v>
      </c>
      <c r="P296" s="205">
        <f t="shared" ca="1" si="242"/>
        <v>-7.114623569223907</v>
      </c>
      <c r="Q296" s="205">
        <f t="shared" ca="1" si="243"/>
        <v>-4.1220795276848996</v>
      </c>
      <c r="R296" s="205">
        <f t="shared" ca="1" si="244"/>
        <v>-0.29510366830264612</v>
      </c>
      <c r="S296" s="205">
        <f t="shared" ca="1" si="245"/>
        <v>-0.22132325922468055</v>
      </c>
      <c r="T296" s="205">
        <f t="shared" ca="1" si="246"/>
        <v>-0.32216755337260872</v>
      </c>
      <c r="U296" s="205">
        <f t="shared" ca="1" si="247"/>
        <v>-1.9186836739098188</v>
      </c>
      <c r="V296" s="205">
        <f t="shared" ca="1" si="240"/>
        <v>3.4466501549996131</v>
      </c>
      <c r="W296" s="205">
        <f t="shared" ca="1" si="238"/>
        <v>-5.6218218700136511</v>
      </c>
      <c r="X296" s="205">
        <f t="shared" ca="1" si="229"/>
        <v>-2.6292778284746441</v>
      </c>
      <c r="Y296" s="205">
        <f t="shared" ca="1" si="230"/>
        <v>1.1976980309076093</v>
      </c>
      <c r="Z296" s="205">
        <f t="shared" ca="1" si="231"/>
        <v>1.271478439985575</v>
      </c>
      <c r="AA296" s="205">
        <f t="shared" ca="1" si="232"/>
        <v>1.1706341458376468</v>
      </c>
      <c r="AB296" s="205">
        <f t="shared" ca="1" si="233"/>
        <v>-0.42588197469956324</v>
      </c>
    </row>
    <row r="297" spans="1:42">
      <c r="E297" s="111">
        <f t="shared" si="239"/>
        <v>122</v>
      </c>
      <c r="F297" s="105">
        <f t="shared" si="234"/>
        <v>-30.416564801505157</v>
      </c>
      <c r="G297" s="105">
        <f t="shared" si="234"/>
        <v>-59.574564209759139</v>
      </c>
      <c r="H297" s="105">
        <f t="shared" si="234"/>
        <v>268.96375036560937</v>
      </c>
      <c r="I297" s="105">
        <f t="shared" si="234"/>
        <v>243.48333109963397</v>
      </c>
      <c r="J297" s="105">
        <f t="shared" si="235"/>
        <v>279.81261601010465</v>
      </c>
      <c r="K297" s="105">
        <f t="shared" si="235"/>
        <v>-201.73215315561481</v>
      </c>
      <c r="L297" s="105">
        <f t="shared" si="236"/>
        <v>3.0820031093221956</v>
      </c>
      <c r="N297" s="105">
        <f t="shared" si="241"/>
        <v>83.422735884744824</v>
      </c>
      <c r="O297" s="193">
        <f t="shared" si="237"/>
        <v>122</v>
      </c>
      <c r="P297" s="205">
        <f t="shared" ca="1" si="242"/>
        <v>-7.2203510746326547</v>
      </c>
      <c r="Q297" s="205">
        <f t="shared" ca="1" si="243"/>
        <v>-4.1758807480908526</v>
      </c>
      <c r="R297" s="205">
        <f t="shared" ca="1" si="244"/>
        <v>-0.29655311805962847</v>
      </c>
      <c r="S297" s="205">
        <f t="shared" ca="1" si="245"/>
        <v>-0.2229377235181057</v>
      </c>
      <c r="T297" s="205">
        <f t="shared" ca="1" si="246"/>
        <v>-0.32382708740036259</v>
      </c>
      <c r="U297" s="205">
        <f t="shared" ca="1" si="247"/>
        <v>-1.9378857489501313</v>
      </c>
      <c r="V297" s="205">
        <f t="shared" ca="1" si="240"/>
        <v>3.4987066755572744</v>
      </c>
      <c r="W297" s="205">
        <f t="shared" ca="1" si="238"/>
        <v>-5.7275493754223987</v>
      </c>
      <c r="X297" s="205">
        <f t="shared" ca="1" si="229"/>
        <v>-2.6830790488805971</v>
      </c>
      <c r="Y297" s="205">
        <f t="shared" ca="1" si="230"/>
        <v>1.1962485811506269</v>
      </c>
      <c r="Z297" s="205">
        <f t="shared" ca="1" si="231"/>
        <v>1.2698639756921497</v>
      </c>
      <c r="AA297" s="205">
        <f t="shared" ca="1" si="232"/>
        <v>1.1689746118098929</v>
      </c>
      <c r="AB297" s="205">
        <f t="shared" ca="1" si="233"/>
        <v>-0.44508404973987581</v>
      </c>
    </row>
    <row r="298" spans="1:42">
      <c r="E298" s="111">
        <f t="shared" si="239"/>
        <v>123</v>
      </c>
      <c r="F298" s="105">
        <f t="shared" si="234"/>
        <v>-29.908213936292608</v>
      </c>
      <c r="G298" s="105">
        <f t="shared" si="234"/>
        <v>-58.582149386596321</v>
      </c>
      <c r="H298" s="105">
        <f t="shared" si="234"/>
        <v>269.51909348330707</v>
      </c>
      <c r="I298" s="105">
        <f t="shared" si="234"/>
        <v>243.99025772696589</v>
      </c>
      <c r="J298" s="105">
        <f t="shared" si="235"/>
        <v>280.50105092098318</v>
      </c>
      <c r="K298" s="105">
        <f t="shared" si="235"/>
        <v>-197.68479632394255</v>
      </c>
      <c r="L298" s="105">
        <f t="shared" si="236"/>
        <v>3.0559199596167588</v>
      </c>
      <c r="N298" s="105">
        <f t="shared" si="241"/>
        <v>84.639207080737435</v>
      </c>
      <c r="O298" s="193">
        <f t="shared" si="237"/>
        <v>123</v>
      </c>
      <c r="P298" s="205">
        <f t="shared" ca="1" si="242"/>
        <v>-7.3260785800414014</v>
      </c>
      <c r="Q298" s="205">
        <f t="shared" ca="1" si="243"/>
        <v>-4.2296819684968066</v>
      </c>
      <c r="R298" s="205">
        <f t="shared" ca="1" si="244"/>
        <v>-0.29800256781661083</v>
      </c>
      <c r="S298" s="205">
        <f t="shared" ca="1" si="245"/>
        <v>-0.22455218781153108</v>
      </c>
      <c r="T298" s="205">
        <f t="shared" ca="1" si="246"/>
        <v>-0.32548662142811613</v>
      </c>
      <c r="U298" s="205">
        <f t="shared" ca="1" si="247"/>
        <v>-1.9570878239904443</v>
      </c>
      <c r="V298" s="205">
        <f t="shared" ca="1" si="240"/>
        <v>3.5507631961149353</v>
      </c>
      <c r="W298" s="205">
        <f t="shared" ca="1" si="238"/>
        <v>-5.8332768808311464</v>
      </c>
      <c r="X298" s="205">
        <f t="shared" ca="1" si="229"/>
        <v>-2.736880269286551</v>
      </c>
      <c r="Y298" s="205">
        <f t="shared" ca="1" si="230"/>
        <v>1.1947991313936446</v>
      </c>
      <c r="Z298" s="205">
        <f t="shared" ca="1" si="231"/>
        <v>1.2682495113987244</v>
      </c>
      <c r="AA298" s="205">
        <f t="shared" ca="1" si="232"/>
        <v>1.1673150777821393</v>
      </c>
      <c r="AB298" s="205">
        <f t="shared" ca="1" si="233"/>
        <v>-0.46428612478018882</v>
      </c>
    </row>
    <row r="299" spans="1:42">
      <c r="E299" s="111">
        <f t="shared" si="239"/>
        <v>124</v>
      </c>
      <c r="F299" s="105">
        <f t="shared" si="234"/>
        <v>-29.416575847596398</v>
      </c>
      <c r="G299" s="105">
        <f t="shared" si="234"/>
        <v>-57.622256812254861</v>
      </c>
      <c r="H299" s="105">
        <f t="shared" si="234"/>
        <v>270.07673463616351</v>
      </c>
      <c r="I299" s="105">
        <f t="shared" si="234"/>
        <v>244.49929957701707</v>
      </c>
      <c r="J299" s="105">
        <f t="shared" si="235"/>
        <v>281.19288175853973</v>
      </c>
      <c r="K299" s="105">
        <f t="shared" si="235"/>
        <v>-193.79664968111658</v>
      </c>
      <c r="L299" s="105">
        <f t="shared" si="236"/>
        <v>3.0309450416591934</v>
      </c>
      <c r="N299" s="105">
        <f t="shared" si="241"/>
        <v>85.822238938458739</v>
      </c>
      <c r="O299" s="193">
        <f t="shared" si="237"/>
        <v>124</v>
      </c>
      <c r="P299" s="205">
        <f t="shared" ca="1" si="242"/>
        <v>-7.4318060854501491</v>
      </c>
      <c r="Q299" s="205">
        <f t="shared" ca="1" si="243"/>
        <v>-4.2834831889027605</v>
      </c>
      <c r="R299" s="205">
        <f t="shared" ca="1" si="244"/>
        <v>-0.2994520175735933</v>
      </c>
      <c r="S299" s="205">
        <f t="shared" ca="1" si="245"/>
        <v>-0.22616665210495623</v>
      </c>
      <c r="T299" s="205">
        <f t="shared" ca="1" si="246"/>
        <v>-0.32714615545587011</v>
      </c>
      <c r="U299" s="205">
        <f t="shared" ca="1" si="247"/>
        <v>-1.9762898990307574</v>
      </c>
      <c r="V299" s="205">
        <f t="shared" ca="1" si="240"/>
        <v>3.6028197166725966</v>
      </c>
      <c r="W299" s="205">
        <f t="shared" ca="1" si="238"/>
        <v>-5.939004386239894</v>
      </c>
      <c r="X299" s="205">
        <f t="shared" ca="1" si="229"/>
        <v>-2.790681489692505</v>
      </c>
      <c r="Y299" s="205">
        <f t="shared" ca="1" si="230"/>
        <v>1.1933496816366622</v>
      </c>
      <c r="Z299" s="205">
        <f t="shared" ca="1" si="231"/>
        <v>1.2666350471052992</v>
      </c>
      <c r="AA299" s="205">
        <f t="shared" ca="1" si="232"/>
        <v>1.1656555437543854</v>
      </c>
      <c r="AB299" s="205">
        <f t="shared" ca="1" si="233"/>
        <v>-0.48348819982050184</v>
      </c>
    </row>
    <row r="300" spans="1:42">
      <c r="E300" s="111">
        <f t="shared" si="239"/>
        <v>125</v>
      </c>
      <c r="F300" s="105">
        <f t="shared" si="234"/>
        <v>-28.940839679084416</v>
      </c>
      <c r="G300" s="105">
        <f t="shared" si="234"/>
        <v>-56.693313588118109</v>
      </c>
      <c r="H300" s="105">
        <f t="shared" si="234"/>
        <v>270.636688117814</v>
      </c>
      <c r="I300" s="105">
        <f t="shared" si="234"/>
        <v>245.01046991656321</v>
      </c>
      <c r="J300" s="105">
        <f t="shared" si="235"/>
        <v>281.88813371215269</v>
      </c>
      <c r="K300" s="105">
        <f t="shared" si="235"/>
        <v>-190.05850019657609</v>
      </c>
      <c r="L300" s="105">
        <f t="shared" si="236"/>
        <v>3.0070091942060144</v>
      </c>
      <c r="N300" s="105">
        <f t="shared" si="241"/>
        <v>86.973773047125221</v>
      </c>
      <c r="O300" s="193">
        <f t="shared" si="237"/>
        <v>125</v>
      </c>
      <c r="P300" s="205">
        <f t="shared" ca="1" si="242"/>
        <v>-7.5375335908588967</v>
      </c>
      <c r="Q300" s="205">
        <f t="shared" ca="1" si="243"/>
        <v>-4.3372844093087135</v>
      </c>
      <c r="R300" s="205">
        <f t="shared" ca="1" si="244"/>
        <v>-0.30090146733057566</v>
      </c>
      <c r="S300" s="205">
        <f t="shared" ca="1" si="245"/>
        <v>-0.2277811163983815</v>
      </c>
      <c r="T300" s="205">
        <f t="shared" ca="1" si="246"/>
        <v>-0.32880568948362376</v>
      </c>
      <c r="U300" s="205">
        <f t="shared" ca="1" si="247"/>
        <v>-1.9954919740710699</v>
      </c>
      <c r="V300" s="205">
        <f t="shared" ca="1" si="240"/>
        <v>3.6548762372302575</v>
      </c>
      <c r="W300" s="205">
        <f t="shared" ca="1" si="238"/>
        <v>-6.0447318916486417</v>
      </c>
      <c r="X300" s="205">
        <f t="shared" ca="1" si="229"/>
        <v>-2.844482710098458</v>
      </c>
      <c r="Y300" s="205">
        <f t="shared" ca="1" si="230"/>
        <v>1.1919002318796799</v>
      </c>
      <c r="Z300" s="205">
        <f t="shared" ca="1" si="231"/>
        <v>1.2650205828118741</v>
      </c>
      <c r="AA300" s="205">
        <f t="shared" ca="1" si="232"/>
        <v>1.1639960097266318</v>
      </c>
      <c r="AB300" s="205">
        <f t="shared" ca="1" si="233"/>
        <v>-0.50269027486081441</v>
      </c>
    </row>
    <row r="301" spans="1:42">
      <c r="E301" s="111">
        <f t="shared" si="239"/>
        <v>126</v>
      </c>
      <c r="F301" s="105">
        <f t="shared" si="234"/>
        <v>-28.48024619354112</v>
      </c>
      <c r="G301" s="105">
        <f t="shared" si="234"/>
        <v>-55.793846634771121</v>
      </c>
      <c r="H301" s="105">
        <f t="shared" si="234"/>
        <v>271.19896834068084</v>
      </c>
      <c r="I301" s="105">
        <f t="shared" si="234"/>
        <v>245.52378212355879</v>
      </c>
      <c r="J301" s="105">
        <f t="shared" si="235"/>
        <v>282.58683222094226</v>
      </c>
      <c r="K301" s="105">
        <f t="shared" si="235"/>
        <v>-186.46183222949765</v>
      </c>
      <c r="L301" s="105">
        <f t="shared" si="236"/>
        <v>2.9840488935857667</v>
      </c>
      <c r="N301" s="105">
        <f t="shared" si="241"/>
        <v>88.095609604562</v>
      </c>
      <c r="O301" s="193">
        <f t="shared" si="237"/>
        <v>126</v>
      </c>
      <c r="P301" s="205">
        <f t="shared" ca="1" si="242"/>
        <v>-7.6432610962676444</v>
      </c>
      <c r="Q301" s="205">
        <f t="shared" ca="1" si="243"/>
        <v>-4.3910856297146665</v>
      </c>
      <c r="R301" s="205">
        <f t="shared" ca="1" si="244"/>
        <v>-0.3023509170875579</v>
      </c>
      <c r="S301" s="205">
        <f t="shared" ca="1" si="245"/>
        <v>-0.22939558069180666</v>
      </c>
      <c r="T301" s="205">
        <f t="shared" ca="1" si="246"/>
        <v>-0.33046522351137764</v>
      </c>
      <c r="U301" s="205">
        <f t="shared" ca="1" si="247"/>
        <v>-2.0146940491113829</v>
      </c>
      <c r="V301" s="205">
        <f t="shared" ca="1" si="240"/>
        <v>3.7069327577879188</v>
      </c>
      <c r="W301" s="205">
        <f t="shared" ca="1" si="238"/>
        <v>-6.1504593970573893</v>
      </c>
      <c r="X301" s="205">
        <f t="shared" ca="1" si="229"/>
        <v>-2.898283930504411</v>
      </c>
      <c r="Y301" s="205">
        <f t="shared" ca="1" si="230"/>
        <v>1.1904507821226975</v>
      </c>
      <c r="Z301" s="205">
        <f t="shared" ca="1" si="231"/>
        <v>1.2634061185184489</v>
      </c>
      <c r="AA301" s="205">
        <f t="shared" ca="1" si="232"/>
        <v>1.1623364756988779</v>
      </c>
      <c r="AB301" s="205">
        <f t="shared" ca="1" si="233"/>
        <v>-0.52189234990112743</v>
      </c>
    </row>
    <row r="302" spans="1:42">
      <c r="E302" s="111">
        <f t="shared" si="239"/>
        <v>127</v>
      </c>
      <c r="F302" s="105">
        <f t="shared" si="234"/>
        <v>-28.034083729624356</v>
      </c>
      <c r="G302" s="105">
        <f t="shared" si="234"/>
        <v>-54.922474897267406</v>
      </c>
      <c r="H302" s="105">
        <f t="shared" si="234"/>
        <v>271.76358983720996</v>
      </c>
      <c r="I302" s="105">
        <f t="shared" si="234"/>
        <v>246.0392496883043</v>
      </c>
      <c r="J302" s="105">
        <f t="shared" si="235"/>
        <v>283.28900297687238</v>
      </c>
      <c r="K302" s="105">
        <f t="shared" si="235"/>
        <v>-182.99876276730888</v>
      </c>
      <c r="L302" s="105">
        <f t="shared" si="236"/>
        <v>2.9620056907485552</v>
      </c>
      <c r="N302" s="105">
        <f t="shared" si="241"/>
        <v>89.189420184697667</v>
      </c>
      <c r="O302" s="193">
        <f t="shared" si="237"/>
        <v>127</v>
      </c>
      <c r="P302" s="205">
        <f t="shared" ca="1" si="242"/>
        <v>-7.748988601676392</v>
      </c>
      <c r="Q302" s="205">
        <f t="shared" ca="1" si="243"/>
        <v>-4.4448868501206213</v>
      </c>
      <c r="R302" s="205">
        <f t="shared" ca="1" si="244"/>
        <v>-0.30380036684454026</v>
      </c>
      <c r="S302" s="205">
        <f t="shared" ca="1" si="245"/>
        <v>-0.23101004498523203</v>
      </c>
      <c r="T302" s="205">
        <f t="shared" ca="1" si="246"/>
        <v>-0.33212475753913129</v>
      </c>
      <c r="U302" s="205">
        <f t="shared" ca="1" si="247"/>
        <v>-2.0338961241516964</v>
      </c>
      <c r="V302" s="205">
        <f t="shared" ca="1" si="240"/>
        <v>3.7589892783455801</v>
      </c>
      <c r="W302" s="205">
        <f t="shared" ca="1" si="238"/>
        <v>-6.256186902466137</v>
      </c>
      <c r="X302" s="205">
        <f t="shared" ca="1" si="229"/>
        <v>-2.9520851509103658</v>
      </c>
      <c r="Y302" s="205">
        <f t="shared" ca="1" si="230"/>
        <v>1.1890013323657151</v>
      </c>
      <c r="Z302" s="205">
        <f t="shared" ca="1" si="231"/>
        <v>1.2617916542250236</v>
      </c>
      <c r="AA302" s="205">
        <f t="shared" ca="1" si="232"/>
        <v>1.1606769416711242</v>
      </c>
      <c r="AB302" s="205">
        <f t="shared" ca="1" si="233"/>
        <v>-0.54109442494144089</v>
      </c>
    </row>
    <row r="303" spans="1:42">
      <c r="E303" s="111"/>
    </row>
    <row r="304" spans="1:42" s="105" customFormat="1">
      <c r="A304" s="310" t="s">
        <v>106</v>
      </c>
      <c r="B304" s="310"/>
      <c r="C304" s="311">
        <f>D167</f>
        <v>60</v>
      </c>
      <c r="D304" s="311"/>
      <c r="E304" s="111" t="str">
        <f>E153</f>
        <v>DUT#</v>
      </c>
      <c r="F304" s="111">
        <f t="shared" ref="F304:AK304" si="248">F153</f>
        <v>0</v>
      </c>
      <c r="G304" s="111">
        <f t="shared" si="248"/>
        <v>1</v>
      </c>
      <c r="H304" s="111">
        <f t="shared" si="248"/>
        <v>2</v>
      </c>
      <c r="I304" s="111">
        <f t="shared" si="248"/>
        <v>3</v>
      </c>
      <c r="J304" s="111">
        <f t="shared" si="248"/>
        <v>4</v>
      </c>
      <c r="K304" s="111">
        <f t="shared" si="248"/>
        <v>5</v>
      </c>
      <c r="L304" s="111">
        <f t="shared" si="248"/>
        <v>6</v>
      </c>
      <c r="M304" s="111">
        <f t="shared" si="248"/>
        <v>7</v>
      </c>
      <c r="N304" s="111">
        <f t="shared" si="248"/>
        <v>8</v>
      </c>
      <c r="O304" s="111">
        <f t="shared" si="248"/>
        <v>9</v>
      </c>
      <c r="P304" s="111">
        <f t="shared" si="248"/>
        <v>10</v>
      </c>
      <c r="Q304" s="111">
        <f t="shared" si="248"/>
        <v>11</v>
      </c>
      <c r="R304" s="111">
        <f t="shared" si="248"/>
        <v>12</v>
      </c>
      <c r="S304" s="111">
        <f t="shared" si="248"/>
        <v>13</v>
      </c>
      <c r="T304" s="111">
        <f t="shared" si="248"/>
        <v>14</v>
      </c>
      <c r="U304" s="111">
        <f t="shared" si="248"/>
        <v>15</v>
      </c>
      <c r="V304" s="111">
        <f t="shared" si="248"/>
        <v>16</v>
      </c>
      <c r="W304" s="111">
        <f t="shared" si="248"/>
        <v>17</v>
      </c>
      <c r="X304" s="111">
        <f t="shared" si="248"/>
        <v>18</v>
      </c>
      <c r="Y304" s="111">
        <f t="shared" si="248"/>
        <v>19</v>
      </c>
      <c r="Z304" s="111">
        <f t="shared" si="248"/>
        <v>20</v>
      </c>
      <c r="AA304" s="111">
        <f t="shared" si="248"/>
        <v>21</v>
      </c>
      <c r="AB304" s="111">
        <f t="shared" si="248"/>
        <v>22</v>
      </c>
      <c r="AC304" s="111">
        <f t="shared" si="248"/>
        <v>23</v>
      </c>
      <c r="AD304" s="111">
        <f t="shared" si="248"/>
        <v>24</v>
      </c>
      <c r="AE304" s="111">
        <f t="shared" si="248"/>
        <v>25</v>
      </c>
      <c r="AF304" s="111">
        <f t="shared" si="248"/>
        <v>26</v>
      </c>
      <c r="AG304" s="111">
        <f t="shared" si="248"/>
        <v>27</v>
      </c>
      <c r="AH304" s="111">
        <f t="shared" si="248"/>
        <v>28</v>
      </c>
      <c r="AI304" s="111">
        <f t="shared" si="248"/>
        <v>29</v>
      </c>
      <c r="AJ304" s="111">
        <f t="shared" si="248"/>
        <v>30</v>
      </c>
      <c r="AK304" s="111">
        <f t="shared" si="248"/>
        <v>31</v>
      </c>
      <c r="AL304" s="305" t="str">
        <f>AL153</f>
        <v>mean</v>
      </c>
      <c r="AM304" s="307" t="str">
        <f t="shared" ref="AM304:AN304" si="249">AM153</f>
        <v>std</v>
      </c>
      <c r="AN304" s="302" t="str">
        <f t="shared" si="249"/>
        <v>%/value</v>
      </c>
      <c r="AO304" s="111"/>
      <c r="AP304" s="111"/>
    </row>
    <row r="305" spans="1:42" s="105" customFormat="1">
      <c r="A305" s="310"/>
      <c r="B305" s="310"/>
      <c r="C305" s="311"/>
      <c r="D305" s="311"/>
      <c r="E305" s="111" t="str">
        <f t="shared" ref="E305:AK305" si="250">E154</f>
        <v>Enable</v>
      </c>
      <c r="F305" s="111">
        <f t="shared" si="250"/>
        <v>0</v>
      </c>
      <c r="G305" s="111">
        <f t="shared" si="250"/>
        <v>0</v>
      </c>
      <c r="H305" s="111">
        <f t="shared" si="250"/>
        <v>1</v>
      </c>
      <c r="I305" s="111">
        <f t="shared" si="250"/>
        <v>1</v>
      </c>
      <c r="J305" s="111">
        <f t="shared" si="250"/>
        <v>0</v>
      </c>
      <c r="K305" s="111">
        <f t="shared" si="250"/>
        <v>1</v>
      </c>
      <c r="L305" s="111">
        <f t="shared" si="250"/>
        <v>1</v>
      </c>
      <c r="M305" s="111">
        <f t="shared" si="250"/>
        <v>0</v>
      </c>
      <c r="N305" s="111">
        <f t="shared" si="250"/>
        <v>1</v>
      </c>
      <c r="O305" s="111">
        <f t="shared" si="250"/>
        <v>1</v>
      </c>
      <c r="P305" s="111">
        <f t="shared" si="250"/>
        <v>1</v>
      </c>
      <c r="Q305" s="111">
        <f t="shared" si="250"/>
        <v>1</v>
      </c>
      <c r="R305" s="111">
        <f t="shared" si="250"/>
        <v>1</v>
      </c>
      <c r="S305" s="111">
        <f t="shared" si="250"/>
        <v>1</v>
      </c>
      <c r="T305" s="111">
        <f t="shared" si="250"/>
        <v>1</v>
      </c>
      <c r="U305" s="111">
        <f t="shared" si="250"/>
        <v>1</v>
      </c>
      <c r="V305" s="111">
        <f t="shared" si="250"/>
        <v>1</v>
      </c>
      <c r="W305" s="111">
        <f t="shared" si="250"/>
        <v>1</v>
      </c>
      <c r="X305" s="111">
        <f t="shared" si="250"/>
        <v>1</v>
      </c>
      <c r="Y305" s="111">
        <f t="shared" si="250"/>
        <v>1</v>
      </c>
      <c r="Z305" s="111">
        <f t="shared" si="250"/>
        <v>1</v>
      </c>
      <c r="AA305" s="111">
        <f t="shared" si="250"/>
        <v>1</v>
      </c>
      <c r="AB305" s="111">
        <f t="shared" si="250"/>
        <v>1</v>
      </c>
      <c r="AC305" s="111">
        <f t="shared" si="250"/>
        <v>1</v>
      </c>
      <c r="AD305" s="111">
        <f t="shared" si="250"/>
        <v>1</v>
      </c>
      <c r="AE305" s="111">
        <f t="shared" si="250"/>
        <v>1</v>
      </c>
      <c r="AF305" s="111">
        <f t="shared" si="250"/>
        <v>0</v>
      </c>
      <c r="AG305" s="111">
        <f t="shared" si="250"/>
        <v>1</v>
      </c>
      <c r="AH305" s="111">
        <f t="shared" si="250"/>
        <v>1</v>
      </c>
      <c r="AI305" s="111">
        <f t="shared" si="250"/>
        <v>1</v>
      </c>
      <c r="AJ305" s="111">
        <f t="shared" si="250"/>
        <v>1</v>
      </c>
      <c r="AK305" s="111">
        <f t="shared" si="250"/>
        <v>1</v>
      </c>
      <c r="AL305" s="306"/>
      <c r="AM305" s="286"/>
      <c r="AN305" s="303"/>
      <c r="AO305" s="111"/>
      <c r="AP305" s="111"/>
    </row>
    <row r="306" spans="1:42">
      <c r="A306" s="242" t="str">
        <f>A79</f>
        <v>HZ</v>
      </c>
      <c r="B306" s="242" t="str">
        <f>B79</f>
        <v>LO</v>
      </c>
      <c r="C306" s="46" t="str">
        <f>C69</f>
        <v>R</v>
      </c>
      <c r="F306" s="106" t="str">
        <f>IF(F$305,F3,"")</f>
        <v/>
      </c>
      <c r="G306" s="106" t="str">
        <f t="shared" ref="G306:AK306" si="251">IF(G$305,G3,"")</f>
        <v/>
      </c>
      <c r="H306" s="106">
        <f t="shared" si="251"/>
        <v>34.555961608886719</v>
      </c>
      <c r="I306" s="106">
        <f t="shared" si="251"/>
        <v>41.388191223144531</v>
      </c>
      <c r="J306" s="106" t="str">
        <f t="shared" si="251"/>
        <v/>
      </c>
      <c r="K306" s="106">
        <f t="shared" si="251"/>
        <v>38.229572296142578</v>
      </c>
      <c r="L306" s="106">
        <f t="shared" si="251"/>
        <v>40.981918334960937</v>
      </c>
      <c r="M306" s="106" t="str">
        <f t="shared" si="251"/>
        <v/>
      </c>
      <c r="N306" s="106">
        <f t="shared" si="251"/>
        <v>41.227970123291016</v>
      </c>
      <c r="O306" s="106">
        <f t="shared" si="251"/>
        <v>36.541542053222656</v>
      </c>
      <c r="P306" s="106">
        <f t="shared" si="251"/>
        <v>41.531242370605469</v>
      </c>
      <c r="Q306" s="106">
        <f t="shared" si="251"/>
        <v>42.263675689697266</v>
      </c>
      <c r="R306" s="106">
        <f t="shared" si="251"/>
        <v>41.348133087158203</v>
      </c>
      <c r="S306" s="106">
        <f t="shared" si="251"/>
        <v>41.016250610351562</v>
      </c>
      <c r="T306" s="106">
        <f t="shared" si="251"/>
        <v>41.451133728027344</v>
      </c>
      <c r="U306" s="106">
        <f t="shared" si="251"/>
        <v>42.355228424072266</v>
      </c>
      <c r="V306" s="106">
        <f t="shared" si="251"/>
        <v>40.438316345214844</v>
      </c>
      <c r="W306" s="106">
        <f t="shared" si="251"/>
        <v>39.013504028320313</v>
      </c>
      <c r="X306" s="106">
        <f t="shared" si="251"/>
        <v>38.916229248046875</v>
      </c>
      <c r="Y306" s="106">
        <f t="shared" si="251"/>
        <v>39.740215301513672</v>
      </c>
      <c r="Z306" s="106">
        <f t="shared" si="251"/>
        <v>49.032958984375</v>
      </c>
      <c r="AA306" s="106">
        <f t="shared" si="251"/>
        <v>40.106430053710938</v>
      </c>
      <c r="AB306" s="106">
        <f t="shared" si="251"/>
        <v>36.535820007324219</v>
      </c>
      <c r="AC306" s="106">
        <f t="shared" si="251"/>
        <v>38.372623443603516</v>
      </c>
      <c r="AD306" s="106">
        <f t="shared" si="251"/>
        <v>45.382240295410156</v>
      </c>
      <c r="AE306" s="106">
        <f t="shared" si="251"/>
        <v>44.432365417480469</v>
      </c>
      <c r="AF306" s="106" t="str">
        <f t="shared" si="251"/>
        <v/>
      </c>
      <c r="AG306" s="106">
        <f t="shared" si="251"/>
        <v>39.476997375488281</v>
      </c>
      <c r="AH306" s="106">
        <f t="shared" si="251"/>
        <v>45.988784790039063</v>
      </c>
      <c r="AI306" s="106">
        <f t="shared" si="251"/>
        <v>45.92584228515625</v>
      </c>
      <c r="AJ306" s="106">
        <f t="shared" si="251"/>
        <v>41.788738250732422</v>
      </c>
      <c r="AK306" s="106">
        <f t="shared" si="251"/>
        <v>38.258182525634766</v>
      </c>
      <c r="AL306" s="199">
        <f t="shared" ref="AL306" si="252">AVERAGE(F306:AK306)</f>
        <v>40.97407658894857</v>
      </c>
      <c r="AM306" s="194">
        <f t="shared" ref="AM306" si="253">STDEV(F306:AK306)</f>
        <v>3.2000619045475078</v>
      </c>
      <c r="AN306" s="200">
        <f t="shared" ref="AN306" si="254">AM306/AL306</f>
        <v>7.8099671083511887E-2</v>
      </c>
      <c r="AO306" s="104"/>
      <c r="AP306" s="74"/>
    </row>
    <row r="307" spans="1:42">
      <c r="A307" s="242"/>
      <c r="B307" s="242"/>
      <c r="C307" s="46" t="str">
        <f>C70</f>
        <v>G</v>
      </c>
      <c r="F307" s="106" t="str">
        <f>IF(F$305,F4*(1+IF(cmpSet&lt;64,cmpSet*F79,F81+(cmpSet-64)*F80)),"")</f>
        <v/>
      </c>
      <c r="G307" s="106" t="str">
        <f t="shared" ref="G307:AK307" si="255">IF(G$305,G4*(1+IF(cmpSet&lt;64,cmpSet*G79,G81+(cmpSet-64)*G80)),"")</f>
        <v/>
      </c>
      <c r="H307" s="106">
        <f t="shared" si="255"/>
        <v>1.317453021094914</v>
      </c>
      <c r="I307" s="106">
        <f t="shared" si="255"/>
        <v>1.5335317339215906</v>
      </c>
      <c r="J307" s="106" t="str">
        <f t="shared" si="255"/>
        <v/>
      </c>
      <c r="K307" s="106">
        <f t="shared" si="255"/>
        <v>4.5708945138113855</v>
      </c>
      <c r="L307" s="106">
        <f t="shared" si="255"/>
        <v>2.222639992123558</v>
      </c>
      <c r="M307" s="106" t="str">
        <f t="shared" si="255"/>
        <v/>
      </c>
      <c r="N307" s="106">
        <f t="shared" si="255"/>
        <v>1.5272645638102609</v>
      </c>
      <c r="O307" s="106">
        <f t="shared" si="255"/>
        <v>3.5627091271536675</v>
      </c>
      <c r="P307" s="106">
        <f t="shared" si="255"/>
        <v>5.7213157472156357</v>
      </c>
      <c r="Q307" s="106">
        <f t="shared" si="255"/>
        <v>2.3853121144431007</v>
      </c>
      <c r="R307" s="106">
        <f t="shared" si="255"/>
        <v>5.8553771972656286</v>
      </c>
      <c r="S307" s="106">
        <f t="shared" si="255"/>
        <v>6.7875398908342648</v>
      </c>
      <c r="T307" s="106">
        <f t="shared" si="255"/>
        <v>5.5139565240769173</v>
      </c>
      <c r="U307" s="106">
        <f t="shared" si="255"/>
        <v>9.7864830380394352</v>
      </c>
      <c r="V307" s="106">
        <f t="shared" si="255"/>
        <v>2.0117385500953313</v>
      </c>
      <c r="W307" s="106">
        <f t="shared" si="255"/>
        <v>1.4749479747953886</v>
      </c>
      <c r="X307" s="106">
        <f t="shared" si="255"/>
        <v>1.6594186056227938</v>
      </c>
      <c r="Y307" s="106">
        <f t="shared" si="255"/>
        <v>1.5885730925060471</v>
      </c>
      <c r="Z307" s="106">
        <f t="shared" si="255"/>
        <v>4.5531832377115853</v>
      </c>
      <c r="AA307" s="106">
        <f t="shared" si="255"/>
        <v>5.5025123414539134</v>
      </c>
      <c r="AB307" s="106">
        <f t="shared" si="255"/>
        <v>1.3624126797630689</v>
      </c>
      <c r="AC307" s="106">
        <f t="shared" si="255"/>
        <v>1.4561466943650034</v>
      </c>
      <c r="AD307" s="106">
        <f t="shared" si="255"/>
        <v>1.5784913925897526</v>
      </c>
      <c r="AE307" s="106">
        <f t="shared" si="255"/>
        <v>1.4433399382091721</v>
      </c>
      <c r="AF307" s="106" t="str">
        <f t="shared" si="255"/>
        <v/>
      </c>
      <c r="AG307" s="106">
        <f t="shared" si="255"/>
        <v>7.4082549867175906</v>
      </c>
      <c r="AH307" s="106">
        <f t="shared" si="255"/>
        <v>1.522359938848588</v>
      </c>
      <c r="AI307" s="106">
        <f t="shared" si="255"/>
        <v>12.875344957624163</v>
      </c>
      <c r="AJ307" s="106">
        <f t="shared" si="255"/>
        <v>2.743354116167338</v>
      </c>
      <c r="AK307" s="106">
        <f t="shared" si="255"/>
        <v>7.7496755690801704</v>
      </c>
      <c r="AL307" s="199">
        <f t="shared" ref="AL307:AL312" si="256">AVERAGE(F307:AK307)</f>
        <v>3.9153419088644545</v>
      </c>
      <c r="AM307" s="194">
        <f t="shared" ref="AM307:AM312" si="257">STDEV(F307:AK307)</f>
        <v>3.0230846524974995</v>
      </c>
      <c r="AN307" s="200">
        <f t="shared" ref="AN307:AN312" si="258">AM307/AL307</f>
        <v>0.77211255692718506</v>
      </c>
      <c r="AO307" s="104"/>
      <c r="AP307" s="74"/>
    </row>
    <row r="308" spans="1:42">
      <c r="A308" s="242"/>
      <c r="B308" s="242"/>
      <c r="C308" s="46" t="str">
        <f>C71</f>
        <v>B</v>
      </c>
      <c r="F308" s="106" t="str">
        <f t="shared" ref="F308" si="259">IF(F$305,F5,"")</f>
        <v/>
      </c>
      <c r="G308" s="106" t="str">
        <f t="shared" ref="G308:AK308" si="260">IF(G$305,G5,"")</f>
        <v/>
      </c>
      <c r="H308" s="106">
        <f t="shared" si="260"/>
        <v>32.553215026855469</v>
      </c>
      <c r="I308" s="106">
        <f t="shared" si="260"/>
        <v>39.402610778808594</v>
      </c>
      <c r="J308" s="106" t="str">
        <f t="shared" si="260"/>
        <v/>
      </c>
      <c r="K308" s="106">
        <f t="shared" si="260"/>
        <v>35.952163696289063</v>
      </c>
      <c r="L308" s="106">
        <f t="shared" si="260"/>
        <v>38.538566589355469</v>
      </c>
      <c r="M308" s="106" t="str">
        <f t="shared" si="260"/>
        <v/>
      </c>
      <c r="N308" s="106">
        <f t="shared" si="260"/>
        <v>38.710231781005859</v>
      </c>
      <c r="O308" s="106">
        <f t="shared" si="260"/>
        <v>34.161136627197266</v>
      </c>
      <c r="P308" s="106">
        <f t="shared" si="260"/>
        <v>38.681621551513672</v>
      </c>
      <c r="Q308" s="106">
        <f t="shared" si="260"/>
        <v>39.848934173583984</v>
      </c>
      <c r="R308" s="106">
        <f t="shared" si="260"/>
        <v>38.441291809082031</v>
      </c>
      <c r="S308" s="106">
        <f t="shared" si="260"/>
        <v>38.675899505615234</v>
      </c>
      <c r="T308" s="106">
        <f t="shared" si="260"/>
        <v>39.099334716796875</v>
      </c>
      <c r="U308" s="106">
        <f t="shared" si="260"/>
        <v>39.991989135742188</v>
      </c>
      <c r="V308" s="106">
        <f t="shared" si="260"/>
        <v>37.874797821044922</v>
      </c>
      <c r="W308" s="106">
        <f t="shared" si="260"/>
        <v>36.707485198974609</v>
      </c>
      <c r="X308" s="106">
        <f t="shared" si="260"/>
        <v>37.027923583984375</v>
      </c>
      <c r="Y308" s="106">
        <f t="shared" si="260"/>
        <v>37.783245086669922</v>
      </c>
      <c r="Z308" s="106">
        <f t="shared" si="260"/>
        <v>45.737010955810547</v>
      </c>
      <c r="AA308" s="106">
        <f t="shared" si="260"/>
        <v>37.926300048828125</v>
      </c>
      <c r="AB308" s="106">
        <f t="shared" si="260"/>
        <v>34.338520050048828</v>
      </c>
      <c r="AC308" s="106">
        <f t="shared" si="260"/>
        <v>36.232547760009766</v>
      </c>
      <c r="AD308" s="106">
        <f t="shared" si="260"/>
        <v>42.88739013671875</v>
      </c>
      <c r="AE308" s="106">
        <f t="shared" si="260"/>
        <v>41.800182342529297</v>
      </c>
      <c r="AF308" s="106" t="str">
        <f t="shared" si="260"/>
        <v/>
      </c>
      <c r="AG308" s="106">
        <f t="shared" si="260"/>
        <v>37.022201538085938</v>
      </c>
      <c r="AH308" s="106">
        <f t="shared" si="260"/>
        <v>42.692836761474609</v>
      </c>
      <c r="AI308" s="106">
        <f t="shared" si="260"/>
        <v>43.030441284179688</v>
      </c>
      <c r="AJ308" s="106">
        <f t="shared" si="260"/>
        <v>39.047836303710937</v>
      </c>
      <c r="AK308" s="106">
        <f t="shared" si="260"/>
        <v>36.724651336669922</v>
      </c>
      <c r="AL308" s="199">
        <f t="shared" si="256"/>
        <v>38.551495022243927</v>
      </c>
      <c r="AM308" s="194">
        <f t="shared" si="257"/>
        <v>2.9172628062761858</v>
      </c>
      <c r="AN308" s="200">
        <f t="shared" si="258"/>
        <v>7.5671846308241655E-2</v>
      </c>
      <c r="AO308" s="104"/>
      <c r="AP308" s="74"/>
    </row>
    <row r="309" spans="1:42" s="105" customFormat="1">
      <c r="A309" s="242"/>
      <c r="B309" s="242"/>
      <c r="C309" s="172" t="str">
        <f>D82</f>
        <v>ΔIR</v>
      </c>
      <c r="D309" s="172"/>
      <c r="E309" s="172"/>
      <c r="F309" s="100" t="str">
        <f>IF(F82&lt;&gt;"",F82,"")</f>
        <v/>
      </c>
      <c r="G309" s="100" t="str">
        <f t="shared" ref="G309:AK309" si="261">IF(G82&lt;&gt;"",G82,"")</f>
        <v/>
      </c>
      <c r="H309" s="100">
        <f t="shared" si="261"/>
        <v>-1.5873015873015872E-2</v>
      </c>
      <c r="I309" s="100">
        <f t="shared" si="261"/>
        <v>-1.5873015873015876E-2</v>
      </c>
      <c r="J309" s="100" t="str">
        <f t="shared" si="261"/>
        <v/>
      </c>
      <c r="K309" s="100">
        <f t="shared" si="261"/>
        <v>-1.4400540233055233E-2</v>
      </c>
      <c r="L309" s="100">
        <f t="shared" si="261"/>
        <v>-1.549747584143665E-2</v>
      </c>
      <c r="M309" s="100" t="str">
        <f t="shared" si="261"/>
        <v/>
      </c>
      <c r="N309" s="100">
        <f t="shared" si="261"/>
        <v>-1.5805405734993911E-2</v>
      </c>
      <c r="O309" s="100">
        <f t="shared" si="261"/>
        <v>-1.4613850762909423E-2</v>
      </c>
      <c r="P309" s="100">
        <f t="shared" si="261"/>
        <v>-1.3435275209560728E-2</v>
      </c>
      <c r="Q309" s="100">
        <f t="shared" si="261"/>
        <v>-1.5388120663742833E-2</v>
      </c>
      <c r="R309" s="100">
        <f t="shared" si="261"/>
        <v>-1.340509420852622E-2</v>
      </c>
      <c r="S309" s="100">
        <f t="shared" si="261"/>
        <v>-1.3117323549435447E-2</v>
      </c>
      <c r="T309" s="100">
        <f t="shared" si="261"/>
        <v>-1.373381110574376E-2</v>
      </c>
      <c r="U309" s="100">
        <f t="shared" si="261"/>
        <v>-1.1815617564690588E-2</v>
      </c>
      <c r="V309" s="100">
        <f t="shared" si="261"/>
        <v>-1.5586171754883424E-2</v>
      </c>
      <c r="W309" s="100">
        <f t="shared" si="261"/>
        <v>-1.5873015873015872E-2</v>
      </c>
      <c r="X309" s="100">
        <f t="shared" si="261"/>
        <v>-1.5786278078068591E-2</v>
      </c>
      <c r="Y309" s="100">
        <f t="shared" si="261"/>
        <v>-1.5873015873015872E-2</v>
      </c>
      <c r="Z309" s="100">
        <f t="shared" si="261"/>
        <v>-1.461691316356593E-2</v>
      </c>
      <c r="AA309" s="100">
        <f t="shared" si="261"/>
        <v>-1.3791355501519591E-2</v>
      </c>
      <c r="AB309" s="100">
        <f t="shared" si="261"/>
        <v>-1.5873015873015872E-2</v>
      </c>
      <c r="AC309" s="100">
        <f t="shared" si="261"/>
        <v>-1.5873015873015872E-2</v>
      </c>
      <c r="AD309" s="100">
        <f t="shared" si="261"/>
        <v>-1.5873015873015872E-2</v>
      </c>
      <c r="AE309" s="100">
        <f t="shared" si="261"/>
        <v>-1.5873015873015872E-2</v>
      </c>
      <c r="AF309" s="100" t="str">
        <f t="shared" si="261"/>
        <v/>
      </c>
      <c r="AG309" s="100">
        <f t="shared" si="261"/>
        <v>-1.2691394376458985E-2</v>
      </c>
      <c r="AH309" s="100">
        <f t="shared" si="261"/>
        <v>-1.5873015873015872E-2</v>
      </c>
      <c r="AI309" s="100">
        <f t="shared" si="261"/>
        <v>-1.0428877837510307E-2</v>
      </c>
      <c r="AJ309" s="100">
        <f t="shared" si="261"/>
        <v>-1.5221211508232999E-2</v>
      </c>
      <c r="AK309" s="100">
        <f t="shared" si="261"/>
        <v>-1.2359812709549787E-2</v>
      </c>
      <c r="AL309" s="201">
        <f t="shared" si="256"/>
        <v>-1.4613024913371382E-2</v>
      </c>
      <c r="AM309" s="197">
        <f t="shared" si="257"/>
        <v>1.5249875527936158E-3</v>
      </c>
      <c r="AN309" s="200">
        <f t="shared" si="258"/>
        <v>-0.10435810257178195</v>
      </c>
      <c r="AO309" s="104"/>
      <c r="AP309" s="74"/>
    </row>
    <row r="310" spans="1:42">
      <c r="A310" s="242"/>
      <c r="B310" s="242" t="str">
        <f>B84</f>
        <v>HI</v>
      </c>
      <c r="C310" s="46" t="str">
        <f>C306</f>
        <v>R</v>
      </c>
      <c r="F310" s="106" t="str">
        <f>IF(F$305,F9,"")</f>
        <v/>
      </c>
      <c r="G310" s="106" t="str">
        <f t="shared" ref="G310:AK310" si="262">IF(G$305,G9,"")</f>
        <v/>
      </c>
      <c r="H310" s="106">
        <f t="shared" si="262"/>
        <v>37.537193298339844</v>
      </c>
      <c r="I310" s="106">
        <f t="shared" si="262"/>
        <v>43.324176788330078</v>
      </c>
      <c r="J310" s="106" t="str">
        <f t="shared" si="262"/>
        <v/>
      </c>
      <c r="K310" s="106">
        <f t="shared" si="262"/>
        <v>40.352481842041016</v>
      </c>
      <c r="L310" s="106">
        <f t="shared" si="262"/>
        <v>42.542152404785156</v>
      </c>
      <c r="M310" s="106" t="str">
        <f t="shared" si="262"/>
        <v/>
      </c>
      <c r="N310" s="106">
        <f t="shared" si="262"/>
        <v>46.452278137207031</v>
      </c>
      <c r="O310" s="106">
        <f t="shared" si="262"/>
        <v>41.603721618652344</v>
      </c>
      <c r="P310" s="106">
        <f t="shared" si="262"/>
        <v>45.201038360595703</v>
      </c>
      <c r="Q310" s="106">
        <f t="shared" si="262"/>
        <v>41.760128021240234</v>
      </c>
      <c r="R310" s="106">
        <f t="shared" si="262"/>
        <v>42.07293701171875</v>
      </c>
      <c r="S310" s="106">
        <f t="shared" si="262"/>
        <v>44.575416564941406</v>
      </c>
      <c r="T310" s="106">
        <f t="shared" si="262"/>
        <v>43.949798583984375</v>
      </c>
      <c r="U310" s="106">
        <f t="shared" si="262"/>
        <v>43.793392181396484</v>
      </c>
      <c r="V310" s="106">
        <f t="shared" si="262"/>
        <v>41.603721618652344</v>
      </c>
      <c r="W310" s="106">
        <f t="shared" si="262"/>
        <v>42.07293701171875</v>
      </c>
      <c r="X310" s="106">
        <f t="shared" si="262"/>
        <v>37.537193298339844</v>
      </c>
      <c r="Y310" s="106">
        <f t="shared" si="262"/>
        <v>47.234302520751953</v>
      </c>
      <c r="Z310" s="106">
        <f t="shared" si="262"/>
        <v>49.267566680908203</v>
      </c>
      <c r="AA310" s="106">
        <f t="shared" si="262"/>
        <v>42.385749816894531</v>
      </c>
      <c r="AB310" s="106">
        <f t="shared" si="262"/>
        <v>38.944839477539063</v>
      </c>
      <c r="AC310" s="106">
        <f t="shared" si="262"/>
        <v>40.0396728515625</v>
      </c>
      <c r="AD310" s="106">
        <f t="shared" si="262"/>
        <v>47.703517913818359</v>
      </c>
      <c r="AE310" s="106">
        <f t="shared" si="262"/>
        <v>50.362400054931641</v>
      </c>
      <c r="AF310" s="106" t="str">
        <f t="shared" si="262"/>
        <v/>
      </c>
      <c r="AG310" s="106">
        <f t="shared" si="262"/>
        <v>41.916534423828125</v>
      </c>
      <c r="AH310" s="106">
        <f t="shared" si="262"/>
        <v>51.144428253173828</v>
      </c>
      <c r="AI310" s="106">
        <f t="shared" si="262"/>
        <v>47.390708923339844</v>
      </c>
      <c r="AJ310" s="106">
        <f t="shared" si="262"/>
        <v>44.575416564941406</v>
      </c>
      <c r="AK310" s="106">
        <f t="shared" si="262"/>
        <v>40.821697235107422</v>
      </c>
      <c r="AL310" s="199">
        <f t="shared" si="256"/>
        <v>43.561681535508896</v>
      </c>
      <c r="AM310" s="194">
        <f t="shared" si="257"/>
        <v>3.6138510406649207</v>
      </c>
      <c r="AN310" s="200">
        <f t="shared" si="258"/>
        <v>8.2959401778811587E-2</v>
      </c>
      <c r="AO310" s="104"/>
      <c r="AP310" s="74"/>
    </row>
    <row r="311" spans="1:42">
      <c r="A311" s="242"/>
      <c r="B311" s="242"/>
      <c r="C311" s="111" t="str">
        <f t="shared" ref="C311:C312" si="263">C307</f>
        <v>G</v>
      </c>
      <c r="F311" s="106" t="str">
        <f t="shared" ref="F311:AK311" si="264">IF(F$305,F10*(1+IF(cmpSet&lt;64,cmpSet*F84,F86+(cmpSet-64)*F85)),"")</f>
        <v/>
      </c>
      <c r="G311" s="106" t="str">
        <f t="shared" si="264"/>
        <v/>
      </c>
      <c r="H311" s="106">
        <f t="shared" si="264"/>
        <v>1.4299883161272338</v>
      </c>
      <c r="I311" s="106">
        <f t="shared" si="264"/>
        <v>1.6087368556431378</v>
      </c>
      <c r="J311" s="106" t="str">
        <f t="shared" si="264"/>
        <v/>
      </c>
      <c r="K311" s="106">
        <f t="shared" si="264"/>
        <v>4.8187627338227763</v>
      </c>
      <c r="L311" s="106">
        <f t="shared" si="264"/>
        <v>2.4652402968633793</v>
      </c>
      <c r="M311" s="106" t="str">
        <f t="shared" si="264"/>
        <v/>
      </c>
      <c r="N311" s="106">
        <f t="shared" si="264"/>
        <v>1.7427983056931335</v>
      </c>
      <c r="O311" s="106">
        <f t="shared" si="264"/>
        <v>4.1037685757591618</v>
      </c>
      <c r="P311" s="106">
        <f t="shared" si="264"/>
        <v>6.4498431796119338</v>
      </c>
      <c r="Q311" s="106">
        <f t="shared" si="264"/>
        <v>2.3609702700660331</v>
      </c>
      <c r="R311" s="106">
        <f t="shared" si="264"/>
        <v>6.0774503435407379</v>
      </c>
      <c r="S311" s="106">
        <f t="shared" si="264"/>
        <v>7.4627515702020517</v>
      </c>
      <c r="T311" s="106">
        <f t="shared" si="264"/>
        <v>5.8987018948509577</v>
      </c>
      <c r="U311" s="106">
        <f t="shared" si="264"/>
        <v>11.640999203636532</v>
      </c>
      <c r="V311" s="106">
        <f t="shared" si="264"/>
        <v>2.115191050938197</v>
      </c>
      <c r="W311" s="106">
        <f t="shared" si="264"/>
        <v>1.7353503817603728</v>
      </c>
      <c r="X311" s="106">
        <f t="shared" si="264"/>
        <v>1.742798305693124</v>
      </c>
      <c r="Y311" s="106">
        <f t="shared" si="264"/>
        <v>1.8917554219563735</v>
      </c>
      <c r="Z311" s="106">
        <f t="shared" si="264"/>
        <v>4.6176706041608497</v>
      </c>
      <c r="AA311" s="106">
        <f t="shared" si="264"/>
        <v>5.7720883687337254</v>
      </c>
      <c r="AB311" s="106">
        <f t="shared" si="264"/>
        <v>1.4523319062732531</v>
      </c>
      <c r="AC311" s="106">
        <f t="shared" si="264"/>
        <v>1.5193625858851787</v>
      </c>
      <c r="AD311" s="106">
        <f t="shared" si="264"/>
        <v>1.6683197021484393</v>
      </c>
      <c r="AE311" s="106">
        <f t="shared" si="264"/>
        <v>1.7874854859851674</v>
      </c>
      <c r="AF311" s="106" t="str">
        <f t="shared" si="264"/>
        <v/>
      </c>
      <c r="AG311" s="106">
        <f t="shared" si="264"/>
        <v>7.8351444062732529</v>
      </c>
      <c r="AH311" s="106">
        <f t="shared" si="264"/>
        <v>1.7130068824404781</v>
      </c>
      <c r="AI311" s="106">
        <f t="shared" si="264"/>
        <v>13.465723855154856</v>
      </c>
      <c r="AJ311" s="106">
        <f t="shared" si="264"/>
        <v>2.9567988259451732</v>
      </c>
      <c r="AK311" s="106">
        <f t="shared" si="264"/>
        <v>8.2298806508382185</v>
      </c>
      <c r="AL311" s="199">
        <f t="shared" si="256"/>
        <v>4.2430711103705088</v>
      </c>
      <c r="AM311" s="194">
        <f t="shared" si="257"/>
        <v>3.2762634878868235</v>
      </c>
      <c r="AN311" s="200">
        <f t="shared" si="258"/>
        <v>0.77214437436113048</v>
      </c>
      <c r="AO311" s="104"/>
      <c r="AP311" s="74"/>
    </row>
    <row r="312" spans="1:42">
      <c r="A312" s="242"/>
      <c r="B312" s="242"/>
      <c r="C312" s="111" t="str">
        <f t="shared" si="263"/>
        <v>B</v>
      </c>
      <c r="F312" s="106" t="str">
        <f t="shared" ref="F312" si="265">IF(F$305,F11,"")</f>
        <v/>
      </c>
      <c r="G312" s="106" t="str">
        <f t="shared" ref="G312:AK312" si="266">IF(G$305,G11,"")</f>
        <v/>
      </c>
      <c r="H312" s="106">
        <f t="shared" si="266"/>
        <v>35.347522735595703</v>
      </c>
      <c r="I312" s="106">
        <f t="shared" si="266"/>
        <v>41.290912628173828</v>
      </c>
      <c r="J312" s="106" t="str">
        <f t="shared" si="266"/>
        <v/>
      </c>
      <c r="K312" s="106">
        <f t="shared" si="266"/>
        <v>38.00640869140625</v>
      </c>
      <c r="L312" s="106">
        <f t="shared" si="266"/>
        <v>40.0396728515625</v>
      </c>
      <c r="M312" s="106" t="str">
        <f t="shared" si="266"/>
        <v/>
      </c>
      <c r="N312" s="106">
        <f t="shared" si="266"/>
        <v>43.793392181396484</v>
      </c>
      <c r="O312" s="106">
        <f t="shared" si="266"/>
        <v>38.944839477539063</v>
      </c>
      <c r="P312" s="106">
        <f t="shared" si="266"/>
        <v>42.229343414306641</v>
      </c>
      <c r="Q312" s="106">
        <f t="shared" si="266"/>
        <v>39.414054870605469</v>
      </c>
      <c r="R312" s="106">
        <f t="shared" si="266"/>
        <v>39.101242065429688</v>
      </c>
      <c r="S312" s="106">
        <f t="shared" si="266"/>
        <v>42.07293701171875</v>
      </c>
      <c r="T312" s="106">
        <f t="shared" si="266"/>
        <v>41.447319030761719</v>
      </c>
      <c r="U312" s="106">
        <f t="shared" si="266"/>
        <v>41.290912628173828</v>
      </c>
      <c r="V312" s="106">
        <f t="shared" si="266"/>
        <v>39.101242065429688</v>
      </c>
      <c r="W312" s="106">
        <f t="shared" si="266"/>
        <v>39.414054870605469</v>
      </c>
      <c r="X312" s="106">
        <f t="shared" si="266"/>
        <v>35.660335540771484</v>
      </c>
      <c r="Y312" s="106">
        <f t="shared" si="266"/>
        <v>45.044631958007813</v>
      </c>
      <c r="Z312" s="106">
        <f t="shared" si="266"/>
        <v>46.139469146728516</v>
      </c>
      <c r="AA312" s="106">
        <f t="shared" si="266"/>
        <v>40.0396728515625</v>
      </c>
      <c r="AB312" s="106">
        <f t="shared" si="266"/>
        <v>36.755168914794922</v>
      </c>
      <c r="AC312" s="106">
        <f t="shared" si="266"/>
        <v>37.850002288818359</v>
      </c>
      <c r="AD312" s="106">
        <f t="shared" si="266"/>
        <v>45.201038360595703</v>
      </c>
      <c r="AE312" s="106">
        <f t="shared" si="266"/>
        <v>47.390708923339844</v>
      </c>
      <c r="AF312" s="106" t="str">
        <f t="shared" si="266"/>
        <v/>
      </c>
      <c r="AG312" s="106">
        <f t="shared" si="266"/>
        <v>39.414054870605469</v>
      </c>
      <c r="AH312" s="106">
        <f t="shared" si="266"/>
        <v>47.703517913818359</v>
      </c>
      <c r="AI312" s="106">
        <f t="shared" si="266"/>
        <v>44.419013977050781</v>
      </c>
      <c r="AJ312" s="106">
        <f t="shared" si="266"/>
        <v>41.760128021240234</v>
      </c>
      <c r="AK312" s="106">
        <f t="shared" si="266"/>
        <v>39.257648468017578</v>
      </c>
      <c r="AL312" s="199">
        <f t="shared" si="256"/>
        <v>41.041823916965058</v>
      </c>
      <c r="AM312" s="194">
        <f t="shared" si="257"/>
        <v>3.342504029592571</v>
      </c>
      <c r="AN312" s="200">
        <f t="shared" si="258"/>
        <v>8.1441410507365697E-2</v>
      </c>
      <c r="AO312" s="104"/>
      <c r="AP312" s="74"/>
    </row>
    <row r="313" spans="1:42" s="105" customFormat="1">
      <c r="A313" s="242"/>
      <c r="B313" s="242"/>
      <c r="C313" s="172" t="str">
        <f>D87</f>
        <v>ΔIR</v>
      </c>
      <c r="D313" s="151"/>
      <c r="E313" s="151"/>
      <c r="F313" s="100" t="str">
        <f>IF(F87&lt;&gt;"",F87,"")</f>
        <v/>
      </c>
      <c r="G313" s="100" t="str">
        <f t="shared" ref="G313:AK313" si="267">IF(G87&lt;&gt;"",G89,"")</f>
        <v/>
      </c>
      <c r="H313" s="100">
        <f t="shared" si="267"/>
        <v>-1.5873015873015872E-2</v>
      </c>
      <c r="I313" s="100">
        <f t="shared" si="267"/>
        <v>-1.5873015873015872E-2</v>
      </c>
      <c r="J313" s="100" t="str">
        <f t="shared" si="267"/>
        <v/>
      </c>
      <c r="K313" s="100">
        <f t="shared" si="267"/>
        <v>-1.4402563672294397E-2</v>
      </c>
      <c r="L313" s="100">
        <f t="shared" si="267"/>
        <v>-1.5459563170349477E-2</v>
      </c>
      <c r="M313" s="100" t="str">
        <f t="shared" si="267"/>
        <v/>
      </c>
      <c r="N313" s="100">
        <f t="shared" si="267"/>
        <v>-1.5802124319376974E-2</v>
      </c>
      <c r="O313" s="100">
        <f t="shared" si="267"/>
        <v>-1.460399903847843E-2</v>
      </c>
      <c r="P313" s="100">
        <f t="shared" si="267"/>
        <v>-1.3382763239576897E-2</v>
      </c>
      <c r="Q313" s="100">
        <f t="shared" si="267"/>
        <v>-1.5388847210734729E-2</v>
      </c>
      <c r="R313" s="100">
        <f t="shared" si="267"/>
        <v>-1.3383791030404995E-2</v>
      </c>
      <c r="S313" s="100">
        <f t="shared" si="267"/>
        <v>-1.3100918355268875E-2</v>
      </c>
      <c r="T313" s="100">
        <f t="shared" si="267"/>
        <v>-1.3717759164289037E-2</v>
      </c>
      <c r="U313" s="100">
        <f t="shared" si="267"/>
        <v>-1.1459805420227087E-2</v>
      </c>
      <c r="V313" s="100">
        <f t="shared" si="267"/>
        <v>-1.5573976011273022E-2</v>
      </c>
      <c r="W313" s="100">
        <f t="shared" si="267"/>
        <v>-1.5835755271841667E-2</v>
      </c>
      <c r="X313" s="100">
        <f t="shared" si="267"/>
        <v>-1.5747827308665308E-2</v>
      </c>
      <c r="Y313" s="100">
        <f t="shared" si="267"/>
        <v>-1.5873015873015872E-2</v>
      </c>
      <c r="Z313" s="100">
        <f t="shared" si="267"/>
        <v>-1.4616657639984024E-2</v>
      </c>
      <c r="AA313" s="100">
        <f t="shared" si="267"/>
        <v>-1.3798594029284048E-2</v>
      </c>
      <c r="AB313" s="100">
        <f t="shared" si="267"/>
        <v>-1.5873015873015872E-2</v>
      </c>
      <c r="AC313" s="100">
        <f t="shared" si="267"/>
        <v>-1.5873015873015872E-2</v>
      </c>
      <c r="AD313" s="100">
        <f t="shared" si="267"/>
        <v>-1.5873015873015872E-2</v>
      </c>
      <c r="AE313" s="100">
        <f t="shared" si="267"/>
        <v>-1.5836940838940529E-2</v>
      </c>
      <c r="AF313" s="100" t="str">
        <f t="shared" si="267"/>
        <v/>
      </c>
      <c r="AG313" s="100">
        <f t="shared" si="267"/>
        <v>-1.2709878171157679E-2</v>
      </c>
      <c r="AH313" s="100">
        <f t="shared" si="267"/>
        <v>-1.5873015873015872E-2</v>
      </c>
      <c r="AI313" s="100">
        <f t="shared" si="267"/>
        <v>-1.0401016514713949E-2</v>
      </c>
      <c r="AJ313" s="100">
        <f t="shared" si="267"/>
        <v>-1.5217949780864198E-2</v>
      </c>
      <c r="AK313" s="100">
        <f t="shared" si="267"/>
        <v>-1.2374253986627996E-2</v>
      </c>
      <c r="AL313" s="201">
        <f t="shared" ref="AL313" si="268">AVERAGE(F313:AK313)</f>
        <v>-1.458985538094313E-2</v>
      </c>
      <c r="AM313" s="197">
        <f t="shared" ref="AM313" si="269">STDEV(F313:AK313)</f>
        <v>1.5509214612584468E-3</v>
      </c>
      <c r="AN313" s="200">
        <f t="shared" ref="AN313" si="270">AM313/AL313</f>
        <v>-0.10630135945584615</v>
      </c>
      <c r="AO313" s="104"/>
      <c r="AP313" s="74"/>
    </row>
    <row r="314" spans="1:42" s="105" customFormat="1">
      <c r="A314" s="159"/>
      <c r="B314" s="172"/>
      <c r="C314" s="172"/>
      <c r="D314" s="172"/>
      <c r="E314" s="172"/>
      <c r="F314" s="100"/>
      <c r="G314" s="100"/>
      <c r="H314" s="100"/>
      <c r="I314" s="100"/>
      <c r="J314" s="100"/>
      <c r="K314" s="100"/>
      <c r="L314" s="100"/>
      <c r="M314" s="100"/>
      <c r="N314" s="100"/>
      <c r="O314" s="100"/>
      <c r="P314" s="100"/>
      <c r="Q314" s="100"/>
      <c r="R314" s="100"/>
      <c r="S314" s="100"/>
      <c r="T314" s="100"/>
      <c r="U314" s="100"/>
      <c r="V314" s="100"/>
      <c r="W314" s="100"/>
      <c r="X314" s="100"/>
      <c r="Y314" s="100"/>
      <c r="Z314" s="100"/>
      <c r="AA314" s="100"/>
      <c r="AB314" s="100"/>
      <c r="AC314" s="100"/>
      <c r="AD314" s="100"/>
      <c r="AE314" s="100"/>
      <c r="AF314" s="100"/>
      <c r="AG314" s="100"/>
      <c r="AH314" s="100"/>
      <c r="AI314" s="100"/>
      <c r="AJ314" s="100"/>
      <c r="AK314" s="100"/>
      <c r="AL314" s="201"/>
      <c r="AM314" s="197"/>
      <c r="AN314" s="200"/>
      <c r="AO314" s="104"/>
      <c r="AP314" s="74"/>
    </row>
    <row r="315" spans="1:42" s="105" customFormat="1">
      <c r="A315" s="159"/>
      <c r="B315" s="172"/>
      <c r="C315" s="172"/>
      <c r="D315" s="172"/>
      <c r="E315" s="172"/>
      <c r="F315" s="100"/>
      <c r="G315" s="100"/>
      <c r="H315" s="100"/>
      <c r="I315" s="100"/>
      <c r="J315" s="100"/>
      <c r="K315" s="100"/>
      <c r="L315" s="100"/>
      <c r="M315" s="100"/>
      <c r="N315" s="100"/>
      <c r="O315" s="100"/>
      <c r="P315" s="100"/>
      <c r="Q315" s="100"/>
      <c r="R315" s="100"/>
      <c r="S315" s="100"/>
      <c r="T315" s="100"/>
      <c r="U315" s="100"/>
      <c r="V315" s="100"/>
      <c r="W315" s="100"/>
      <c r="X315" s="100"/>
      <c r="Y315" s="100"/>
      <c r="Z315" s="100"/>
      <c r="AA315" s="100"/>
      <c r="AB315" s="100"/>
      <c r="AC315" s="100"/>
      <c r="AD315" s="100"/>
      <c r="AE315" s="100"/>
      <c r="AF315" s="100"/>
      <c r="AG315" s="100"/>
      <c r="AH315" s="100"/>
      <c r="AI315" s="100"/>
      <c r="AJ315" s="100"/>
      <c r="AK315" s="100"/>
      <c r="AL315" s="201"/>
      <c r="AM315" s="197"/>
      <c r="AN315" s="200"/>
      <c r="AO315" s="104"/>
      <c r="AP315" s="74"/>
    </row>
    <row r="316" spans="1:42" s="105" customFormat="1">
      <c r="A316" s="159"/>
      <c r="B316" s="172"/>
      <c r="C316" s="172"/>
      <c r="D316" s="172"/>
      <c r="E316" s="172"/>
      <c r="F316" s="100"/>
      <c r="G316" s="100"/>
      <c r="H316" s="100"/>
      <c r="I316" s="100"/>
      <c r="J316" s="100"/>
      <c r="K316" s="100"/>
      <c r="L316" s="100"/>
      <c r="M316" s="100"/>
      <c r="N316" s="100"/>
      <c r="O316" s="100"/>
      <c r="P316" s="100"/>
      <c r="Q316" s="100"/>
      <c r="R316" s="100"/>
      <c r="S316" s="100"/>
      <c r="T316" s="100"/>
      <c r="U316" s="100"/>
      <c r="V316" s="100"/>
      <c r="W316" s="100"/>
      <c r="X316" s="100"/>
      <c r="Y316" s="100"/>
      <c r="Z316" s="100"/>
      <c r="AA316" s="100"/>
      <c r="AB316" s="100"/>
      <c r="AC316" s="100"/>
      <c r="AD316" s="100"/>
      <c r="AE316" s="100"/>
      <c r="AF316" s="100"/>
      <c r="AG316" s="100"/>
      <c r="AH316" s="100"/>
      <c r="AI316" s="100"/>
      <c r="AJ316" s="100"/>
      <c r="AK316" s="100"/>
      <c r="AL316" s="201"/>
      <c r="AM316" s="197"/>
      <c r="AN316" s="200"/>
      <c r="AO316" s="104"/>
      <c r="AP316" s="74"/>
    </row>
    <row r="317" spans="1:42" s="105" customFormat="1">
      <c r="A317" s="159"/>
      <c r="B317" s="172"/>
      <c r="C317" s="172"/>
      <c r="D317" s="172"/>
      <c r="E317" s="172"/>
      <c r="F317" s="100"/>
      <c r="G317" s="100"/>
      <c r="H317" s="100"/>
      <c r="I317" s="100"/>
      <c r="J317" s="100"/>
      <c r="K317" s="100"/>
      <c r="L317" s="100"/>
      <c r="M317" s="100"/>
      <c r="N317" s="100"/>
      <c r="O317" s="100"/>
      <c r="P317" s="100"/>
      <c r="Q317" s="100"/>
      <c r="R317" s="100"/>
      <c r="S317" s="100"/>
      <c r="T317" s="100"/>
      <c r="U317" s="100"/>
      <c r="V317" s="100"/>
      <c r="W317" s="100"/>
      <c r="X317" s="100"/>
      <c r="Y317" s="100"/>
      <c r="Z317" s="100"/>
      <c r="AA317" s="100"/>
      <c r="AB317" s="100"/>
      <c r="AC317" s="100"/>
      <c r="AD317" s="100"/>
      <c r="AE317" s="100"/>
      <c r="AF317" s="100"/>
      <c r="AG317" s="100"/>
      <c r="AH317" s="100"/>
      <c r="AI317" s="100"/>
      <c r="AJ317" s="100"/>
      <c r="AK317" s="100"/>
      <c r="AL317" s="201"/>
      <c r="AM317" s="197"/>
      <c r="AN317" s="200"/>
      <c r="AO317" s="104"/>
      <c r="AP317" s="74"/>
    </row>
    <row r="318" spans="1:42" s="105" customFormat="1">
      <c r="A318" s="159"/>
      <c r="B318" s="172"/>
      <c r="C318" s="172"/>
      <c r="D318" s="172"/>
      <c r="E318" s="172"/>
      <c r="F318" s="100"/>
      <c r="G318" s="100"/>
      <c r="H318" s="100"/>
      <c r="I318" s="100"/>
      <c r="J318" s="100"/>
      <c r="K318" s="100"/>
      <c r="L318" s="100"/>
      <c r="M318" s="100"/>
      <c r="N318" s="100"/>
      <c r="O318" s="100"/>
      <c r="P318" s="100"/>
      <c r="Q318" s="100"/>
      <c r="R318" s="100"/>
      <c r="S318" s="100"/>
      <c r="T318" s="100"/>
      <c r="U318" s="100"/>
      <c r="V318" s="100"/>
      <c r="W318" s="100"/>
      <c r="X318" s="100"/>
      <c r="Y318" s="100"/>
      <c r="Z318" s="100"/>
      <c r="AA318" s="100"/>
      <c r="AB318" s="100"/>
      <c r="AC318" s="100"/>
      <c r="AD318" s="100"/>
      <c r="AE318" s="100"/>
      <c r="AF318" s="100"/>
      <c r="AG318" s="100"/>
      <c r="AH318" s="100"/>
      <c r="AI318" s="100"/>
      <c r="AJ318" s="100"/>
      <c r="AK318" s="100"/>
      <c r="AL318" s="201"/>
      <c r="AM318" s="197"/>
      <c r="AN318" s="200"/>
      <c r="AO318" s="172"/>
      <c r="AP318" s="74"/>
    </row>
    <row r="319" spans="1:42" s="105" customFormat="1">
      <c r="A319" s="159"/>
      <c r="B319" s="172"/>
      <c r="C319" s="172"/>
      <c r="D319" s="172"/>
      <c r="E319" s="172"/>
      <c r="F319" s="100"/>
      <c r="G319" s="100"/>
      <c r="H319" s="100"/>
      <c r="I319" s="100"/>
      <c r="J319" s="100"/>
      <c r="K319" s="100"/>
      <c r="L319" s="100"/>
      <c r="M319" s="100"/>
      <c r="N319" s="100"/>
      <c r="O319" s="100"/>
      <c r="P319" s="100"/>
      <c r="Q319" s="100"/>
      <c r="R319" s="100"/>
      <c r="S319" s="100"/>
      <c r="T319" s="100"/>
      <c r="U319" s="100"/>
      <c r="V319" s="100"/>
      <c r="W319" s="100"/>
      <c r="X319" s="100"/>
      <c r="Y319" s="100"/>
      <c r="Z319" s="100"/>
      <c r="AA319" s="100"/>
      <c r="AB319" s="100"/>
      <c r="AC319" s="100"/>
      <c r="AD319" s="100"/>
      <c r="AE319" s="100"/>
      <c r="AF319" s="100"/>
      <c r="AG319" s="100"/>
      <c r="AH319" s="100"/>
      <c r="AI319" s="100"/>
      <c r="AJ319" s="100"/>
      <c r="AK319" s="100"/>
      <c r="AL319" s="201"/>
      <c r="AM319" s="197"/>
      <c r="AN319" s="200"/>
      <c r="AO319" s="172"/>
      <c r="AP319" s="74"/>
    </row>
    <row r="320" spans="1:42" s="105" customFormat="1">
      <c r="A320" s="159"/>
      <c r="B320" s="172"/>
      <c r="C320" s="172"/>
      <c r="D320" s="172"/>
      <c r="E320" s="172"/>
      <c r="F320" s="100"/>
      <c r="G320" s="100"/>
      <c r="H320" s="100"/>
      <c r="I320" s="100"/>
      <c r="J320" s="100"/>
      <c r="K320" s="100"/>
      <c r="L320" s="100"/>
      <c r="M320" s="100"/>
      <c r="N320" s="100"/>
      <c r="O320" s="100"/>
      <c r="P320" s="100"/>
      <c r="Q320" s="100"/>
      <c r="R320" s="100"/>
      <c r="S320" s="100"/>
      <c r="T320" s="100"/>
      <c r="U320" s="100"/>
      <c r="V320" s="100"/>
      <c r="W320" s="100"/>
      <c r="X320" s="100"/>
      <c r="Y320" s="100"/>
      <c r="Z320" s="100"/>
      <c r="AA320" s="100"/>
      <c r="AB320" s="100"/>
      <c r="AC320" s="100"/>
      <c r="AD320" s="100"/>
      <c r="AE320" s="100"/>
      <c r="AF320" s="100"/>
      <c r="AG320" s="100"/>
      <c r="AH320" s="100"/>
      <c r="AI320" s="100"/>
      <c r="AJ320" s="100"/>
      <c r="AK320" s="100"/>
      <c r="AL320" s="201"/>
      <c r="AM320" s="197"/>
      <c r="AN320" s="200"/>
      <c r="AO320" s="172"/>
      <c r="AP320" s="74"/>
    </row>
    <row r="321" spans="1:42" s="105" customFormat="1">
      <c r="A321" s="159"/>
      <c r="B321" s="172"/>
      <c r="C321" s="172"/>
      <c r="D321" s="172"/>
      <c r="E321" s="172"/>
      <c r="F321" s="100"/>
      <c r="G321" s="100"/>
      <c r="H321" s="100"/>
      <c r="I321" s="100"/>
      <c r="J321" s="100"/>
      <c r="K321" s="100"/>
      <c r="L321" s="100"/>
      <c r="M321" s="100"/>
      <c r="N321" s="100"/>
      <c r="O321" s="100"/>
      <c r="P321" s="100"/>
      <c r="Q321" s="100"/>
      <c r="R321" s="100"/>
      <c r="S321" s="100"/>
      <c r="T321" s="100"/>
      <c r="U321" s="100"/>
      <c r="V321" s="100"/>
      <c r="W321" s="100"/>
      <c r="X321" s="100"/>
      <c r="Y321" s="100"/>
      <c r="Z321" s="100"/>
      <c r="AA321" s="100"/>
      <c r="AB321" s="100"/>
      <c r="AC321" s="100"/>
      <c r="AD321" s="100"/>
      <c r="AE321" s="100"/>
      <c r="AF321" s="100"/>
      <c r="AG321" s="100"/>
      <c r="AH321" s="100"/>
      <c r="AI321" s="100"/>
      <c r="AJ321" s="100"/>
      <c r="AK321" s="100"/>
      <c r="AL321" s="201"/>
      <c r="AM321" s="197"/>
      <c r="AN321" s="200"/>
      <c r="AO321" s="172"/>
      <c r="AP321" s="74"/>
    </row>
    <row r="322" spans="1:42" s="105" customFormat="1">
      <c r="A322" s="159"/>
      <c r="B322" s="172"/>
      <c r="C322" s="172"/>
      <c r="D322" s="172"/>
      <c r="E322" s="172"/>
      <c r="F322" s="100"/>
      <c r="G322" s="100"/>
      <c r="H322" s="100"/>
      <c r="I322" s="100"/>
      <c r="J322" s="100"/>
      <c r="K322" s="100"/>
      <c r="L322" s="100"/>
      <c r="M322" s="100"/>
      <c r="N322" s="100"/>
      <c r="O322" s="100"/>
      <c r="P322" s="100"/>
      <c r="Q322" s="100"/>
      <c r="R322" s="100"/>
      <c r="S322" s="100"/>
      <c r="T322" s="100"/>
      <c r="U322" s="100"/>
      <c r="V322" s="100"/>
      <c r="W322" s="100"/>
      <c r="X322" s="100"/>
      <c r="Y322" s="100"/>
      <c r="Z322" s="100"/>
      <c r="AA322" s="100"/>
      <c r="AB322" s="100"/>
      <c r="AC322" s="100"/>
      <c r="AD322" s="100"/>
      <c r="AE322" s="100"/>
      <c r="AF322" s="100"/>
      <c r="AG322" s="100"/>
      <c r="AH322" s="100"/>
      <c r="AI322" s="100"/>
      <c r="AJ322" s="100"/>
      <c r="AK322" s="100"/>
      <c r="AL322" s="201"/>
      <c r="AM322" s="197"/>
      <c r="AN322" s="200"/>
      <c r="AO322" s="172"/>
      <c r="AP322" s="74"/>
    </row>
    <row r="323" spans="1:42" s="105" customFormat="1">
      <c r="A323" s="159"/>
      <c r="B323" s="172"/>
      <c r="C323" s="172"/>
      <c r="D323" s="172"/>
      <c r="E323" s="172"/>
      <c r="F323" s="100"/>
      <c r="G323" s="100"/>
      <c r="H323" s="100"/>
      <c r="I323" s="100"/>
      <c r="J323" s="100"/>
      <c r="K323" s="100"/>
      <c r="L323" s="100"/>
      <c r="M323" s="100"/>
      <c r="N323" s="100"/>
      <c r="O323" s="100"/>
      <c r="P323" s="100"/>
      <c r="Q323" s="100"/>
      <c r="R323" s="100"/>
      <c r="S323" s="100"/>
      <c r="T323" s="100"/>
      <c r="U323" s="100"/>
      <c r="V323" s="100"/>
      <c r="W323" s="100"/>
      <c r="X323" s="100"/>
      <c r="Y323" s="100"/>
      <c r="Z323" s="100"/>
      <c r="AA323" s="100"/>
      <c r="AB323" s="100"/>
      <c r="AC323" s="100"/>
      <c r="AD323" s="100"/>
      <c r="AE323" s="100"/>
      <c r="AF323" s="100"/>
      <c r="AG323" s="100"/>
      <c r="AH323" s="100"/>
      <c r="AI323" s="100"/>
      <c r="AJ323" s="100"/>
      <c r="AK323" s="100"/>
      <c r="AL323" s="201"/>
      <c r="AM323" s="197"/>
      <c r="AN323" s="200"/>
      <c r="AO323" s="172"/>
      <c r="AP323" s="74"/>
    </row>
    <row r="324" spans="1:42" s="105" customFormat="1">
      <c r="A324" s="159"/>
      <c r="B324" s="172"/>
      <c r="C324" s="172"/>
      <c r="D324" s="172"/>
      <c r="E324" s="172"/>
      <c r="F324" s="100"/>
      <c r="G324" s="100"/>
      <c r="H324" s="100"/>
      <c r="I324" s="100"/>
      <c r="J324" s="100"/>
      <c r="K324" s="100"/>
      <c r="L324" s="100"/>
      <c r="M324" s="100"/>
      <c r="N324" s="100"/>
      <c r="O324" s="100"/>
      <c r="P324" s="100"/>
      <c r="Q324" s="100"/>
      <c r="R324" s="100"/>
      <c r="S324" s="100"/>
      <c r="T324" s="100"/>
      <c r="U324" s="100"/>
      <c r="V324" s="100"/>
      <c r="W324" s="100"/>
      <c r="X324" s="100"/>
      <c r="Y324" s="100"/>
      <c r="Z324" s="100"/>
      <c r="AA324" s="100"/>
      <c r="AB324" s="100"/>
      <c r="AC324" s="100"/>
      <c r="AD324" s="100"/>
      <c r="AE324" s="100"/>
      <c r="AF324" s="100"/>
      <c r="AG324" s="100"/>
      <c r="AH324" s="100"/>
      <c r="AI324" s="100"/>
      <c r="AJ324" s="100"/>
      <c r="AK324" s="100"/>
      <c r="AL324" s="201"/>
      <c r="AM324" s="197"/>
      <c r="AN324" s="200"/>
      <c r="AO324" s="172"/>
      <c r="AP324" s="74"/>
    </row>
    <row r="325" spans="1:42" s="105" customFormat="1">
      <c r="A325" s="159"/>
      <c r="B325" s="172"/>
      <c r="C325" s="172"/>
      <c r="D325" s="172"/>
      <c r="E325" s="172"/>
      <c r="F325" s="100"/>
      <c r="G325" s="100"/>
      <c r="H325" s="100"/>
      <c r="I325" s="100"/>
      <c r="J325" s="100"/>
      <c r="K325" s="100"/>
      <c r="L325" s="100"/>
      <c r="M325" s="100"/>
      <c r="N325" s="100"/>
      <c r="O325" s="100"/>
      <c r="P325" s="100"/>
      <c r="Q325" s="100"/>
      <c r="R325" s="100"/>
      <c r="S325" s="100"/>
      <c r="T325" s="100"/>
      <c r="U325" s="100"/>
      <c r="V325" s="100"/>
      <c r="W325" s="100"/>
      <c r="X325" s="100"/>
      <c r="Y325" s="100"/>
      <c r="Z325" s="100"/>
      <c r="AA325" s="100"/>
      <c r="AB325" s="100"/>
      <c r="AC325" s="100"/>
      <c r="AD325" s="100"/>
      <c r="AE325" s="100"/>
      <c r="AF325" s="100"/>
      <c r="AG325" s="100"/>
      <c r="AH325" s="100"/>
      <c r="AI325" s="100"/>
      <c r="AJ325" s="100"/>
      <c r="AK325" s="100"/>
      <c r="AL325" s="201"/>
      <c r="AM325" s="197"/>
      <c r="AN325" s="200"/>
      <c r="AO325" s="172"/>
      <c r="AP325" s="74"/>
    </row>
    <row r="326" spans="1:42" s="105" customFormat="1">
      <c r="A326" s="159"/>
      <c r="B326" s="172"/>
      <c r="C326" s="172"/>
      <c r="D326" s="172"/>
      <c r="E326" s="172"/>
      <c r="F326" s="100"/>
      <c r="G326" s="100"/>
      <c r="H326" s="100"/>
      <c r="I326" s="100"/>
      <c r="J326" s="100"/>
      <c r="K326" s="100"/>
      <c r="L326" s="100"/>
      <c r="M326" s="100"/>
      <c r="N326" s="100"/>
      <c r="O326" s="100"/>
      <c r="P326" s="100"/>
      <c r="Q326" s="100"/>
      <c r="R326" s="100"/>
      <c r="S326" s="100"/>
      <c r="T326" s="100"/>
      <c r="U326" s="100"/>
      <c r="V326" s="100"/>
      <c r="W326" s="100"/>
      <c r="X326" s="100"/>
      <c r="Y326" s="100"/>
      <c r="Z326" s="100"/>
      <c r="AA326" s="100"/>
      <c r="AB326" s="100"/>
      <c r="AC326" s="100"/>
      <c r="AD326" s="100"/>
      <c r="AE326" s="100"/>
      <c r="AF326" s="100"/>
      <c r="AG326" s="100"/>
      <c r="AH326" s="100"/>
      <c r="AI326" s="100"/>
      <c r="AJ326" s="100"/>
      <c r="AK326" s="100"/>
      <c r="AL326" s="201"/>
      <c r="AM326" s="197"/>
      <c r="AN326" s="200"/>
      <c r="AO326" s="172"/>
      <c r="AP326" s="74"/>
    </row>
    <row r="327" spans="1:42" s="105" customFormat="1">
      <c r="A327" s="159"/>
      <c r="B327" s="172"/>
      <c r="C327" s="172"/>
      <c r="D327" s="172"/>
      <c r="E327" s="172"/>
      <c r="F327" s="100"/>
      <c r="G327" s="100"/>
      <c r="H327" s="100"/>
      <c r="I327" s="100"/>
      <c r="J327" s="100"/>
      <c r="K327" s="100"/>
      <c r="L327" s="100"/>
      <c r="M327" s="100"/>
      <c r="N327" s="100"/>
      <c r="O327" s="100"/>
      <c r="P327" s="100"/>
      <c r="Q327" s="100"/>
      <c r="R327" s="100"/>
      <c r="S327" s="100"/>
      <c r="T327" s="100"/>
      <c r="U327" s="100"/>
      <c r="V327" s="100"/>
      <c r="W327" s="100"/>
      <c r="X327" s="100"/>
      <c r="Y327" s="100"/>
      <c r="Z327" s="100"/>
      <c r="AA327" s="100"/>
      <c r="AB327" s="100"/>
      <c r="AC327" s="100"/>
      <c r="AD327" s="100"/>
      <c r="AE327" s="100"/>
      <c r="AF327" s="100"/>
      <c r="AG327" s="100"/>
      <c r="AH327" s="100"/>
      <c r="AI327" s="100"/>
      <c r="AJ327" s="100"/>
      <c r="AK327" s="100"/>
      <c r="AL327" s="201"/>
      <c r="AM327" s="197"/>
      <c r="AN327" s="200"/>
      <c r="AO327" s="172"/>
      <c r="AP327" s="74"/>
    </row>
    <row r="328" spans="1:42">
      <c r="A328" s="242" t="str">
        <f>A91</f>
        <v>A</v>
      </c>
      <c r="B328" s="242" t="str">
        <f>B91</f>
        <v>LO</v>
      </c>
      <c r="C328" s="172" t="str">
        <f>C15</f>
        <v>R</v>
      </c>
      <c r="D328" s="172"/>
      <c r="E328" s="172"/>
      <c r="F328" s="106" t="str">
        <f>IF(F$305,F15,"")</f>
        <v/>
      </c>
      <c r="G328" s="106" t="str">
        <f t="shared" ref="G328:AK328" si="271">IF(G$305,G15,"")</f>
        <v/>
      </c>
      <c r="H328" s="106">
        <f t="shared" si="271"/>
        <v>26.596475601196289</v>
      </c>
      <c r="I328" s="106">
        <f t="shared" si="271"/>
        <v>31.380178451538086</v>
      </c>
      <c r="J328" s="106" t="str">
        <f t="shared" si="271"/>
        <v/>
      </c>
      <c r="K328" s="106">
        <f t="shared" si="271"/>
        <v>28.959716796875</v>
      </c>
      <c r="L328" s="106">
        <f t="shared" si="271"/>
        <v>31.311511993408203</v>
      </c>
      <c r="M328" s="106" t="str">
        <f t="shared" si="271"/>
        <v/>
      </c>
      <c r="N328" s="106">
        <f t="shared" si="271"/>
        <v>30.916685104370117</v>
      </c>
      <c r="O328" s="106">
        <f t="shared" si="271"/>
        <v>27.935453414916992</v>
      </c>
      <c r="P328" s="106">
        <f t="shared" si="271"/>
        <v>31.071184158325195</v>
      </c>
      <c r="Q328" s="106">
        <f t="shared" si="271"/>
        <v>31.517509460449219</v>
      </c>
      <c r="R328" s="106">
        <f t="shared" si="271"/>
        <v>30.876630783081055</v>
      </c>
      <c r="S328" s="106">
        <f t="shared" si="271"/>
        <v>31.002517700195313</v>
      </c>
      <c r="T328" s="106">
        <f t="shared" si="271"/>
        <v>30.973907470703125</v>
      </c>
      <c r="U328" s="106">
        <f t="shared" si="271"/>
        <v>31.97528076171875</v>
      </c>
      <c r="V328" s="106">
        <f t="shared" si="271"/>
        <v>30.292972564697266</v>
      </c>
      <c r="W328" s="106">
        <f t="shared" si="271"/>
        <v>29.308765411376953</v>
      </c>
      <c r="X328" s="106">
        <f t="shared" si="271"/>
        <v>29.12565803527832</v>
      </c>
      <c r="Y328" s="106">
        <f t="shared" si="271"/>
        <v>30.109865188598633</v>
      </c>
      <c r="Z328" s="106">
        <f t="shared" si="271"/>
        <v>36.587318420410156</v>
      </c>
      <c r="AA328" s="106">
        <f t="shared" si="271"/>
        <v>30.287250518798828</v>
      </c>
      <c r="AB328" s="106">
        <f t="shared" si="271"/>
        <v>27.729457855224609</v>
      </c>
      <c r="AC328" s="106">
        <f t="shared" si="271"/>
        <v>29.022659301757813</v>
      </c>
      <c r="AD328" s="106">
        <f t="shared" si="271"/>
        <v>33.182651519775391</v>
      </c>
      <c r="AE328" s="106">
        <f t="shared" si="271"/>
        <v>32.547492980957031</v>
      </c>
      <c r="AF328" s="106" t="str">
        <f t="shared" si="271"/>
        <v/>
      </c>
      <c r="AG328" s="106">
        <f t="shared" si="271"/>
        <v>29.343099594116211</v>
      </c>
      <c r="AH328" s="106">
        <f t="shared" si="271"/>
        <v>33.491645812988281</v>
      </c>
      <c r="AI328" s="106">
        <f t="shared" si="271"/>
        <v>33.943695068359375</v>
      </c>
      <c r="AJ328" s="106">
        <f t="shared" si="271"/>
        <v>30.84229850769043</v>
      </c>
      <c r="AK328" s="106">
        <f t="shared" si="271"/>
        <v>28.301670074462891</v>
      </c>
      <c r="AL328" s="199">
        <f t="shared" ref="AL328:AL335" si="272">AVERAGE(F328:AK328)</f>
        <v>30.690131575972945</v>
      </c>
      <c r="AM328" s="194">
        <f t="shared" ref="AM328:AM335" si="273">STDEV(F328:AK328)</f>
        <v>2.1296699468860085</v>
      </c>
      <c r="AN328" s="200">
        <f t="shared" ref="AN328:AN335" si="274">AM328/AL328</f>
        <v>6.9392662641867262E-2</v>
      </c>
      <c r="AO328" s="104"/>
      <c r="AP328" s="74"/>
    </row>
    <row r="329" spans="1:42">
      <c r="A329" s="242"/>
      <c r="B329" s="242"/>
      <c r="C329" s="172" t="str">
        <f>C16</f>
        <v>G</v>
      </c>
      <c r="D329" s="172"/>
      <c r="E329" s="172"/>
      <c r="F329" s="106" t="str">
        <f t="shared" ref="F329:AK329" si="275">IF(F$305,F16*(1+IF(cmpSet&lt;64,cmpSet*F91,F93+(cmpSet-64)*F92)),"")</f>
        <v/>
      </c>
      <c r="G329" s="106" t="str">
        <f t="shared" si="275"/>
        <v/>
      </c>
      <c r="H329" s="106">
        <f t="shared" si="275"/>
        <v>3.6452712558564708</v>
      </c>
      <c r="I329" s="106">
        <f t="shared" si="275"/>
        <v>4.3177581060500376</v>
      </c>
      <c r="J329" s="106" t="str">
        <f t="shared" si="275"/>
        <v/>
      </c>
      <c r="K329" s="106">
        <f t="shared" si="275"/>
        <v>7.867115747360959</v>
      </c>
      <c r="L329" s="106">
        <f t="shared" si="275"/>
        <v>6.2166887919108049</v>
      </c>
      <c r="M329" s="106" t="str">
        <f t="shared" si="275"/>
        <v/>
      </c>
      <c r="N329" s="106">
        <f t="shared" si="275"/>
        <v>5.3956990014939095</v>
      </c>
      <c r="O329" s="106">
        <f t="shared" si="275"/>
        <v>6.7921719324021108</v>
      </c>
      <c r="P329" s="106">
        <f t="shared" si="275"/>
        <v>8.0009046282087031</v>
      </c>
      <c r="Q329" s="106">
        <f t="shared" si="275"/>
        <v>6.0281313033330992</v>
      </c>
      <c r="R329" s="106">
        <f t="shared" si="275"/>
        <v>8.2513161613827641</v>
      </c>
      <c r="S329" s="106">
        <f t="shared" si="275"/>
        <v>9.1998278299967442</v>
      </c>
      <c r="T329" s="106">
        <f t="shared" si="275"/>
        <v>8.2082636696951727</v>
      </c>
      <c r="U329" s="106">
        <f t="shared" si="275"/>
        <v>12.297408966791064</v>
      </c>
      <c r="V329" s="106">
        <f t="shared" si="275"/>
        <v>5.7311253320603139</v>
      </c>
      <c r="W329" s="106">
        <f t="shared" si="275"/>
        <v>4.8777099336896645</v>
      </c>
      <c r="X329" s="106">
        <f t="shared" si="275"/>
        <v>5.8799004327683217</v>
      </c>
      <c r="Y329" s="106">
        <f t="shared" si="275"/>
        <v>5.4771713075183692</v>
      </c>
      <c r="Z329" s="106">
        <f t="shared" si="275"/>
        <v>8.405268805367605</v>
      </c>
      <c r="AA329" s="106">
        <f t="shared" si="275"/>
        <v>8.1891900925409242</v>
      </c>
      <c r="AB329" s="106">
        <f t="shared" si="275"/>
        <v>3.806581043061755</v>
      </c>
      <c r="AC329" s="106">
        <f t="shared" si="275"/>
        <v>5.4632746378580723</v>
      </c>
      <c r="AD329" s="106">
        <f t="shared" si="275"/>
        <v>4.2499100821358811</v>
      </c>
      <c r="AE329" s="106">
        <f t="shared" si="275"/>
        <v>1.9956620874859041</v>
      </c>
      <c r="AF329" s="106" t="str">
        <f t="shared" si="275"/>
        <v/>
      </c>
      <c r="AG329" s="106">
        <f t="shared" si="275"/>
        <v>9.2733979906354627</v>
      </c>
      <c r="AH329" s="106">
        <f t="shared" si="275"/>
        <v>3.9332854407174223</v>
      </c>
      <c r="AI329" s="106">
        <f t="shared" si="275"/>
        <v>13.197963623773486</v>
      </c>
      <c r="AJ329" s="106">
        <f t="shared" si="275"/>
        <v>6.6504812694731212</v>
      </c>
      <c r="AK329" s="106">
        <f t="shared" si="275"/>
        <v>9.4935644240606401</v>
      </c>
      <c r="AL329" s="199">
        <f t="shared" si="272"/>
        <v>6.7720386628751399</v>
      </c>
      <c r="AM329" s="194">
        <f t="shared" si="273"/>
        <v>2.60526265864958</v>
      </c>
      <c r="AN329" s="200">
        <f t="shared" si="274"/>
        <v>0.38470876915275737</v>
      </c>
      <c r="AO329" s="104"/>
      <c r="AP329" s="74"/>
    </row>
    <row r="330" spans="1:42">
      <c r="A330" s="242"/>
      <c r="B330" s="242"/>
      <c r="C330" s="172" t="str">
        <f>C17</f>
        <v>B</v>
      </c>
      <c r="D330" s="172"/>
      <c r="E330" s="172"/>
      <c r="F330" s="106" t="str">
        <f t="shared" ref="F330:AK330" si="276">IF(F$305,F17,"")</f>
        <v/>
      </c>
      <c r="G330" s="106" t="str">
        <f t="shared" si="276"/>
        <v/>
      </c>
      <c r="H330" s="106">
        <f t="shared" si="276"/>
        <v>27.414739608764648</v>
      </c>
      <c r="I330" s="106">
        <f t="shared" si="276"/>
        <v>32.513160705566406</v>
      </c>
      <c r="J330" s="106" t="str">
        <f t="shared" si="276"/>
        <v/>
      </c>
      <c r="K330" s="106">
        <f t="shared" si="276"/>
        <v>29.514762878417969</v>
      </c>
      <c r="L330" s="106">
        <f t="shared" si="276"/>
        <v>31.792171478271484</v>
      </c>
      <c r="M330" s="106" t="str">
        <f t="shared" si="276"/>
        <v/>
      </c>
      <c r="N330" s="106">
        <f t="shared" si="276"/>
        <v>31.340124130249023</v>
      </c>
      <c r="O330" s="106">
        <f t="shared" si="276"/>
        <v>28.11284065246582</v>
      </c>
      <c r="P330" s="106">
        <f t="shared" si="276"/>
        <v>30.779354095458984</v>
      </c>
      <c r="Q330" s="106">
        <f t="shared" si="276"/>
        <v>31.769283294677734</v>
      </c>
      <c r="R330" s="106">
        <f t="shared" si="276"/>
        <v>30.447471618652344</v>
      </c>
      <c r="S330" s="106">
        <f t="shared" si="276"/>
        <v>31.122682571411133</v>
      </c>
      <c r="T330" s="106">
        <f t="shared" si="276"/>
        <v>31.145570755004883</v>
      </c>
      <c r="U330" s="106">
        <f t="shared" si="276"/>
        <v>31.763561248779297</v>
      </c>
      <c r="V330" s="106">
        <f t="shared" si="276"/>
        <v>30.544746398925781</v>
      </c>
      <c r="W330" s="106">
        <f t="shared" si="276"/>
        <v>29.869535446166992</v>
      </c>
      <c r="X330" s="106">
        <f t="shared" si="276"/>
        <v>30.144197463989258</v>
      </c>
      <c r="Y330" s="106">
        <f t="shared" si="276"/>
        <v>31.408788681030273</v>
      </c>
      <c r="Z330" s="106">
        <f t="shared" si="276"/>
        <v>36.587318420410156</v>
      </c>
      <c r="AA330" s="106">
        <f t="shared" si="276"/>
        <v>30.413137435913086</v>
      </c>
      <c r="AB330" s="106">
        <f t="shared" si="276"/>
        <v>28.467613220214844</v>
      </c>
      <c r="AC330" s="106">
        <f t="shared" si="276"/>
        <v>29.634927749633789</v>
      </c>
      <c r="AD330" s="106">
        <f t="shared" si="276"/>
        <v>33.989471435546875</v>
      </c>
      <c r="AE330" s="106">
        <f t="shared" si="276"/>
        <v>33.154041290283203</v>
      </c>
      <c r="AF330" s="106" t="str">
        <f t="shared" si="276"/>
        <v/>
      </c>
      <c r="AG330" s="106">
        <f t="shared" si="276"/>
        <v>29.182878494262695</v>
      </c>
      <c r="AH330" s="106">
        <f t="shared" si="276"/>
        <v>33.777751922607422</v>
      </c>
      <c r="AI330" s="106">
        <f t="shared" si="276"/>
        <v>33.142597198486328</v>
      </c>
      <c r="AJ330" s="106">
        <f t="shared" si="276"/>
        <v>31.08262825012207</v>
      </c>
      <c r="AK330" s="106">
        <f t="shared" si="276"/>
        <v>28.93110466003418</v>
      </c>
      <c r="AL330" s="199">
        <f t="shared" si="272"/>
        <v>31.038757818716544</v>
      </c>
      <c r="AM330" s="194">
        <f t="shared" si="273"/>
        <v>1.9966246874811542</v>
      </c>
      <c r="AN330" s="200">
        <f t="shared" si="274"/>
        <v>6.4326823229928956E-2</v>
      </c>
      <c r="AO330" s="104"/>
      <c r="AP330" s="74"/>
    </row>
    <row r="331" spans="1:42">
      <c r="A331" s="242"/>
      <c r="B331" s="242"/>
      <c r="C331" s="172" t="str">
        <f>D94</f>
        <v>ΔIR</v>
      </c>
      <c r="D331" s="172"/>
      <c r="E331" s="172"/>
      <c r="F331" s="100" t="str">
        <f>IF(F94&lt;&gt;"",F94,"")</f>
        <v/>
      </c>
      <c r="G331" s="100" t="str">
        <f t="shared" ref="G331:AK331" si="277">IF(G94&lt;&gt;"",G94,"")</f>
        <v/>
      </c>
      <c r="H331" s="100">
        <f t="shared" si="277"/>
        <v>-1.4397008653054983E-2</v>
      </c>
      <c r="I331" s="100">
        <f t="shared" si="277"/>
        <v>-1.4357413941252454E-2</v>
      </c>
      <c r="J331" s="100" t="str">
        <f t="shared" si="277"/>
        <v/>
      </c>
      <c r="K331" s="100">
        <f t="shared" si="277"/>
        <v>-1.2509502978715711E-2</v>
      </c>
      <c r="L331" s="100">
        <f t="shared" si="277"/>
        <v>-1.3246998552353045E-2</v>
      </c>
      <c r="M331" s="100" t="str">
        <f t="shared" si="277"/>
        <v/>
      </c>
      <c r="N331" s="100">
        <f t="shared" si="277"/>
        <v>-1.3473681506167805E-2</v>
      </c>
      <c r="O331" s="100">
        <f t="shared" si="277"/>
        <v>-1.2533946180456272E-2</v>
      </c>
      <c r="P331" s="100">
        <f t="shared" si="277"/>
        <v>-1.1794417422399684E-2</v>
      </c>
      <c r="Q331" s="100">
        <f t="shared" si="277"/>
        <v>-1.3239390352694952E-2</v>
      </c>
      <c r="R331" s="100">
        <f t="shared" si="277"/>
        <v>-1.1703153043258543E-2</v>
      </c>
      <c r="S331" s="100">
        <f t="shared" si="277"/>
        <v>-1.1476654569089858E-2</v>
      </c>
      <c r="T331" s="100">
        <f t="shared" si="277"/>
        <v>-1.1945510329602279E-2</v>
      </c>
      <c r="U331" s="100">
        <f t="shared" si="277"/>
        <v>-9.9225029577249772E-3</v>
      </c>
      <c r="V331" s="100">
        <f t="shared" si="277"/>
        <v>-1.3414600099620493E-2</v>
      </c>
      <c r="W331" s="100">
        <f t="shared" si="277"/>
        <v>-1.393504905230324E-2</v>
      </c>
      <c r="X331" s="100">
        <f t="shared" si="277"/>
        <v>-1.3410117947644502E-2</v>
      </c>
      <c r="Y331" s="100">
        <f t="shared" si="277"/>
        <v>-1.3787552073663204E-2</v>
      </c>
      <c r="Z331" s="100">
        <f t="shared" si="277"/>
        <v>-1.2644694079435394E-2</v>
      </c>
      <c r="AA331" s="100">
        <f t="shared" si="277"/>
        <v>-1.2038730906234934E-2</v>
      </c>
      <c r="AB331" s="100">
        <f t="shared" si="277"/>
        <v>-1.4361614304442619E-2</v>
      </c>
      <c r="AC331" s="100">
        <f t="shared" si="277"/>
        <v>-1.3576822458317862E-2</v>
      </c>
      <c r="AD331" s="100">
        <f t="shared" si="277"/>
        <v>-1.4389938443562419E-2</v>
      </c>
      <c r="AE331" s="100">
        <f t="shared" si="277"/>
        <v>-1.5514268093797263E-2</v>
      </c>
      <c r="AF331" s="100" t="str">
        <f t="shared" si="277"/>
        <v/>
      </c>
      <c r="AG331" s="100">
        <f t="shared" si="277"/>
        <v>-1.1213342069415539E-2</v>
      </c>
      <c r="AH331" s="100">
        <f t="shared" si="277"/>
        <v>-1.451927218651706E-2</v>
      </c>
      <c r="AI331" s="100">
        <f t="shared" si="277"/>
        <v>-9.4354270954476998E-3</v>
      </c>
      <c r="AJ331" s="100">
        <f t="shared" si="277"/>
        <v>-1.2946552290104959E-2</v>
      </c>
      <c r="AK331" s="100">
        <f t="shared" si="277"/>
        <v>-1.0907119027594865E-2</v>
      </c>
      <c r="AL331" s="201">
        <f t="shared" si="272"/>
        <v>-1.2840565948698986E-2</v>
      </c>
      <c r="AM331" s="197">
        <f t="shared" si="273"/>
        <v>1.4657863194413934E-3</v>
      </c>
      <c r="AN331" s="200">
        <f t="shared" si="274"/>
        <v>-0.11415278152828676</v>
      </c>
      <c r="AO331" s="104"/>
      <c r="AP331" s="74"/>
    </row>
    <row r="332" spans="1:42">
      <c r="A332" s="242"/>
      <c r="B332" s="242" t="str">
        <f>B96</f>
        <v>HI</v>
      </c>
      <c r="C332" s="172" t="str">
        <f>C328</f>
        <v>R</v>
      </c>
      <c r="D332" s="172"/>
      <c r="E332" s="172"/>
      <c r="F332" s="106" t="str">
        <f>IF(F$305,F21,"")</f>
        <v/>
      </c>
      <c r="G332" s="106" t="str">
        <f t="shared" ref="G332:AK332" si="278">IF(G$305,G21,"")</f>
        <v/>
      </c>
      <c r="H332" s="106">
        <f t="shared" si="278"/>
        <v>28.778514862060547</v>
      </c>
      <c r="I332" s="106">
        <f t="shared" si="278"/>
        <v>33.001449584960938</v>
      </c>
      <c r="J332" s="106" t="str">
        <f t="shared" si="278"/>
        <v/>
      </c>
      <c r="K332" s="106">
        <f t="shared" si="278"/>
        <v>30.655374526977539</v>
      </c>
      <c r="L332" s="106">
        <f t="shared" si="278"/>
        <v>32.532234191894531</v>
      </c>
      <c r="M332" s="106" t="str">
        <f t="shared" si="278"/>
        <v/>
      </c>
      <c r="N332" s="106">
        <f t="shared" si="278"/>
        <v>35.034713745117187</v>
      </c>
      <c r="O332" s="106">
        <f t="shared" si="278"/>
        <v>31.593805313110352</v>
      </c>
      <c r="P332" s="106">
        <f t="shared" si="278"/>
        <v>33.93988037109375</v>
      </c>
      <c r="Q332" s="106">
        <f t="shared" si="278"/>
        <v>31.280994415283203</v>
      </c>
      <c r="R332" s="106">
        <f t="shared" si="278"/>
        <v>31.593805313110352</v>
      </c>
      <c r="S332" s="106">
        <f t="shared" si="278"/>
        <v>33.627071380615234</v>
      </c>
      <c r="T332" s="106">
        <f t="shared" si="278"/>
        <v>32.845043182373047</v>
      </c>
      <c r="U332" s="106">
        <f t="shared" si="278"/>
        <v>33.157855987548828</v>
      </c>
      <c r="V332" s="106">
        <f t="shared" si="278"/>
        <v>31.280994415283203</v>
      </c>
      <c r="W332" s="106">
        <f t="shared" si="278"/>
        <v>31.593805313110352</v>
      </c>
      <c r="X332" s="106">
        <f t="shared" si="278"/>
        <v>28.152894973754883</v>
      </c>
      <c r="Y332" s="106">
        <f t="shared" si="278"/>
        <v>35.816738128662109</v>
      </c>
      <c r="Z332" s="106">
        <f t="shared" si="278"/>
        <v>37.224384307861328</v>
      </c>
      <c r="AA332" s="106">
        <f t="shared" si="278"/>
        <v>31.906614303588867</v>
      </c>
      <c r="AB332" s="106">
        <f t="shared" si="278"/>
        <v>29.560539245605469</v>
      </c>
      <c r="AC332" s="106">
        <f t="shared" si="278"/>
        <v>30.342565536499023</v>
      </c>
      <c r="AD332" s="106">
        <f t="shared" si="278"/>
        <v>35.034713745117187</v>
      </c>
      <c r="AE332" s="106">
        <f t="shared" si="278"/>
        <v>36.911575317382813</v>
      </c>
      <c r="AF332" s="106" t="str">
        <f t="shared" si="278"/>
        <v/>
      </c>
      <c r="AG332" s="106">
        <f t="shared" si="278"/>
        <v>31.280994415283203</v>
      </c>
      <c r="AH332" s="106">
        <f t="shared" si="278"/>
        <v>37.537193298339844</v>
      </c>
      <c r="AI332" s="106">
        <f t="shared" si="278"/>
        <v>35.347522735595703</v>
      </c>
      <c r="AJ332" s="106">
        <f t="shared" si="278"/>
        <v>33.157855987548828</v>
      </c>
      <c r="AK332" s="106">
        <f t="shared" si="278"/>
        <v>30.186159133911133</v>
      </c>
      <c r="AL332" s="199">
        <f t="shared" si="272"/>
        <v>32.717603471544052</v>
      </c>
      <c r="AM332" s="194">
        <f t="shared" si="273"/>
        <v>2.5152441933544019</v>
      </c>
      <c r="AN332" s="200">
        <f t="shared" si="274"/>
        <v>7.6877397072863882E-2</v>
      </c>
      <c r="AO332" s="104"/>
      <c r="AP332" s="74"/>
    </row>
    <row r="333" spans="1:42">
      <c r="A333" s="242"/>
      <c r="B333" s="242"/>
      <c r="C333" s="172" t="str">
        <f t="shared" ref="C333:C334" si="279">C329</f>
        <v>G</v>
      </c>
      <c r="D333" s="172"/>
      <c r="E333" s="172"/>
      <c r="F333" s="106" t="str">
        <f t="shared" ref="F333:AK333" si="280">IF(F$305,F22*(1+IF(cmpSet&lt;64,cmpSet*F96,F98+(cmpSet-64)*F97)),"")</f>
        <v/>
      </c>
      <c r="G333" s="106" t="str">
        <f t="shared" si="280"/>
        <v/>
      </c>
      <c r="H333" s="106">
        <f t="shared" si="280"/>
        <v>3.9101242792038695</v>
      </c>
      <c r="I333" s="106">
        <f t="shared" si="280"/>
        <v>4.5357442583356598</v>
      </c>
      <c r="J333" s="106" t="str">
        <f t="shared" si="280"/>
        <v/>
      </c>
      <c r="K333" s="106">
        <f t="shared" si="280"/>
        <v>8.2894634973435188</v>
      </c>
      <c r="L333" s="106">
        <f t="shared" si="280"/>
        <v>6.5690088726225371</v>
      </c>
      <c r="M333" s="106" t="str">
        <f t="shared" si="280"/>
        <v/>
      </c>
      <c r="N333" s="106">
        <f t="shared" si="280"/>
        <v>6.1370331900460373</v>
      </c>
      <c r="O333" s="106">
        <f t="shared" si="280"/>
        <v>7.7383222125825446</v>
      </c>
      <c r="P333" s="106">
        <f t="shared" si="280"/>
        <v>8.8703962961832694</v>
      </c>
      <c r="Q333" s="106">
        <f t="shared" si="280"/>
        <v>6.0029718308221724</v>
      </c>
      <c r="R333" s="106">
        <f t="shared" si="280"/>
        <v>8.5054513840448287</v>
      </c>
      <c r="S333" s="106">
        <f t="shared" si="280"/>
        <v>10.017366500127885</v>
      </c>
      <c r="T333" s="106">
        <f t="shared" si="280"/>
        <v>8.7661262693859268</v>
      </c>
      <c r="U333" s="106">
        <f t="shared" si="280"/>
        <v>12.832655588785805</v>
      </c>
      <c r="V333" s="106">
        <f t="shared" si="280"/>
        <v>5.9135975610642211</v>
      </c>
      <c r="W333" s="106">
        <f t="shared" si="280"/>
        <v>5.2507383255731508</v>
      </c>
      <c r="X333" s="106">
        <f t="shared" si="280"/>
        <v>5.7050575982956646</v>
      </c>
      <c r="Y333" s="106">
        <f t="shared" si="280"/>
        <v>6.5615610395159072</v>
      </c>
      <c r="Z333" s="106">
        <f t="shared" si="280"/>
        <v>8.5352427164713554</v>
      </c>
      <c r="AA333" s="106">
        <f t="shared" si="280"/>
        <v>8.6320649101620592</v>
      </c>
      <c r="AB333" s="106">
        <f t="shared" si="280"/>
        <v>4.0739771525065089</v>
      </c>
      <c r="AC333" s="106">
        <f t="shared" si="280"/>
        <v>5.7869839441208626</v>
      </c>
      <c r="AD333" s="106">
        <f t="shared" si="280"/>
        <v>4.5506399245489213</v>
      </c>
      <c r="AE333" s="106">
        <f t="shared" si="280"/>
        <v>2.3088352566673676</v>
      </c>
      <c r="AF333" s="106" t="str">
        <f t="shared" si="280"/>
        <v/>
      </c>
      <c r="AG333" s="106">
        <f t="shared" si="280"/>
        <v>9.9279922303699308</v>
      </c>
      <c r="AH333" s="106">
        <f t="shared" si="280"/>
        <v>4.4612656547909673</v>
      </c>
      <c r="AI333" s="106">
        <f t="shared" si="280"/>
        <v>13.718950453258696</v>
      </c>
      <c r="AJ333" s="106">
        <f t="shared" si="280"/>
        <v>7.1871808369954442</v>
      </c>
      <c r="AK333" s="106">
        <f t="shared" si="280"/>
        <v>10.188667206537158</v>
      </c>
      <c r="AL333" s="199">
        <f t="shared" si="272"/>
        <v>7.2213858885319366</v>
      </c>
      <c r="AM333" s="194">
        <f t="shared" si="273"/>
        <v>2.7030739303416889</v>
      </c>
      <c r="AN333" s="200">
        <f t="shared" si="274"/>
        <v>0.37431512067986261</v>
      </c>
      <c r="AO333" s="104"/>
      <c r="AP333" s="74"/>
    </row>
    <row r="334" spans="1:42" s="105" customFormat="1">
      <c r="A334" s="242"/>
      <c r="B334" s="242"/>
      <c r="C334" s="172" t="str">
        <f t="shared" si="279"/>
        <v>B</v>
      </c>
      <c r="D334" s="172"/>
      <c r="E334" s="172"/>
      <c r="F334" s="106" t="str">
        <f t="shared" ref="F334:AK334" si="281">IF(F$305,F23,"")</f>
        <v/>
      </c>
      <c r="G334" s="106" t="str">
        <f t="shared" si="281"/>
        <v/>
      </c>
      <c r="H334" s="106">
        <f t="shared" si="281"/>
        <v>29.716945648193359</v>
      </c>
      <c r="I334" s="106">
        <f t="shared" si="281"/>
        <v>34.096282958984375</v>
      </c>
      <c r="J334" s="106" t="str">
        <f t="shared" si="281"/>
        <v/>
      </c>
      <c r="K334" s="106">
        <f t="shared" si="281"/>
        <v>31.124589920043945</v>
      </c>
      <c r="L334" s="106">
        <f t="shared" si="281"/>
        <v>33.157855987548828</v>
      </c>
      <c r="M334" s="106" t="str">
        <f t="shared" si="281"/>
        <v/>
      </c>
      <c r="N334" s="106">
        <f t="shared" si="281"/>
        <v>35.503929138183594</v>
      </c>
      <c r="O334" s="106">
        <f t="shared" si="281"/>
        <v>32.063018798828125</v>
      </c>
      <c r="P334" s="106">
        <f t="shared" si="281"/>
        <v>33.627071380615234</v>
      </c>
      <c r="Q334" s="106">
        <f t="shared" si="281"/>
        <v>31.593805313110352</v>
      </c>
      <c r="R334" s="106">
        <f t="shared" si="281"/>
        <v>31.280994415283203</v>
      </c>
      <c r="S334" s="106">
        <f t="shared" si="281"/>
        <v>33.783473968505859</v>
      </c>
      <c r="T334" s="106">
        <f t="shared" si="281"/>
        <v>33.001449584960938</v>
      </c>
      <c r="U334" s="106">
        <f t="shared" si="281"/>
        <v>33.001449584960938</v>
      </c>
      <c r="V334" s="106">
        <f t="shared" si="281"/>
        <v>31.593805313110352</v>
      </c>
      <c r="W334" s="106">
        <f t="shared" si="281"/>
        <v>32.219425201416016</v>
      </c>
      <c r="X334" s="106">
        <f t="shared" si="281"/>
        <v>29.247730255126953</v>
      </c>
      <c r="Y334" s="106">
        <f t="shared" si="281"/>
        <v>37.380790710449219</v>
      </c>
      <c r="Z334" s="106">
        <f t="shared" si="281"/>
        <v>37.067977905273438</v>
      </c>
      <c r="AA334" s="106">
        <f t="shared" si="281"/>
        <v>32.063018798828125</v>
      </c>
      <c r="AB334" s="106">
        <f t="shared" si="281"/>
        <v>30.342565536499023</v>
      </c>
      <c r="AC334" s="106">
        <f t="shared" si="281"/>
        <v>30.968185424804688</v>
      </c>
      <c r="AD334" s="106">
        <f t="shared" si="281"/>
        <v>35.97314453125</v>
      </c>
      <c r="AE334" s="106">
        <f t="shared" si="281"/>
        <v>37.693599700927734</v>
      </c>
      <c r="AF334" s="106" t="str">
        <f t="shared" si="281"/>
        <v/>
      </c>
      <c r="AG334" s="106">
        <f t="shared" si="281"/>
        <v>31.124589920043945</v>
      </c>
      <c r="AH334" s="106">
        <f t="shared" si="281"/>
        <v>37.850002288818359</v>
      </c>
      <c r="AI334" s="106">
        <f t="shared" si="281"/>
        <v>34.409095764160156</v>
      </c>
      <c r="AJ334" s="106">
        <f t="shared" si="281"/>
        <v>33.314258575439453</v>
      </c>
      <c r="AK334" s="106">
        <f t="shared" si="281"/>
        <v>30.968185424804688</v>
      </c>
      <c r="AL334" s="199">
        <f t="shared" si="272"/>
        <v>33.117305261117444</v>
      </c>
      <c r="AM334" s="194">
        <f t="shared" si="273"/>
        <v>2.4560264674466827</v>
      </c>
      <c r="AN334" s="200">
        <f t="shared" si="274"/>
        <v>7.4161422497447838E-2</v>
      </c>
      <c r="AO334" s="104"/>
      <c r="AP334" s="74"/>
    </row>
    <row r="335" spans="1:42" s="105" customFormat="1">
      <c r="A335" s="242"/>
      <c r="B335" s="242"/>
      <c r="C335" s="172" t="str">
        <f>D99</f>
        <v>ΔIR</v>
      </c>
      <c r="D335" s="172"/>
      <c r="E335" s="172"/>
      <c r="F335" s="100" t="str">
        <f>IF(F99&lt;&gt;"",F99,"")</f>
        <v/>
      </c>
      <c r="G335" s="100" t="str">
        <f t="shared" ref="G335:AK335" si="282">IF(G99&lt;&gt;"",G101,"")</f>
        <v/>
      </c>
      <c r="H335" s="100">
        <f t="shared" si="282"/>
        <v>-1.4405711521716082E-2</v>
      </c>
      <c r="I335" s="100">
        <f t="shared" si="282"/>
        <v>-1.4355740496685108E-2</v>
      </c>
      <c r="J335" s="100" t="str">
        <f t="shared" si="282"/>
        <v/>
      </c>
      <c r="K335" s="100">
        <f t="shared" si="282"/>
        <v>-1.251453237302658E-2</v>
      </c>
      <c r="L335" s="100">
        <f t="shared" si="282"/>
        <v>-1.3224159382506338E-2</v>
      </c>
      <c r="M335" s="100" t="str">
        <f t="shared" si="282"/>
        <v/>
      </c>
      <c r="N335" s="100">
        <f t="shared" si="282"/>
        <v>-1.3467310718847986E-2</v>
      </c>
      <c r="O335" s="100">
        <f t="shared" si="282"/>
        <v>-1.2528439176351266E-2</v>
      </c>
      <c r="P335" s="100">
        <f t="shared" si="282"/>
        <v>-1.1756096802203662E-2</v>
      </c>
      <c r="Q335" s="100">
        <f t="shared" si="282"/>
        <v>-1.3233451833466636E-2</v>
      </c>
      <c r="R335" s="100">
        <f t="shared" si="282"/>
        <v>-1.1694939577975138E-2</v>
      </c>
      <c r="S335" s="100">
        <f t="shared" si="282"/>
        <v>-1.1468098717126004E-2</v>
      </c>
      <c r="T335" s="100">
        <f t="shared" si="282"/>
        <v>-1.1935207797211318E-2</v>
      </c>
      <c r="U335" s="100">
        <f t="shared" si="282"/>
        <v>-9.92645599608033E-3</v>
      </c>
      <c r="V335" s="100">
        <f t="shared" si="282"/>
        <v>-1.3416512983164337E-2</v>
      </c>
      <c r="W335" s="100">
        <f t="shared" si="282"/>
        <v>-1.3936165626740205E-2</v>
      </c>
      <c r="X335" s="100">
        <f t="shared" si="282"/>
        <v>-1.3404154423160043E-2</v>
      </c>
      <c r="Y335" s="100">
        <f t="shared" si="282"/>
        <v>-1.3776473830891846E-2</v>
      </c>
      <c r="Z335" s="100">
        <f t="shared" si="282"/>
        <v>-1.2643459511937193E-2</v>
      </c>
      <c r="AA335" s="100">
        <f t="shared" si="282"/>
        <v>-1.2041539846328483E-2</v>
      </c>
      <c r="AB335" s="100">
        <f t="shared" si="282"/>
        <v>-1.4353373160771562E-2</v>
      </c>
      <c r="AC335" s="100">
        <f t="shared" si="282"/>
        <v>-1.3556600720384521E-2</v>
      </c>
      <c r="AD335" s="100">
        <f t="shared" si="282"/>
        <v>-1.4379201535366537E-2</v>
      </c>
      <c r="AE335" s="100">
        <f t="shared" si="282"/>
        <v>-1.5504677503241117E-2</v>
      </c>
      <c r="AF335" s="100" t="str">
        <f t="shared" si="282"/>
        <v/>
      </c>
      <c r="AG335" s="100">
        <f t="shared" si="282"/>
        <v>-1.1199236050369526E-2</v>
      </c>
      <c r="AH335" s="100">
        <f t="shared" si="282"/>
        <v>-1.4507588556275926E-2</v>
      </c>
      <c r="AI335" s="100">
        <f t="shared" si="282"/>
        <v>-9.4324708349786714E-3</v>
      </c>
      <c r="AJ335" s="100">
        <f t="shared" si="282"/>
        <v>-1.2938626490963001E-2</v>
      </c>
      <c r="AK335" s="100">
        <f t="shared" si="282"/>
        <v>-1.0899354724506061E-2</v>
      </c>
      <c r="AL335" s="201">
        <f t="shared" si="272"/>
        <v>-1.2833317784899092E-2</v>
      </c>
      <c r="AM335" s="197">
        <f t="shared" si="273"/>
        <v>1.4657762515877576E-3</v>
      </c>
      <c r="AN335" s="200">
        <f t="shared" si="274"/>
        <v>-0.11421646967337862</v>
      </c>
      <c r="AO335" s="104"/>
      <c r="AP335" s="74"/>
    </row>
    <row r="336" spans="1:42" s="105" customFormat="1">
      <c r="A336" s="159"/>
      <c r="B336" s="172"/>
      <c r="C336" s="172"/>
      <c r="D336" s="172"/>
      <c r="E336" s="172"/>
      <c r="F336" s="100"/>
      <c r="G336" s="100"/>
      <c r="H336" s="100"/>
      <c r="I336" s="100"/>
      <c r="J336" s="100"/>
      <c r="K336" s="100"/>
      <c r="L336" s="100"/>
      <c r="M336" s="100"/>
      <c r="N336" s="100"/>
      <c r="O336" s="100"/>
      <c r="P336" s="100"/>
      <c r="Q336" s="100"/>
      <c r="R336" s="100"/>
      <c r="S336" s="100"/>
      <c r="T336" s="100"/>
      <c r="U336" s="100"/>
      <c r="V336" s="100"/>
      <c r="W336" s="100"/>
      <c r="X336" s="100"/>
      <c r="Y336" s="100"/>
      <c r="Z336" s="100"/>
      <c r="AA336" s="100"/>
      <c r="AB336" s="100"/>
      <c r="AC336" s="100"/>
      <c r="AD336" s="100"/>
      <c r="AE336" s="100"/>
      <c r="AF336" s="100"/>
      <c r="AG336" s="100"/>
      <c r="AH336" s="100"/>
      <c r="AI336" s="100"/>
      <c r="AJ336" s="100"/>
      <c r="AK336" s="100"/>
      <c r="AL336" s="201"/>
      <c r="AM336" s="197"/>
      <c r="AN336" s="200"/>
      <c r="AO336" s="104"/>
      <c r="AP336" s="74"/>
    </row>
    <row r="337" spans="1:42" s="105" customFormat="1">
      <c r="A337" s="159"/>
      <c r="B337" s="172"/>
      <c r="C337" s="172"/>
      <c r="D337" s="172"/>
      <c r="E337" s="172"/>
      <c r="F337" s="100"/>
      <c r="G337" s="100"/>
      <c r="H337" s="100"/>
      <c r="I337" s="100"/>
      <c r="J337" s="100"/>
      <c r="K337" s="100"/>
      <c r="L337" s="100"/>
      <c r="M337" s="100"/>
      <c r="N337" s="100"/>
      <c r="O337" s="100"/>
      <c r="P337" s="100"/>
      <c r="Q337" s="100"/>
      <c r="R337" s="100"/>
      <c r="S337" s="100"/>
      <c r="T337" s="100"/>
      <c r="U337" s="100"/>
      <c r="V337" s="100"/>
      <c r="W337" s="100"/>
      <c r="X337" s="100"/>
      <c r="Y337" s="100"/>
      <c r="Z337" s="100"/>
      <c r="AA337" s="100"/>
      <c r="AB337" s="100"/>
      <c r="AC337" s="100"/>
      <c r="AD337" s="100"/>
      <c r="AE337" s="100"/>
      <c r="AF337" s="100"/>
      <c r="AG337" s="100"/>
      <c r="AH337" s="100"/>
      <c r="AI337" s="100"/>
      <c r="AJ337" s="100"/>
      <c r="AK337" s="100"/>
      <c r="AL337" s="201"/>
      <c r="AM337" s="197"/>
      <c r="AN337" s="200"/>
      <c r="AO337" s="104"/>
      <c r="AP337" s="74"/>
    </row>
    <row r="338" spans="1:42" s="105" customFormat="1">
      <c r="A338" s="159"/>
      <c r="B338" s="172"/>
      <c r="C338" s="172"/>
      <c r="D338" s="172"/>
      <c r="E338" s="172"/>
      <c r="F338" s="100"/>
      <c r="G338" s="100"/>
      <c r="H338" s="100"/>
      <c r="I338" s="100"/>
      <c r="J338" s="100"/>
      <c r="K338" s="100"/>
      <c r="L338" s="100"/>
      <c r="M338" s="100"/>
      <c r="N338" s="100"/>
      <c r="O338" s="100"/>
      <c r="P338" s="100"/>
      <c r="Q338" s="100"/>
      <c r="R338" s="100"/>
      <c r="S338" s="100"/>
      <c r="T338" s="100"/>
      <c r="U338" s="100"/>
      <c r="V338" s="100"/>
      <c r="W338" s="100"/>
      <c r="X338" s="100"/>
      <c r="Y338" s="100"/>
      <c r="Z338" s="100"/>
      <c r="AA338" s="100"/>
      <c r="AB338" s="100"/>
      <c r="AC338" s="100"/>
      <c r="AD338" s="100"/>
      <c r="AE338" s="100"/>
      <c r="AF338" s="100"/>
      <c r="AG338" s="100"/>
      <c r="AH338" s="100"/>
      <c r="AI338" s="100"/>
      <c r="AJ338" s="100"/>
      <c r="AK338" s="100"/>
      <c r="AL338" s="201"/>
      <c r="AM338" s="197"/>
      <c r="AN338" s="200"/>
      <c r="AO338" s="104"/>
      <c r="AP338" s="74"/>
    </row>
    <row r="339" spans="1:42" s="105" customFormat="1">
      <c r="A339" s="159"/>
      <c r="B339" s="172"/>
      <c r="C339" s="172"/>
      <c r="D339" s="172"/>
      <c r="E339" s="172"/>
      <c r="F339" s="100"/>
      <c r="G339" s="100"/>
      <c r="H339" s="100"/>
      <c r="I339" s="100"/>
      <c r="J339" s="100"/>
      <c r="K339" s="100"/>
      <c r="L339" s="100"/>
      <c r="M339" s="100"/>
      <c r="N339" s="100"/>
      <c r="O339" s="100"/>
      <c r="P339" s="100"/>
      <c r="Q339" s="100"/>
      <c r="R339" s="100"/>
      <c r="S339" s="100"/>
      <c r="T339" s="100"/>
      <c r="U339" s="100"/>
      <c r="V339" s="100"/>
      <c r="W339" s="100"/>
      <c r="X339" s="100"/>
      <c r="Y339" s="100"/>
      <c r="Z339" s="100"/>
      <c r="AA339" s="100"/>
      <c r="AB339" s="100"/>
      <c r="AC339" s="100"/>
      <c r="AD339" s="100"/>
      <c r="AE339" s="100"/>
      <c r="AF339" s="100"/>
      <c r="AG339" s="100"/>
      <c r="AH339" s="100"/>
      <c r="AI339" s="100"/>
      <c r="AJ339" s="100"/>
      <c r="AK339" s="100"/>
      <c r="AL339" s="201"/>
      <c r="AM339" s="197"/>
      <c r="AN339" s="200"/>
      <c r="AO339" s="104"/>
      <c r="AP339" s="74"/>
    </row>
    <row r="340" spans="1:42" s="105" customFormat="1">
      <c r="A340" s="159"/>
      <c r="B340" s="172"/>
      <c r="C340" s="172"/>
      <c r="D340" s="172"/>
      <c r="E340" s="172"/>
      <c r="F340" s="100"/>
      <c r="G340" s="100"/>
      <c r="H340" s="100"/>
      <c r="I340" s="100"/>
      <c r="J340" s="100"/>
      <c r="K340" s="100"/>
      <c r="L340" s="100"/>
      <c r="M340" s="100"/>
      <c r="N340" s="100"/>
      <c r="O340" s="100"/>
      <c r="P340" s="100"/>
      <c r="Q340" s="100"/>
      <c r="R340" s="100"/>
      <c r="S340" s="100"/>
      <c r="T340" s="100"/>
      <c r="U340" s="100"/>
      <c r="V340" s="100"/>
      <c r="W340" s="100"/>
      <c r="X340" s="100"/>
      <c r="Y340" s="100"/>
      <c r="Z340" s="100"/>
      <c r="AA340" s="100"/>
      <c r="AB340" s="100"/>
      <c r="AC340" s="100"/>
      <c r="AD340" s="100"/>
      <c r="AE340" s="100"/>
      <c r="AF340" s="100"/>
      <c r="AG340" s="100"/>
      <c r="AH340" s="100"/>
      <c r="AI340" s="100"/>
      <c r="AJ340" s="100"/>
      <c r="AK340" s="100"/>
      <c r="AL340" s="201"/>
      <c r="AM340" s="197"/>
      <c r="AN340" s="200"/>
      <c r="AO340" s="172"/>
      <c r="AP340" s="74"/>
    </row>
    <row r="341" spans="1:42" s="105" customFormat="1">
      <c r="A341" s="159"/>
      <c r="B341" s="172"/>
      <c r="C341" s="172"/>
      <c r="D341" s="172"/>
      <c r="E341" s="172"/>
      <c r="F341" s="100"/>
      <c r="G341" s="100"/>
      <c r="H341" s="100"/>
      <c r="I341" s="100"/>
      <c r="J341" s="100"/>
      <c r="K341" s="100"/>
      <c r="L341" s="100"/>
      <c r="M341" s="100"/>
      <c r="N341" s="100"/>
      <c r="O341" s="100"/>
      <c r="P341" s="100"/>
      <c r="Q341" s="100"/>
      <c r="R341" s="100"/>
      <c r="S341" s="100"/>
      <c r="T341" s="100"/>
      <c r="U341" s="100"/>
      <c r="V341" s="100"/>
      <c r="W341" s="100"/>
      <c r="X341" s="100"/>
      <c r="Y341" s="100"/>
      <c r="Z341" s="100"/>
      <c r="AA341" s="100"/>
      <c r="AB341" s="100"/>
      <c r="AC341" s="100"/>
      <c r="AD341" s="100"/>
      <c r="AE341" s="100"/>
      <c r="AF341" s="100"/>
      <c r="AG341" s="100"/>
      <c r="AH341" s="100"/>
      <c r="AI341" s="100"/>
      <c r="AJ341" s="100"/>
      <c r="AK341" s="100"/>
      <c r="AL341" s="201"/>
      <c r="AM341" s="197"/>
      <c r="AN341" s="200"/>
      <c r="AO341" s="172"/>
      <c r="AP341" s="74"/>
    </row>
    <row r="342" spans="1:42" s="105" customFormat="1">
      <c r="A342" s="159"/>
      <c r="B342" s="172"/>
      <c r="C342" s="172"/>
      <c r="D342" s="172"/>
      <c r="E342" s="172"/>
      <c r="F342" s="100"/>
      <c r="G342" s="100"/>
      <c r="H342" s="100"/>
      <c r="I342" s="100"/>
      <c r="J342" s="100"/>
      <c r="K342" s="100"/>
      <c r="L342" s="100"/>
      <c r="M342" s="100"/>
      <c r="N342" s="100"/>
      <c r="O342" s="100"/>
      <c r="P342" s="100"/>
      <c r="Q342" s="100"/>
      <c r="R342" s="100"/>
      <c r="S342" s="100"/>
      <c r="T342" s="100"/>
      <c r="U342" s="100"/>
      <c r="V342" s="100"/>
      <c r="W342" s="100"/>
      <c r="X342" s="100"/>
      <c r="Y342" s="100"/>
      <c r="Z342" s="100"/>
      <c r="AA342" s="100"/>
      <c r="AB342" s="100"/>
      <c r="AC342" s="100"/>
      <c r="AD342" s="100"/>
      <c r="AE342" s="100"/>
      <c r="AF342" s="100"/>
      <c r="AG342" s="100"/>
      <c r="AH342" s="100"/>
      <c r="AI342" s="100"/>
      <c r="AJ342" s="100"/>
      <c r="AK342" s="100"/>
      <c r="AL342" s="201"/>
      <c r="AM342" s="197"/>
      <c r="AN342" s="200"/>
      <c r="AO342" s="172"/>
      <c r="AP342" s="74"/>
    </row>
    <row r="343" spans="1:42" s="105" customFormat="1">
      <c r="A343" s="159"/>
      <c r="B343" s="172"/>
      <c r="C343" s="172"/>
      <c r="D343" s="172"/>
      <c r="E343" s="172"/>
      <c r="F343" s="100"/>
      <c r="G343" s="100"/>
      <c r="H343" s="100"/>
      <c r="I343" s="100"/>
      <c r="J343" s="100"/>
      <c r="K343" s="100"/>
      <c r="L343" s="100"/>
      <c r="M343" s="100"/>
      <c r="N343" s="100"/>
      <c r="O343" s="100"/>
      <c r="P343" s="100"/>
      <c r="Q343" s="100"/>
      <c r="R343" s="100"/>
      <c r="S343" s="100"/>
      <c r="T343" s="100"/>
      <c r="U343" s="100"/>
      <c r="V343" s="100"/>
      <c r="W343" s="100"/>
      <c r="X343" s="100"/>
      <c r="Y343" s="100"/>
      <c r="Z343" s="100"/>
      <c r="AA343" s="100"/>
      <c r="AB343" s="100"/>
      <c r="AC343" s="100"/>
      <c r="AD343" s="100"/>
      <c r="AE343" s="100"/>
      <c r="AF343" s="100"/>
      <c r="AG343" s="100"/>
      <c r="AH343" s="100"/>
      <c r="AI343" s="100"/>
      <c r="AJ343" s="100"/>
      <c r="AK343" s="100"/>
      <c r="AL343" s="201"/>
      <c r="AM343" s="197"/>
      <c r="AN343" s="200"/>
      <c r="AO343" s="172"/>
      <c r="AP343" s="74"/>
    </row>
    <row r="344" spans="1:42" s="105" customFormat="1">
      <c r="A344" s="159"/>
      <c r="B344" s="172"/>
      <c r="C344" s="172"/>
      <c r="D344" s="172"/>
      <c r="E344" s="172"/>
      <c r="F344" s="100"/>
      <c r="G344" s="100"/>
      <c r="H344" s="100"/>
      <c r="I344" s="100"/>
      <c r="J344" s="100"/>
      <c r="K344" s="100"/>
      <c r="L344" s="100"/>
      <c r="M344" s="100"/>
      <c r="N344" s="100"/>
      <c r="O344" s="100"/>
      <c r="P344" s="100"/>
      <c r="Q344" s="100"/>
      <c r="R344" s="100"/>
      <c r="S344" s="100"/>
      <c r="T344" s="100"/>
      <c r="U344" s="100"/>
      <c r="V344" s="100"/>
      <c r="W344" s="100"/>
      <c r="X344" s="100"/>
      <c r="Y344" s="100"/>
      <c r="Z344" s="100"/>
      <c r="AA344" s="100"/>
      <c r="AB344" s="100"/>
      <c r="AC344" s="100"/>
      <c r="AD344" s="100"/>
      <c r="AE344" s="100"/>
      <c r="AF344" s="100"/>
      <c r="AG344" s="100"/>
      <c r="AH344" s="100"/>
      <c r="AI344" s="100"/>
      <c r="AJ344" s="100"/>
      <c r="AK344" s="100"/>
      <c r="AL344" s="201"/>
      <c r="AM344" s="197"/>
      <c r="AN344" s="200"/>
      <c r="AO344" s="172"/>
      <c r="AP344" s="74"/>
    </row>
    <row r="345" spans="1:42" s="105" customFormat="1">
      <c r="A345" s="159"/>
      <c r="B345" s="172"/>
      <c r="C345" s="172"/>
      <c r="D345" s="172"/>
      <c r="E345" s="172"/>
      <c r="F345" s="100"/>
      <c r="G345" s="100"/>
      <c r="H345" s="100"/>
      <c r="I345" s="100"/>
      <c r="J345" s="100"/>
      <c r="K345" s="100"/>
      <c r="L345" s="100"/>
      <c r="M345" s="100"/>
      <c r="N345" s="100"/>
      <c r="O345" s="100"/>
      <c r="P345" s="100"/>
      <c r="Q345" s="100"/>
      <c r="R345" s="100"/>
      <c r="S345" s="100"/>
      <c r="T345" s="100"/>
      <c r="U345" s="100"/>
      <c r="V345" s="100"/>
      <c r="W345" s="100"/>
      <c r="X345" s="100"/>
      <c r="Y345" s="100"/>
      <c r="Z345" s="100"/>
      <c r="AA345" s="100"/>
      <c r="AB345" s="100"/>
      <c r="AC345" s="100"/>
      <c r="AD345" s="100"/>
      <c r="AE345" s="100"/>
      <c r="AF345" s="100"/>
      <c r="AG345" s="100"/>
      <c r="AH345" s="100"/>
      <c r="AI345" s="100"/>
      <c r="AJ345" s="100"/>
      <c r="AK345" s="100"/>
      <c r="AL345" s="201"/>
      <c r="AM345" s="197"/>
      <c r="AN345" s="200"/>
      <c r="AO345" s="172"/>
      <c r="AP345" s="74"/>
    </row>
    <row r="346" spans="1:42" s="105" customFormat="1">
      <c r="A346" s="159"/>
      <c r="B346" s="172"/>
      <c r="C346" s="172"/>
      <c r="D346" s="172"/>
      <c r="E346" s="172"/>
      <c r="F346" s="100"/>
      <c r="G346" s="100"/>
      <c r="H346" s="100"/>
      <c r="I346" s="100"/>
      <c r="J346" s="100"/>
      <c r="K346" s="100"/>
      <c r="L346" s="100"/>
      <c r="M346" s="100"/>
      <c r="N346" s="100"/>
      <c r="O346" s="100"/>
      <c r="P346" s="100"/>
      <c r="Q346" s="100"/>
      <c r="R346" s="100"/>
      <c r="S346" s="100"/>
      <c r="T346" s="100"/>
      <c r="U346" s="100"/>
      <c r="V346" s="100"/>
      <c r="W346" s="100"/>
      <c r="X346" s="100"/>
      <c r="Y346" s="100"/>
      <c r="Z346" s="100"/>
      <c r="AA346" s="100"/>
      <c r="AB346" s="100"/>
      <c r="AC346" s="100"/>
      <c r="AD346" s="100"/>
      <c r="AE346" s="100"/>
      <c r="AF346" s="100"/>
      <c r="AG346" s="100"/>
      <c r="AH346" s="100"/>
      <c r="AI346" s="100"/>
      <c r="AJ346" s="100"/>
      <c r="AK346" s="100"/>
      <c r="AL346" s="201"/>
      <c r="AM346" s="197"/>
      <c r="AN346" s="200"/>
      <c r="AO346" s="172"/>
      <c r="AP346" s="74"/>
    </row>
    <row r="347" spans="1:42" s="105" customFormat="1">
      <c r="A347" s="159"/>
      <c r="B347" s="172"/>
      <c r="C347" s="172"/>
      <c r="D347" s="172"/>
      <c r="E347" s="172"/>
      <c r="F347" s="100"/>
      <c r="G347" s="100"/>
      <c r="H347" s="100"/>
      <c r="I347" s="100"/>
      <c r="J347" s="100"/>
      <c r="K347" s="100"/>
      <c r="L347" s="100"/>
      <c r="M347" s="100"/>
      <c r="N347" s="100"/>
      <c r="O347" s="100"/>
      <c r="P347" s="100"/>
      <c r="Q347" s="100"/>
      <c r="R347" s="100"/>
      <c r="S347" s="100"/>
      <c r="T347" s="100"/>
      <c r="U347" s="100"/>
      <c r="V347" s="100"/>
      <c r="W347" s="100"/>
      <c r="X347" s="100"/>
      <c r="Y347" s="100"/>
      <c r="Z347" s="100"/>
      <c r="AA347" s="100"/>
      <c r="AB347" s="100"/>
      <c r="AC347" s="100"/>
      <c r="AD347" s="100"/>
      <c r="AE347" s="100"/>
      <c r="AF347" s="100"/>
      <c r="AG347" s="100"/>
      <c r="AH347" s="100"/>
      <c r="AI347" s="100"/>
      <c r="AJ347" s="100"/>
      <c r="AK347" s="100"/>
      <c r="AL347" s="201"/>
      <c r="AM347" s="197"/>
      <c r="AN347" s="200"/>
      <c r="AO347" s="172"/>
      <c r="AP347" s="74"/>
    </row>
    <row r="348" spans="1:42" s="105" customFormat="1">
      <c r="A348" s="159"/>
      <c r="B348" s="172"/>
      <c r="C348" s="172"/>
      <c r="D348" s="172"/>
      <c r="E348" s="172"/>
      <c r="F348" s="100"/>
      <c r="G348" s="100"/>
      <c r="H348" s="100"/>
      <c r="I348" s="100"/>
      <c r="J348" s="100"/>
      <c r="K348" s="100"/>
      <c r="L348" s="100"/>
      <c r="M348" s="100"/>
      <c r="N348" s="100"/>
      <c r="O348" s="100"/>
      <c r="P348" s="100"/>
      <c r="Q348" s="100"/>
      <c r="R348" s="100"/>
      <c r="S348" s="100"/>
      <c r="T348" s="100"/>
      <c r="U348" s="100"/>
      <c r="V348" s="100"/>
      <c r="W348" s="100"/>
      <c r="X348" s="100"/>
      <c r="Y348" s="100"/>
      <c r="Z348" s="100"/>
      <c r="AA348" s="100"/>
      <c r="AB348" s="100"/>
      <c r="AC348" s="100"/>
      <c r="AD348" s="100"/>
      <c r="AE348" s="100"/>
      <c r="AF348" s="100"/>
      <c r="AG348" s="100"/>
      <c r="AH348" s="100"/>
      <c r="AI348" s="100"/>
      <c r="AJ348" s="100"/>
      <c r="AK348" s="100"/>
      <c r="AL348" s="201"/>
      <c r="AM348" s="197"/>
      <c r="AN348" s="200"/>
      <c r="AO348" s="172"/>
      <c r="AP348" s="74"/>
    </row>
    <row r="349" spans="1:42" s="105" customFormat="1">
      <c r="A349" s="159"/>
      <c r="B349" s="172"/>
      <c r="C349" s="172"/>
      <c r="D349" s="172"/>
      <c r="E349" s="172"/>
      <c r="F349" s="100"/>
      <c r="G349" s="100"/>
      <c r="H349" s="100"/>
      <c r="I349" s="100"/>
      <c r="J349" s="100"/>
      <c r="K349" s="100"/>
      <c r="L349" s="100"/>
      <c r="M349" s="100"/>
      <c r="N349" s="100"/>
      <c r="O349" s="100"/>
      <c r="P349" s="100"/>
      <c r="Q349" s="100"/>
      <c r="R349" s="100"/>
      <c r="S349" s="100"/>
      <c r="T349" s="100"/>
      <c r="U349" s="100"/>
      <c r="V349" s="100"/>
      <c r="W349" s="100"/>
      <c r="X349" s="100"/>
      <c r="Y349" s="100"/>
      <c r="Z349" s="100"/>
      <c r="AA349" s="100"/>
      <c r="AB349" s="100"/>
      <c r="AC349" s="100"/>
      <c r="AD349" s="100"/>
      <c r="AE349" s="100"/>
      <c r="AF349" s="100"/>
      <c r="AG349" s="100"/>
      <c r="AH349" s="100"/>
      <c r="AI349" s="100"/>
      <c r="AJ349" s="100"/>
      <c r="AK349" s="100"/>
      <c r="AL349" s="201"/>
      <c r="AM349" s="197"/>
      <c r="AN349" s="200"/>
      <c r="AO349" s="172"/>
      <c r="AP349" s="74"/>
    </row>
    <row r="350" spans="1:42">
      <c r="A350" s="242" t="str">
        <f>A103</f>
        <v>U30</v>
      </c>
      <c r="B350" s="242" t="str">
        <f>B103</f>
        <v>LO</v>
      </c>
      <c r="C350" s="172" t="str">
        <f>C332</f>
        <v>R</v>
      </c>
      <c r="D350" s="172"/>
      <c r="E350" s="172"/>
      <c r="F350" s="106" t="str">
        <f>IF(F$305,F27,"")</f>
        <v/>
      </c>
      <c r="G350" s="106" t="str">
        <f t="shared" ref="G350:AK350" si="283">IF(G$305,G27,"")</f>
        <v/>
      </c>
      <c r="H350" s="106">
        <f t="shared" si="283"/>
        <v>0.93842983245849609</v>
      </c>
      <c r="I350" s="106">
        <f t="shared" si="283"/>
        <v>1.0357061624526978</v>
      </c>
      <c r="J350" s="106" t="str">
        <f t="shared" si="283"/>
        <v/>
      </c>
      <c r="K350" s="106">
        <f t="shared" si="283"/>
        <v>0.97276264429092407</v>
      </c>
      <c r="L350" s="106">
        <f t="shared" si="283"/>
        <v>0.97848474979400635</v>
      </c>
      <c r="M350" s="106" t="str">
        <f t="shared" si="283"/>
        <v/>
      </c>
      <c r="N350" s="106">
        <f t="shared" si="283"/>
        <v>0.80682080984115601</v>
      </c>
      <c r="O350" s="106">
        <f t="shared" si="283"/>
        <v>0.88693064451217651</v>
      </c>
      <c r="P350" s="106">
        <f t="shared" si="283"/>
        <v>0.64087891578674316</v>
      </c>
      <c r="Q350" s="106">
        <f t="shared" si="283"/>
        <v>0.79537653923034668</v>
      </c>
      <c r="R350" s="106">
        <f t="shared" si="283"/>
        <v>0.65804529190063477</v>
      </c>
      <c r="S350" s="106">
        <f t="shared" si="283"/>
        <v>0.81254291534423828</v>
      </c>
      <c r="T350" s="106">
        <f t="shared" si="283"/>
        <v>0.67521172761917114</v>
      </c>
      <c r="U350" s="106">
        <f t="shared" si="283"/>
        <v>0.69810026884078979</v>
      </c>
      <c r="V350" s="106">
        <f t="shared" si="283"/>
        <v>0.90409702062606812</v>
      </c>
      <c r="W350" s="106">
        <f t="shared" si="283"/>
        <v>1.0357061624526978</v>
      </c>
      <c r="X350" s="106">
        <f t="shared" si="283"/>
        <v>0.97848474979400635</v>
      </c>
      <c r="Y350" s="106">
        <f t="shared" si="283"/>
        <v>1.1272602081298828</v>
      </c>
      <c r="Z350" s="106">
        <f t="shared" si="283"/>
        <v>1.0814831256866455</v>
      </c>
      <c r="AA350" s="106">
        <f t="shared" si="283"/>
        <v>0.88120853900909424</v>
      </c>
      <c r="AB350" s="106">
        <f t="shared" si="283"/>
        <v>1.0643167495727539</v>
      </c>
      <c r="AC350" s="106">
        <f t="shared" si="283"/>
        <v>1.1043716669082642</v>
      </c>
      <c r="AD350" s="106">
        <f t="shared" si="283"/>
        <v>0.86976426839828491</v>
      </c>
      <c r="AE350" s="106">
        <f t="shared" si="283"/>
        <v>0.82970929145812988</v>
      </c>
      <c r="AF350" s="106" t="str">
        <f t="shared" si="283"/>
        <v/>
      </c>
      <c r="AG350" s="106">
        <f t="shared" si="283"/>
        <v>0.73815518617630005</v>
      </c>
      <c r="AH350" s="106">
        <f t="shared" si="283"/>
        <v>0.88693064451217651</v>
      </c>
      <c r="AI350" s="106">
        <f t="shared" si="283"/>
        <v>0.58365756273269653</v>
      </c>
      <c r="AJ350" s="106">
        <f t="shared" si="283"/>
        <v>0.96131837368011475</v>
      </c>
      <c r="AK350" s="106">
        <f t="shared" si="283"/>
        <v>0.68665599822998047</v>
      </c>
      <c r="AL350" s="199">
        <f t="shared" ref="AL350:AL357" si="284">AVERAGE(F350:AK350)</f>
        <v>0.87527444627549911</v>
      </c>
      <c r="AM350" s="194">
        <f t="shared" ref="AM350:AM357" si="285">STDEV(F350:AK350)</f>
        <v>0.15431392935107832</v>
      </c>
      <c r="AN350" s="200">
        <f t="shared" ref="AN350:AN357" si="286">AM350/AL350</f>
        <v>0.17630347830639953</v>
      </c>
      <c r="AO350" s="104"/>
      <c r="AP350" s="74"/>
    </row>
    <row r="351" spans="1:42">
      <c r="A351" s="242"/>
      <c r="B351" s="242"/>
      <c r="C351" s="210" t="str">
        <f t="shared" ref="C351:C353" si="287">C333</f>
        <v>G</v>
      </c>
      <c r="D351" s="172"/>
      <c r="E351" s="172"/>
      <c r="F351" s="106" t="str">
        <f t="shared" ref="F351:AK351" si="288">IF(F$305,F28*(1+IF(cmpSet&lt;64,cmpSet*F103,F105+(cmpSet-64)*F104)),"")</f>
        <v/>
      </c>
      <c r="G351" s="106" t="str">
        <f t="shared" si="288"/>
        <v/>
      </c>
      <c r="H351" s="106">
        <f t="shared" si="288"/>
        <v>3.9736127853393555</v>
      </c>
      <c r="I351" s="106">
        <f t="shared" si="288"/>
        <v>4.5545455387660434</v>
      </c>
      <c r="J351" s="106" t="str">
        <f t="shared" si="288"/>
        <v/>
      </c>
      <c r="K351" s="106">
        <f t="shared" si="288"/>
        <v>4.0550850232442226</v>
      </c>
      <c r="L351" s="106">
        <f t="shared" si="288"/>
        <v>4.2289290201096312</v>
      </c>
      <c r="M351" s="106" t="str">
        <f t="shared" si="288"/>
        <v/>
      </c>
      <c r="N351" s="106">
        <f t="shared" si="288"/>
        <v>3.8076708203270324</v>
      </c>
      <c r="O351" s="106">
        <f t="shared" si="288"/>
        <v>3.6864162626720609</v>
      </c>
      <c r="P351" s="106">
        <f t="shared" si="288"/>
        <v>3.267338060197376</v>
      </c>
      <c r="Q351" s="106">
        <f t="shared" si="288"/>
        <v>3.910124347323463</v>
      </c>
      <c r="R351" s="106">
        <f t="shared" si="288"/>
        <v>3.3305539971306208</v>
      </c>
      <c r="S351" s="106">
        <f t="shared" si="288"/>
        <v>3.605488970166161</v>
      </c>
      <c r="T351" s="106">
        <f t="shared" si="288"/>
        <v>3.5766057854606994</v>
      </c>
      <c r="U351" s="106">
        <f t="shared" si="288"/>
        <v>3.1752389272054033</v>
      </c>
      <c r="V351" s="106">
        <f t="shared" si="288"/>
        <v>4.0591721761794322</v>
      </c>
      <c r="W351" s="106">
        <f t="shared" si="288"/>
        <v>4.5016837801252088</v>
      </c>
      <c r="X351" s="106">
        <f t="shared" si="288"/>
        <v>4.517487957364037</v>
      </c>
      <c r="Y351" s="106">
        <f t="shared" si="288"/>
        <v>4.6692608424595425</v>
      </c>
      <c r="Z351" s="106">
        <f t="shared" si="288"/>
        <v>4.6747104099818637</v>
      </c>
      <c r="AA351" s="106">
        <f t="shared" si="288"/>
        <v>3.6518110320681618</v>
      </c>
      <c r="AB351" s="106">
        <f t="shared" si="288"/>
        <v>4.2030431429545088</v>
      </c>
      <c r="AC351" s="106">
        <f t="shared" si="288"/>
        <v>4.4728005954197476</v>
      </c>
      <c r="AD351" s="106">
        <f t="shared" si="288"/>
        <v>4.3422815459115167</v>
      </c>
      <c r="AE351" s="106">
        <f t="shared" si="288"/>
        <v>4.1877839224679123</v>
      </c>
      <c r="AF351" s="106" t="str">
        <f t="shared" si="288"/>
        <v/>
      </c>
      <c r="AG351" s="106">
        <f t="shared" si="288"/>
        <v>3.3008533659435453</v>
      </c>
      <c r="AH351" s="106">
        <f t="shared" si="288"/>
        <v>4.2741609982081821</v>
      </c>
      <c r="AI351" s="106">
        <f t="shared" si="288"/>
        <v>2.922102689743042</v>
      </c>
      <c r="AJ351" s="106">
        <f t="shared" si="288"/>
        <v>4.2422805059523805</v>
      </c>
      <c r="AK351" s="106">
        <f t="shared" si="288"/>
        <v>3.3057581924256825</v>
      </c>
      <c r="AL351" s="199">
        <f t="shared" si="284"/>
        <v>3.9443259516721052</v>
      </c>
      <c r="AM351" s="194">
        <f t="shared" si="285"/>
        <v>0.50590778382827717</v>
      </c>
      <c r="AN351" s="200">
        <f t="shared" si="286"/>
        <v>0.12826216444252264</v>
      </c>
      <c r="AO351" s="104"/>
      <c r="AP351" s="74"/>
    </row>
    <row r="352" spans="1:42">
      <c r="A352" s="242"/>
      <c r="B352" s="242"/>
      <c r="C352" s="210" t="str">
        <f t="shared" si="287"/>
        <v>B</v>
      </c>
      <c r="D352" s="172"/>
      <c r="E352" s="172"/>
      <c r="F352" s="106" t="str">
        <f t="shared" ref="F352:AK352" si="289">IF(F$305,F29,"")</f>
        <v/>
      </c>
      <c r="G352" s="106" t="str">
        <f t="shared" si="289"/>
        <v/>
      </c>
      <c r="H352" s="106">
        <f t="shared" si="289"/>
        <v>2.7008469104766846</v>
      </c>
      <c r="I352" s="106">
        <f t="shared" si="289"/>
        <v>3.0441749095916748</v>
      </c>
      <c r="J352" s="106" t="str">
        <f t="shared" si="289"/>
        <v/>
      </c>
      <c r="K352" s="106">
        <f t="shared" si="289"/>
        <v>2.7065689563751221</v>
      </c>
      <c r="L352" s="106">
        <f t="shared" si="289"/>
        <v>2.8496222496032715</v>
      </c>
      <c r="M352" s="106" t="str">
        <f t="shared" si="289"/>
        <v/>
      </c>
      <c r="N352" s="106">
        <f t="shared" si="289"/>
        <v>2.5921263694763184</v>
      </c>
      <c r="O352" s="106">
        <f t="shared" si="289"/>
        <v>2.4547951221466064</v>
      </c>
      <c r="P352" s="106">
        <f t="shared" si="289"/>
        <v>2.1858549118041992</v>
      </c>
      <c r="Q352" s="106">
        <f t="shared" si="289"/>
        <v>2.4662394523620605</v>
      </c>
      <c r="R352" s="106">
        <f t="shared" si="289"/>
        <v>2.1229114532470703</v>
      </c>
      <c r="S352" s="106">
        <f t="shared" si="289"/>
        <v>2.397573709487915</v>
      </c>
      <c r="T352" s="106">
        <f t="shared" si="289"/>
        <v>2.3231861591339111</v>
      </c>
      <c r="U352" s="106">
        <f t="shared" si="289"/>
        <v>2.0828564167022705</v>
      </c>
      <c r="V352" s="106">
        <f t="shared" si="289"/>
        <v>2.5692377090454102</v>
      </c>
      <c r="W352" s="106">
        <f t="shared" si="289"/>
        <v>2.8267338275909424</v>
      </c>
      <c r="X352" s="106">
        <f t="shared" si="289"/>
        <v>2.9011216163635254</v>
      </c>
      <c r="Y352" s="106">
        <f t="shared" si="289"/>
        <v>3.227283239364624</v>
      </c>
      <c r="Z352" s="106">
        <f t="shared" si="289"/>
        <v>2.9812314510345459</v>
      </c>
      <c r="AA352" s="106">
        <f t="shared" si="289"/>
        <v>2.4032959938049316</v>
      </c>
      <c r="AB352" s="106">
        <f t="shared" si="289"/>
        <v>2.9011216163635254</v>
      </c>
      <c r="AC352" s="106">
        <f t="shared" si="289"/>
        <v>2.8667886257171631</v>
      </c>
      <c r="AD352" s="106">
        <f t="shared" si="289"/>
        <v>3.004119873046875</v>
      </c>
      <c r="AE352" s="106">
        <f t="shared" si="289"/>
        <v>2.8610665798187256</v>
      </c>
      <c r="AF352" s="106" t="str">
        <f t="shared" si="289"/>
        <v/>
      </c>
      <c r="AG352" s="106">
        <f t="shared" si="289"/>
        <v>2.1057450771331787</v>
      </c>
      <c r="AH352" s="106">
        <f t="shared" si="289"/>
        <v>2.9125657081604004</v>
      </c>
      <c r="AI352" s="106">
        <f t="shared" si="289"/>
        <v>1.8883039951324463</v>
      </c>
      <c r="AJ352" s="106">
        <f t="shared" si="289"/>
        <v>2.683680534362793</v>
      </c>
      <c r="AK352" s="106">
        <f t="shared" si="289"/>
        <v>2.1915769577026367</v>
      </c>
      <c r="AL352" s="199">
        <f t="shared" si="284"/>
        <v>2.6018751638906972</v>
      </c>
      <c r="AM352" s="194">
        <f t="shared" si="285"/>
        <v>0.35303152519244924</v>
      </c>
      <c r="AN352" s="200">
        <f t="shared" si="286"/>
        <v>0.13568349861357137</v>
      </c>
      <c r="AO352" s="104"/>
      <c r="AP352" s="74"/>
    </row>
    <row r="353" spans="1:42">
      <c r="A353" s="242"/>
      <c r="B353" s="242"/>
      <c r="C353" s="210" t="str">
        <f t="shared" si="287"/>
        <v>ΔIR</v>
      </c>
      <c r="D353" s="172"/>
      <c r="E353" s="172"/>
      <c r="F353" s="100" t="str">
        <f>IF(F106&lt;&gt;"",F106,"")</f>
        <v/>
      </c>
      <c r="G353" s="100" t="str">
        <f t="shared" ref="G353:AK353" si="290">IF(G106&lt;&gt;"",G106,"")</f>
        <v/>
      </c>
      <c r="H353" s="100">
        <f t="shared" si="290"/>
        <v>-1.497847346152418E-3</v>
      </c>
      <c r="I353" s="100">
        <f t="shared" si="290"/>
        <v>-1.5056686664547878E-3</v>
      </c>
      <c r="J353" s="100" t="str">
        <f t="shared" si="290"/>
        <v/>
      </c>
      <c r="K353" s="100">
        <f t="shared" si="290"/>
        <v>-1.5629438819174952E-3</v>
      </c>
      <c r="L353" s="100">
        <f t="shared" si="290"/>
        <v>-1.2698401455197444E-3</v>
      </c>
      <c r="M353" s="100" t="str">
        <f t="shared" si="290"/>
        <v/>
      </c>
      <c r="N353" s="100">
        <f t="shared" si="290"/>
        <v>-1.5570258199400762E-3</v>
      </c>
      <c r="O353" s="100">
        <f t="shared" si="290"/>
        <v>-1.5223767578867937E-3</v>
      </c>
      <c r="P353" s="100">
        <f t="shared" si="290"/>
        <v>-1.5847859874407013E-3</v>
      </c>
      <c r="Q353" s="100">
        <f t="shared" si="290"/>
        <v>-1.4814809759042275E-3</v>
      </c>
      <c r="R353" s="100">
        <f t="shared" si="290"/>
        <v>-1.5798954241117674E-3</v>
      </c>
      <c r="S353" s="100">
        <f t="shared" si="290"/>
        <v>-1.4909617430123349E-3</v>
      </c>
      <c r="T353" s="100">
        <f t="shared" si="290"/>
        <v>-1.480864052687089E-3</v>
      </c>
      <c r="U353" s="100">
        <f t="shared" si="290"/>
        <v>-1.5795330770143551E-3</v>
      </c>
      <c r="V353" s="100">
        <f t="shared" si="290"/>
        <v>-1.4504300634863639E-3</v>
      </c>
      <c r="W353" s="100">
        <f t="shared" si="290"/>
        <v>-1.4379746179240534E-3</v>
      </c>
      <c r="X353" s="100">
        <f t="shared" si="290"/>
        <v>-1.3489286449525609E-3</v>
      </c>
      <c r="Y353" s="100">
        <f t="shared" si="290"/>
        <v>-1.4880946844968226E-3</v>
      </c>
      <c r="Z353" s="100">
        <f t="shared" si="290"/>
        <v>-1.4703795352044393E-3</v>
      </c>
      <c r="AA353" s="100">
        <f t="shared" si="290"/>
        <v>-1.5149463136904925E-3</v>
      </c>
      <c r="AB353" s="100">
        <f t="shared" si="290"/>
        <v>-1.459133535384549E-3</v>
      </c>
      <c r="AC353" s="100">
        <f t="shared" si="290"/>
        <v>-1.4295010068466555E-3</v>
      </c>
      <c r="AD353" s="100">
        <f t="shared" si="290"/>
        <v>-1.5379360266743862E-3</v>
      </c>
      <c r="AE353" s="100">
        <f t="shared" si="290"/>
        <v>-1.5892639382722145E-3</v>
      </c>
      <c r="AF353" s="100" t="str">
        <f t="shared" si="290"/>
        <v/>
      </c>
      <c r="AG353" s="100">
        <f t="shared" si="290"/>
        <v>-1.5021782043998845E-3</v>
      </c>
      <c r="AH353" s="100">
        <f t="shared" si="290"/>
        <v>-1.5949880005623304E-3</v>
      </c>
      <c r="AI353" s="100">
        <f t="shared" si="290"/>
        <v>-1.5760446531784471E-3</v>
      </c>
      <c r="AJ353" s="100">
        <f t="shared" si="290"/>
        <v>-1.3930582715689823E-3</v>
      </c>
      <c r="AK353" s="100">
        <f t="shared" si="290"/>
        <v>-1.43158441973907E-3</v>
      </c>
      <c r="AL353" s="201">
        <f t="shared" si="284"/>
        <v>-1.4939876220156686E-3</v>
      </c>
      <c r="AM353" s="197">
        <f t="shared" si="285"/>
        <v>7.7900680975913838E-5</v>
      </c>
      <c r="AN353" s="200">
        <f t="shared" si="286"/>
        <v>-5.214278875404018E-2</v>
      </c>
      <c r="AO353" s="104"/>
      <c r="AP353" s="74"/>
    </row>
    <row r="354" spans="1:42">
      <c r="A354" s="242"/>
      <c r="B354" s="242" t="str">
        <f>B108</f>
        <v>HI</v>
      </c>
      <c r="C354" s="172" t="str">
        <f>C350</f>
        <v>R</v>
      </c>
      <c r="D354" s="172"/>
      <c r="E354" s="172"/>
      <c r="F354" s="106" t="str">
        <f>IF(F$305,F33,"")</f>
        <v/>
      </c>
      <c r="G354" s="106" t="str">
        <f t="shared" ref="G354:AK354" si="291">IF(G$305,G33,"")</f>
        <v/>
      </c>
      <c r="H354" s="106">
        <f t="shared" si="291"/>
        <v>1.0948348045349121</v>
      </c>
      <c r="I354" s="106">
        <f t="shared" si="291"/>
        <v>1.2512397766113281</v>
      </c>
      <c r="J354" s="106" t="str">
        <f t="shared" si="291"/>
        <v/>
      </c>
      <c r="K354" s="106">
        <f t="shared" si="291"/>
        <v>1.0948348045349121</v>
      </c>
      <c r="L354" s="106">
        <f t="shared" si="291"/>
        <v>1.0948348045349121</v>
      </c>
      <c r="M354" s="106" t="str">
        <f t="shared" si="291"/>
        <v/>
      </c>
      <c r="N354" s="106">
        <f t="shared" si="291"/>
        <v>0.93842983245849609</v>
      </c>
      <c r="O354" s="106">
        <f t="shared" si="291"/>
        <v>1.0948348045349121</v>
      </c>
      <c r="P354" s="106">
        <f t="shared" si="291"/>
        <v>0.93842983245849609</v>
      </c>
      <c r="Q354" s="106">
        <f t="shared" si="291"/>
        <v>0.93842983245849609</v>
      </c>
      <c r="R354" s="106">
        <f t="shared" si="291"/>
        <v>0.78202486038208008</v>
      </c>
      <c r="S354" s="106">
        <f t="shared" si="291"/>
        <v>0.93842983245849609</v>
      </c>
      <c r="T354" s="106">
        <f t="shared" si="291"/>
        <v>0.78202486038208008</v>
      </c>
      <c r="U354" s="106">
        <f t="shared" si="291"/>
        <v>0.78202486038208008</v>
      </c>
      <c r="V354" s="106">
        <f t="shared" si="291"/>
        <v>1.0948348045349121</v>
      </c>
      <c r="W354" s="106">
        <f t="shared" si="291"/>
        <v>1.2512397766113281</v>
      </c>
      <c r="X354" s="106">
        <f t="shared" si="291"/>
        <v>1.0948348045349121</v>
      </c>
      <c r="Y354" s="106">
        <f t="shared" si="291"/>
        <v>1.4076447486877441</v>
      </c>
      <c r="Z354" s="106">
        <f t="shared" si="291"/>
        <v>1.2512397766113281</v>
      </c>
      <c r="AA354" s="106">
        <f t="shared" si="291"/>
        <v>0.93842983245849609</v>
      </c>
      <c r="AB354" s="106">
        <f t="shared" si="291"/>
        <v>1.2512397766113281</v>
      </c>
      <c r="AC354" s="106">
        <f t="shared" si="291"/>
        <v>1.2512397766113281</v>
      </c>
      <c r="AD354" s="106">
        <f t="shared" si="291"/>
        <v>0.93842983245849609</v>
      </c>
      <c r="AE354" s="106">
        <f t="shared" si="291"/>
        <v>1.0948348045349121</v>
      </c>
      <c r="AF354" s="106" t="str">
        <f t="shared" si="291"/>
        <v/>
      </c>
      <c r="AG354" s="106">
        <f t="shared" si="291"/>
        <v>0.78202486038208008</v>
      </c>
      <c r="AH354" s="106">
        <f t="shared" si="291"/>
        <v>1.0948348045349121</v>
      </c>
      <c r="AI354" s="106">
        <f t="shared" si="291"/>
        <v>0.62561988830566406</v>
      </c>
      <c r="AJ354" s="106">
        <f t="shared" si="291"/>
        <v>1.0948348045349121</v>
      </c>
      <c r="AK354" s="106">
        <f t="shared" si="291"/>
        <v>0.78202486038208008</v>
      </c>
      <c r="AL354" s="199">
        <f t="shared" si="284"/>
        <v>1.0253214836120605</v>
      </c>
      <c r="AM354" s="194">
        <f t="shared" si="285"/>
        <v>0.19073581453003627</v>
      </c>
      <c r="AN354" s="200">
        <f t="shared" si="286"/>
        <v>0.18602537601972538</v>
      </c>
      <c r="AO354" s="104"/>
      <c r="AP354" s="74"/>
    </row>
    <row r="355" spans="1:42">
      <c r="A355" s="242"/>
      <c r="B355" s="242"/>
      <c r="C355" s="210" t="str">
        <f t="shared" ref="C355:C357" si="292">C351</f>
        <v>G</v>
      </c>
      <c r="D355" s="172"/>
      <c r="E355" s="172"/>
      <c r="F355" s="106" t="str">
        <f t="shared" ref="F355:AK355" si="293">IF(F$305,F34*(1+IF(cmpSet&lt;64,cmpSet*F108,F110+(cmpSet-64)*F109)),"")</f>
        <v/>
      </c>
      <c r="G355" s="106" t="str">
        <f t="shared" si="293"/>
        <v/>
      </c>
      <c r="H355" s="106">
        <f t="shared" si="293"/>
        <v>4.3942349297659735</v>
      </c>
      <c r="I355" s="106">
        <f t="shared" si="293"/>
        <v>4.8708977018083841</v>
      </c>
      <c r="J355" s="106" t="str">
        <f t="shared" si="293"/>
        <v/>
      </c>
      <c r="K355" s="106">
        <f t="shared" si="293"/>
        <v>4.4016827855791361</v>
      </c>
      <c r="L355" s="106">
        <f t="shared" si="293"/>
        <v>4.4016827855791361</v>
      </c>
      <c r="M355" s="106" t="str">
        <f t="shared" si="293"/>
        <v/>
      </c>
      <c r="N355" s="106">
        <f t="shared" si="293"/>
        <v>4.4016827855791361</v>
      </c>
      <c r="O355" s="106">
        <f t="shared" si="293"/>
        <v>4.24527781350272</v>
      </c>
      <c r="P355" s="106">
        <f t="shared" si="293"/>
        <v>3.7686150414603099</v>
      </c>
      <c r="Q355" s="106">
        <f t="shared" si="293"/>
        <v>3.9324678693498885</v>
      </c>
      <c r="R355" s="106">
        <f t="shared" si="293"/>
        <v>3.4558050973074779</v>
      </c>
      <c r="S355" s="106">
        <f t="shared" si="293"/>
        <v>3.9324678693498885</v>
      </c>
      <c r="T355" s="106">
        <f t="shared" si="293"/>
        <v>3.9250200135367259</v>
      </c>
      <c r="U355" s="106">
        <f t="shared" si="293"/>
        <v>3.3068479810442244</v>
      </c>
      <c r="V355" s="106">
        <f t="shared" si="293"/>
        <v>4.24527781350272</v>
      </c>
      <c r="W355" s="106">
        <f t="shared" si="293"/>
        <v>4.8708977018083841</v>
      </c>
      <c r="X355" s="106">
        <f t="shared" si="293"/>
        <v>4.4016827855791361</v>
      </c>
      <c r="Y355" s="106">
        <f t="shared" si="293"/>
        <v>5.6529225621904651</v>
      </c>
      <c r="Z355" s="106">
        <f t="shared" si="293"/>
        <v>4.8708977018083841</v>
      </c>
      <c r="AA355" s="106">
        <f t="shared" si="293"/>
        <v>3.9250200135367259</v>
      </c>
      <c r="AB355" s="106">
        <f t="shared" si="293"/>
        <v>4.5580877576555521</v>
      </c>
      <c r="AC355" s="106">
        <f t="shared" si="293"/>
        <v>4.714492729731969</v>
      </c>
      <c r="AD355" s="106">
        <f t="shared" si="293"/>
        <v>4.5655356134687146</v>
      </c>
      <c r="AE355" s="106">
        <f t="shared" si="293"/>
        <v>4.8708977018083841</v>
      </c>
      <c r="AF355" s="106" t="str">
        <f t="shared" si="293"/>
        <v/>
      </c>
      <c r="AG355" s="106">
        <f t="shared" si="293"/>
        <v>3.6122100693838939</v>
      </c>
      <c r="AH355" s="106">
        <f t="shared" si="293"/>
        <v>4.8708977018083841</v>
      </c>
      <c r="AI355" s="106">
        <f t="shared" si="293"/>
        <v>3.1429951531546458</v>
      </c>
      <c r="AJ355" s="106">
        <f t="shared" si="293"/>
        <v>4.5580877576555521</v>
      </c>
      <c r="AK355" s="106">
        <f t="shared" si="293"/>
        <v>3.6122100693838939</v>
      </c>
      <c r="AL355" s="199">
        <f t="shared" si="284"/>
        <v>4.2781035483829557</v>
      </c>
      <c r="AM355" s="194">
        <f t="shared" si="285"/>
        <v>0.57833879285518131</v>
      </c>
      <c r="AN355" s="200">
        <f t="shared" si="286"/>
        <v>0.13518578648564566</v>
      </c>
      <c r="AO355" s="104"/>
      <c r="AP355" s="74"/>
    </row>
    <row r="356" spans="1:42" s="105" customFormat="1">
      <c r="A356" s="242"/>
      <c r="B356" s="242"/>
      <c r="C356" s="210" t="str">
        <f t="shared" si="292"/>
        <v>B</v>
      </c>
      <c r="D356" s="172"/>
      <c r="E356" s="172"/>
      <c r="F356" s="106" t="str">
        <f t="shared" ref="F356:AK356" si="294">IF(F$305,F35,"")</f>
        <v/>
      </c>
      <c r="G356" s="106" t="str">
        <f t="shared" si="294"/>
        <v/>
      </c>
      <c r="H356" s="106">
        <f t="shared" si="294"/>
        <v>2.9716944694519043</v>
      </c>
      <c r="I356" s="106">
        <f t="shared" si="294"/>
        <v>3.2845044136047363</v>
      </c>
      <c r="J356" s="106" t="str">
        <f t="shared" si="294"/>
        <v/>
      </c>
      <c r="K356" s="106">
        <f t="shared" si="294"/>
        <v>2.9716944694519043</v>
      </c>
      <c r="L356" s="106">
        <f t="shared" si="294"/>
        <v>2.9716944694519043</v>
      </c>
      <c r="M356" s="106" t="str">
        <f t="shared" si="294"/>
        <v/>
      </c>
      <c r="N356" s="106">
        <f t="shared" si="294"/>
        <v>2.9716944694519043</v>
      </c>
      <c r="O356" s="106">
        <f t="shared" si="294"/>
        <v>2.8152894973754883</v>
      </c>
      <c r="P356" s="106">
        <f t="shared" si="294"/>
        <v>2.5024795532226563</v>
      </c>
      <c r="Q356" s="106">
        <f t="shared" si="294"/>
        <v>2.5024795532226563</v>
      </c>
      <c r="R356" s="106">
        <f t="shared" si="294"/>
        <v>2.1896696090698242</v>
      </c>
      <c r="S356" s="106">
        <f t="shared" si="294"/>
        <v>2.6588845252990723</v>
      </c>
      <c r="T356" s="106">
        <f t="shared" si="294"/>
        <v>2.5024795532226563</v>
      </c>
      <c r="U356" s="106">
        <f t="shared" si="294"/>
        <v>2.1896696090698242</v>
      </c>
      <c r="V356" s="106">
        <f t="shared" si="294"/>
        <v>2.6588845252990723</v>
      </c>
      <c r="W356" s="106">
        <f t="shared" si="294"/>
        <v>3.1280994415283203</v>
      </c>
      <c r="X356" s="106">
        <f t="shared" si="294"/>
        <v>2.9716944694519043</v>
      </c>
      <c r="Y356" s="106">
        <f t="shared" si="294"/>
        <v>3.9101243019104004</v>
      </c>
      <c r="Z356" s="106">
        <f t="shared" si="294"/>
        <v>3.1280994415283203</v>
      </c>
      <c r="AA356" s="106">
        <f t="shared" si="294"/>
        <v>2.6588845252990723</v>
      </c>
      <c r="AB356" s="106">
        <f t="shared" si="294"/>
        <v>3.1280994415283203</v>
      </c>
      <c r="AC356" s="106">
        <f t="shared" si="294"/>
        <v>3.1280994415283203</v>
      </c>
      <c r="AD356" s="106">
        <f t="shared" si="294"/>
        <v>3.2845044136047363</v>
      </c>
      <c r="AE356" s="106">
        <f t="shared" si="294"/>
        <v>3.2845044136047363</v>
      </c>
      <c r="AF356" s="106" t="str">
        <f t="shared" si="294"/>
        <v/>
      </c>
      <c r="AG356" s="106">
        <f t="shared" si="294"/>
        <v>2.3460745811462402</v>
      </c>
      <c r="AH356" s="106">
        <f t="shared" si="294"/>
        <v>3.2845044136047363</v>
      </c>
      <c r="AI356" s="106">
        <f t="shared" si="294"/>
        <v>2.0332646369934082</v>
      </c>
      <c r="AJ356" s="106">
        <f t="shared" si="294"/>
        <v>2.9716944694519043</v>
      </c>
      <c r="AK356" s="106">
        <f t="shared" si="294"/>
        <v>2.5024795532226563</v>
      </c>
      <c r="AL356" s="199">
        <f t="shared" si="284"/>
        <v>2.8500461578369141</v>
      </c>
      <c r="AM356" s="194">
        <f t="shared" si="285"/>
        <v>0.42354666660827289</v>
      </c>
      <c r="AN356" s="200">
        <f t="shared" si="286"/>
        <v>0.14861045862138952</v>
      </c>
      <c r="AO356" s="104"/>
      <c r="AP356" s="74"/>
    </row>
    <row r="357" spans="1:42" s="105" customFormat="1">
      <c r="A357" s="242"/>
      <c r="B357" s="242"/>
      <c r="C357" s="210" t="str">
        <f t="shared" si="292"/>
        <v>ΔIR</v>
      </c>
      <c r="D357" s="172"/>
      <c r="E357" s="172"/>
      <c r="F357" s="100" t="str">
        <f>IF(F111&lt;&gt;"",F111,"")</f>
        <v/>
      </c>
      <c r="G357" s="100" t="str">
        <f t="shared" ref="G357:AK357" si="295">IF(G111&lt;&gt;"",G113,"")</f>
        <v/>
      </c>
      <c r="H357" s="100">
        <f t="shared" si="295"/>
        <v>-1.278024202176738E-3</v>
      </c>
      <c r="I357" s="100">
        <f t="shared" si="295"/>
        <v>-1.4531144452722118E-3</v>
      </c>
      <c r="J357" s="100" t="str">
        <f t="shared" si="295"/>
        <v/>
      </c>
      <c r="K357" s="100">
        <f t="shared" si="295"/>
        <v>-1.5495210961046771E-3</v>
      </c>
      <c r="L357" s="100">
        <f t="shared" si="295"/>
        <v>-1.4029692279058014E-3</v>
      </c>
      <c r="M357" s="100" t="str">
        <f t="shared" si="295"/>
        <v/>
      </c>
      <c r="N357" s="100">
        <f t="shared" si="295"/>
        <v>-1.5465620651159673E-3</v>
      </c>
      <c r="O357" s="100">
        <f t="shared" si="295"/>
        <v>-1.5548391725941904E-3</v>
      </c>
      <c r="P357" s="100">
        <f t="shared" si="295"/>
        <v>-1.4028936042209611E-3</v>
      </c>
      <c r="Q357" s="100">
        <f t="shared" si="295"/>
        <v>-1.5910806240065356E-3</v>
      </c>
      <c r="R357" s="100">
        <f t="shared" si="295"/>
        <v>-1.451323373431545E-3</v>
      </c>
      <c r="S357" s="100">
        <f t="shared" si="295"/>
        <v>-1.5958210075605892E-3</v>
      </c>
      <c r="T357" s="100">
        <f t="shared" si="295"/>
        <v>-1.3283215031219102E-3</v>
      </c>
      <c r="U357" s="100">
        <f t="shared" si="295"/>
        <v>-1.7818300305706696E-3</v>
      </c>
      <c r="V357" s="100">
        <f t="shared" si="295"/>
        <v>-1.5188658253939757E-3</v>
      </c>
      <c r="W357" s="100">
        <f t="shared" si="295"/>
        <v>-1.4192674210068445E-3</v>
      </c>
      <c r="X357" s="100">
        <f t="shared" si="295"/>
        <v>-1.4425134776222099E-3</v>
      </c>
      <c r="Y357" s="100">
        <f t="shared" si="295"/>
        <v>-1.3545479527490218E-3</v>
      </c>
      <c r="Z357" s="100">
        <f t="shared" si="295"/>
        <v>-1.4354698796470375E-3</v>
      </c>
      <c r="AA357" s="100">
        <f t="shared" si="295"/>
        <v>-1.345362633623612E-3</v>
      </c>
      <c r="AB357" s="100">
        <f t="shared" si="295"/>
        <v>-1.4736143867398934E-3</v>
      </c>
      <c r="AC357" s="100">
        <f t="shared" si="295"/>
        <v>-1.4362512249240494E-3</v>
      </c>
      <c r="AD357" s="100">
        <f t="shared" si="295"/>
        <v>-1.7309689753381551E-3</v>
      </c>
      <c r="AE357" s="100">
        <f t="shared" si="295"/>
        <v>-1.4949120811809252E-3</v>
      </c>
      <c r="AF357" s="100" t="str">
        <f t="shared" si="295"/>
        <v/>
      </c>
      <c r="AG357" s="100">
        <f t="shared" si="295"/>
        <v>-1.3860097371205771E-3</v>
      </c>
      <c r="AH357" s="100">
        <f t="shared" si="295"/>
        <v>-1.497774112325983E-3</v>
      </c>
      <c r="AI357" s="100">
        <f t="shared" si="295"/>
        <v>-1.509523048089945E-3</v>
      </c>
      <c r="AJ357" s="100">
        <f t="shared" si="295"/>
        <v>-1.4405767548321103E-3</v>
      </c>
      <c r="AK357" s="100">
        <f t="shared" si="295"/>
        <v>-1.3507128447901699E-3</v>
      </c>
      <c r="AL357" s="201">
        <f t="shared" si="284"/>
        <v>-1.473061878054308E-3</v>
      </c>
      <c r="AM357" s="197">
        <f t="shared" si="285"/>
        <v>1.1494994882633341E-4</v>
      </c>
      <c r="AN357" s="200">
        <f t="shared" si="286"/>
        <v>-7.8034704813734576E-2</v>
      </c>
      <c r="AO357" s="104"/>
      <c r="AP357" s="74"/>
    </row>
    <row r="358" spans="1:42" s="105" customFormat="1">
      <c r="A358" s="159"/>
      <c r="B358" s="172"/>
      <c r="C358" s="172"/>
      <c r="D358" s="172"/>
      <c r="E358" s="172"/>
      <c r="F358" s="100"/>
      <c r="G358" s="100"/>
      <c r="H358" s="100"/>
      <c r="I358" s="100"/>
      <c r="J358" s="100"/>
      <c r="K358" s="100"/>
      <c r="L358" s="100"/>
      <c r="M358" s="100"/>
      <c r="N358" s="100"/>
      <c r="O358" s="100"/>
      <c r="P358" s="100"/>
      <c r="Q358" s="100"/>
      <c r="R358" s="100"/>
      <c r="S358" s="100"/>
      <c r="T358" s="100"/>
      <c r="U358" s="100"/>
      <c r="V358" s="100"/>
      <c r="W358" s="100"/>
      <c r="X358" s="100"/>
      <c r="Y358" s="100"/>
      <c r="Z358" s="100"/>
      <c r="AA358" s="100"/>
      <c r="AB358" s="100"/>
      <c r="AC358" s="100"/>
      <c r="AD358" s="100"/>
      <c r="AE358" s="100"/>
      <c r="AF358" s="100"/>
      <c r="AG358" s="100"/>
      <c r="AH358" s="100"/>
      <c r="AI358" s="100"/>
      <c r="AJ358" s="100"/>
      <c r="AK358" s="100"/>
      <c r="AL358" s="201"/>
      <c r="AM358" s="197"/>
      <c r="AN358" s="200"/>
      <c r="AO358" s="104"/>
      <c r="AP358" s="74"/>
    </row>
    <row r="359" spans="1:42" s="105" customFormat="1">
      <c r="A359" s="159"/>
      <c r="B359" s="172"/>
      <c r="C359" s="172"/>
      <c r="D359" s="172"/>
      <c r="E359" s="172"/>
      <c r="F359" s="100"/>
      <c r="G359" s="100"/>
      <c r="H359" s="100"/>
      <c r="I359" s="100"/>
      <c r="J359" s="100"/>
      <c r="K359" s="100"/>
      <c r="L359" s="100"/>
      <c r="M359" s="100"/>
      <c r="N359" s="100"/>
      <c r="O359" s="100"/>
      <c r="P359" s="100"/>
      <c r="Q359" s="100"/>
      <c r="R359" s="100"/>
      <c r="S359" s="100"/>
      <c r="T359" s="100"/>
      <c r="U359" s="100"/>
      <c r="V359" s="100"/>
      <c r="W359" s="100"/>
      <c r="X359" s="100"/>
      <c r="Y359" s="100"/>
      <c r="Z359" s="100"/>
      <c r="AA359" s="100"/>
      <c r="AB359" s="100"/>
      <c r="AC359" s="100"/>
      <c r="AD359" s="100"/>
      <c r="AE359" s="100"/>
      <c r="AF359" s="100"/>
      <c r="AG359" s="100"/>
      <c r="AH359" s="100"/>
      <c r="AI359" s="100"/>
      <c r="AJ359" s="100"/>
      <c r="AK359" s="100"/>
      <c r="AL359" s="201"/>
      <c r="AM359" s="197"/>
      <c r="AN359" s="200"/>
      <c r="AO359" s="104"/>
      <c r="AP359" s="74"/>
    </row>
    <row r="360" spans="1:42" s="105" customFormat="1">
      <c r="A360" s="159"/>
      <c r="B360" s="172"/>
      <c r="C360" s="172"/>
      <c r="D360" s="172"/>
      <c r="E360" s="172"/>
      <c r="F360" s="100"/>
      <c r="G360" s="100"/>
      <c r="H360" s="100"/>
      <c r="I360" s="100"/>
      <c r="J360" s="100"/>
      <c r="K360" s="100"/>
      <c r="L360" s="100"/>
      <c r="M360" s="100"/>
      <c r="N360" s="100"/>
      <c r="O360" s="100"/>
      <c r="P360" s="100"/>
      <c r="Q360" s="100"/>
      <c r="R360" s="100"/>
      <c r="S360" s="100"/>
      <c r="T360" s="100"/>
      <c r="U360" s="100"/>
      <c r="V360" s="100"/>
      <c r="W360" s="100"/>
      <c r="X360" s="100"/>
      <c r="Y360" s="100"/>
      <c r="Z360" s="100"/>
      <c r="AA360" s="100"/>
      <c r="AB360" s="100"/>
      <c r="AC360" s="100"/>
      <c r="AD360" s="100"/>
      <c r="AE360" s="100"/>
      <c r="AF360" s="100"/>
      <c r="AG360" s="100"/>
      <c r="AH360" s="100"/>
      <c r="AI360" s="100"/>
      <c r="AJ360" s="100"/>
      <c r="AK360" s="100"/>
      <c r="AL360" s="201"/>
      <c r="AM360" s="197"/>
      <c r="AN360" s="200"/>
      <c r="AO360" s="104"/>
      <c r="AP360" s="74"/>
    </row>
    <row r="361" spans="1:42" s="105" customFormat="1">
      <c r="A361" s="159"/>
      <c r="B361" s="172"/>
      <c r="C361" s="172"/>
      <c r="D361" s="172"/>
      <c r="E361" s="172"/>
      <c r="F361" s="100"/>
      <c r="G361" s="100"/>
      <c r="H361" s="100"/>
      <c r="I361" s="100"/>
      <c r="J361" s="100"/>
      <c r="K361" s="100"/>
      <c r="L361" s="100"/>
      <c r="M361" s="100"/>
      <c r="N361" s="100"/>
      <c r="O361" s="100"/>
      <c r="P361" s="100"/>
      <c r="Q361" s="100"/>
      <c r="R361" s="100"/>
      <c r="S361" s="100"/>
      <c r="T361" s="100"/>
      <c r="U361" s="100"/>
      <c r="V361" s="100"/>
      <c r="W361" s="100"/>
      <c r="X361" s="100"/>
      <c r="Y361" s="100"/>
      <c r="Z361" s="100"/>
      <c r="AA361" s="100"/>
      <c r="AB361" s="100"/>
      <c r="AC361" s="100"/>
      <c r="AD361" s="100"/>
      <c r="AE361" s="100"/>
      <c r="AF361" s="100"/>
      <c r="AG361" s="100"/>
      <c r="AH361" s="100"/>
      <c r="AI361" s="100"/>
      <c r="AJ361" s="100"/>
      <c r="AK361" s="100"/>
      <c r="AL361" s="201"/>
      <c r="AM361" s="197"/>
      <c r="AN361" s="200"/>
      <c r="AO361" s="104"/>
      <c r="AP361" s="74"/>
    </row>
    <row r="362" spans="1:42" s="105" customFormat="1">
      <c r="A362" s="159"/>
      <c r="B362" s="172"/>
      <c r="C362" s="172"/>
      <c r="D362" s="172"/>
      <c r="E362" s="172"/>
      <c r="F362" s="100"/>
      <c r="G362" s="100"/>
      <c r="H362" s="100"/>
      <c r="I362" s="100"/>
      <c r="J362" s="100"/>
      <c r="K362" s="100"/>
      <c r="L362" s="100"/>
      <c r="M362" s="100"/>
      <c r="N362" s="100"/>
      <c r="O362" s="100"/>
      <c r="P362" s="100"/>
      <c r="Q362" s="100"/>
      <c r="R362" s="100"/>
      <c r="S362" s="100"/>
      <c r="T362" s="100"/>
      <c r="U362" s="100"/>
      <c r="V362" s="100"/>
      <c r="W362" s="100"/>
      <c r="X362" s="100"/>
      <c r="Y362" s="100"/>
      <c r="Z362" s="100"/>
      <c r="AA362" s="100"/>
      <c r="AB362" s="100"/>
      <c r="AC362" s="100"/>
      <c r="AD362" s="100"/>
      <c r="AE362" s="100"/>
      <c r="AF362" s="100"/>
      <c r="AG362" s="100"/>
      <c r="AH362" s="100"/>
      <c r="AI362" s="100"/>
      <c r="AJ362" s="100"/>
      <c r="AK362" s="100"/>
      <c r="AL362" s="201"/>
      <c r="AM362" s="197"/>
      <c r="AN362" s="200"/>
      <c r="AO362" s="172"/>
      <c r="AP362" s="74"/>
    </row>
    <row r="363" spans="1:42" s="105" customFormat="1">
      <c r="A363" s="159"/>
      <c r="B363" s="172"/>
      <c r="C363" s="172"/>
      <c r="D363" s="172"/>
      <c r="E363" s="172"/>
      <c r="F363" s="100"/>
      <c r="G363" s="100"/>
      <c r="H363" s="100"/>
      <c r="I363" s="100"/>
      <c r="J363" s="100"/>
      <c r="K363" s="100"/>
      <c r="L363" s="100"/>
      <c r="M363" s="100"/>
      <c r="N363" s="100"/>
      <c r="O363" s="100"/>
      <c r="P363" s="100"/>
      <c r="Q363" s="100"/>
      <c r="R363" s="100"/>
      <c r="S363" s="100"/>
      <c r="T363" s="100"/>
      <c r="U363" s="100"/>
      <c r="V363" s="100"/>
      <c r="W363" s="100"/>
      <c r="X363" s="100"/>
      <c r="Y363" s="100"/>
      <c r="Z363" s="100"/>
      <c r="AA363" s="100"/>
      <c r="AB363" s="100"/>
      <c r="AC363" s="100"/>
      <c r="AD363" s="100"/>
      <c r="AE363" s="100"/>
      <c r="AF363" s="100"/>
      <c r="AG363" s="100"/>
      <c r="AH363" s="100"/>
      <c r="AI363" s="100"/>
      <c r="AJ363" s="100"/>
      <c r="AK363" s="100"/>
      <c r="AL363" s="201"/>
      <c r="AM363" s="197"/>
      <c r="AN363" s="200"/>
      <c r="AO363" s="172"/>
      <c r="AP363" s="74"/>
    </row>
    <row r="364" spans="1:42" s="105" customFormat="1">
      <c r="A364" s="159"/>
      <c r="B364" s="172"/>
      <c r="C364" s="172"/>
      <c r="D364" s="172"/>
      <c r="E364" s="172"/>
      <c r="F364" s="100"/>
      <c r="G364" s="100"/>
      <c r="H364" s="100"/>
      <c r="I364" s="100"/>
      <c r="J364" s="100"/>
      <c r="K364" s="100"/>
      <c r="L364" s="100"/>
      <c r="M364" s="100"/>
      <c r="N364" s="100"/>
      <c r="O364" s="100"/>
      <c r="P364" s="100"/>
      <c r="Q364" s="100"/>
      <c r="R364" s="100"/>
      <c r="S364" s="100"/>
      <c r="T364" s="100"/>
      <c r="U364" s="100"/>
      <c r="V364" s="100"/>
      <c r="W364" s="100"/>
      <c r="X364" s="100"/>
      <c r="Y364" s="100"/>
      <c r="Z364" s="100"/>
      <c r="AA364" s="100"/>
      <c r="AB364" s="100"/>
      <c r="AC364" s="100"/>
      <c r="AD364" s="100"/>
      <c r="AE364" s="100"/>
      <c r="AF364" s="100"/>
      <c r="AG364" s="100"/>
      <c r="AH364" s="100"/>
      <c r="AI364" s="100"/>
      <c r="AJ364" s="100"/>
      <c r="AK364" s="100"/>
      <c r="AL364" s="201"/>
      <c r="AM364" s="197"/>
      <c r="AN364" s="200"/>
      <c r="AO364" s="172"/>
      <c r="AP364" s="74"/>
    </row>
    <row r="365" spans="1:42" s="105" customFormat="1">
      <c r="A365" s="159"/>
      <c r="B365" s="172"/>
      <c r="C365" s="172"/>
      <c r="D365" s="172"/>
      <c r="E365" s="172"/>
      <c r="F365" s="100"/>
      <c r="G365" s="100"/>
      <c r="H365" s="100"/>
      <c r="I365" s="100"/>
      <c r="J365" s="100"/>
      <c r="K365" s="100"/>
      <c r="L365" s="100"/>
      <c r="M365" s="100"/>
      <c r="N365" s="100"/>
      <c r="O365" s="100"/>
      <c r="P365" s="100"/>
      <c r="Q365" s="100"/>
      <c r="R365" s="100"/>
      <c r="S365" s="100"/>
      <c r="T365" s="100"/>
      <c r="U365" s="100"/>
      <c r="V365" s="100"/>
      <c r="W365" s="100"/>
      <c r="X365" s="100"/>
      <c r="Y365" s="100"/>
      <c r="Z365" s="100"/>
      <c r="AA365" s="100"/>
      <c r="AB365" s="100"/>
      <c r="AC365" s="100"/>
      <c r="AD365" s="100"/>
      <c r="AE365" s="100"/>
      <c r="AF365" s="100"/>
      <c r="AG365" s="100"/>
      <c r="AH365" s="100"/>
      <c r="AI365" s="100"/>
      <c r="AJ365" s="100"/>
      <c r="AK365" s="100"/>
      <c r="AL365" s="201"/>
      <c r="AM365" s="197"/>
      <c r="AN365" s="200"/>
      <c r="AO365" s="172"/>
      <c r="AP365" s="74"/>
    </row>
    <row r="366" spans="1:42" s="105" customFormat="1">
      <c r="A366" s="159"/>
      <c r="B366" s="172"/>
      <c r="C366" s="172"/>
      <c r="D366" s="172"/>
      <c r="E366" s="172"/>
      <c r="F366" s="100"/>
      <c r="G366" s="100"/>
      <c r="H366" s="100"/>
      <c r="I366" s="100"/>
      <c r="J366" s="100"/>
      <c r="K366" s="100"/>
      <c r="L366" s="100"/>
      <c r="M366" s="100"/>
      <c r="N366" s="100"/>
      <c r="O366" s="100"/>
      <c r="P366" s="100"/>
      <c r="Q366" s="100"/>
      <c r="R366" s="100"/>
      <c r="S366" s="100"/>
      <c r="T366" s="100"/>
      <c r="U366" s="100"/>
      <c r="V366" s="100"/>
      <c r="W366" s="100"/>
      <c r="X366" s="100"/>
      <c r="Y366" s="100"/>
      <c r="Z366" s="100"/>
      <c r="AA366" s="100"/>
      <c r="AB366" s="100"/>
      <c r="AC366" s="100"/>
      <c r="AD366" s="100"/>
      <c r="AE366" s="100"/>
      <c r="AF366" s="100"/>
      <c r="AG366" s="100"/>
      <c r="AH366" s="100"/>
      <c r="AI366" s="100"/>
      <c r="AJ366" s="100"/>
      <c r="AK366" s="100"/>
      <c r="AL366" s="201"/>
      <c r="AM366" s="197"/>
      <c r="AN366" s="200"/>
      <c r="AO366" s="172"/>
      <c r="AP366" s="74"/>
    </row>
    <row r="367" spans="1:42" s="105" customFormat="1">
      <c r="A367" s="159"/>
      <c r="B367" s="172"/>
      <c r="C367" s="172"/>
      <c r="D367" s="172"/>
      <c r="E367" s="172"/>
      <c r="F367" s="100"/>
      <c r="G367" s="100"/>
      <c r="H367" s="100"/>
      <c r="I367" s="100"/>
      <c r="J367" s="100"/>
      <c r="K367" s="100"/>
      <c r="L367" s="100"/>
      <c r="M367" s="100"/>
      <c r="N367" s="100"/>
      <c r="O367" s="100"/>
      <c r="P367" s="100"/>
      <c r="Q367" s="100"/>
      <c r="R367" s="100"/>
      <c r="S367" s="100"/>
      <c r="T367" s="100"/>
      <c r="U367" s="100"/>
      <c r="V367" s="100"/>
      <c r="W367" s="100"/>
      <c r="X367" s="100"/>
      <c r="Y367" s="100"/>
      <c r="Z367" s="100"/>
      <c r="AA367" s="100"/>
      <c r="AB367" s="100"/>
      <c r="AC367" s="100"/>
      <c r="AD367" s="100"/>
      <c r="AE367" s="100"/>
      <c r="AF367" s="100"/>
      <c r="AG367" s="100"/>
      <c r="AH367" s="100"/>
      <c r="AI367" s="100"/>
      <c r="AJ367" s="100"/>
      <c r="AK367" s="100"/>
      <c r="AL367" s="201"/>
      <c r="AM367" s="197"/>
      <c r="AN367" s="200"/>
      <c r="AO367" s="172"/>
      <c r="AP367" s="74"/>
    </row>
    <row r="368" spans="1:42" s="105" customFormat="1">
      <c r="A368" s="159"/>
      <c r="B368" s="172"/>
      <c r="C368" s="172"/>
      <c r="D368" s="172"/>
      <c r="E368" s="172"/>
      <c r="F368" s="100"/>
      <c r="G368" s="100"/>
      <c r="H368" s="100"/>
      <c r="I368" s="100"/>
      <c r="J368" s="100"/>
      <c r="K368" s="100"/>
      <c r="L368" s="100"/>
      <c r="M368" s="100"/>
      <c r="N368" s="100"/>
      <c r="O368" s="100"/>
      <c r="P368" s="100"/>
      <c r="Q368" s="100"/>
      <c r="R368" s="100"/>
      <c r="S368" s="100"/>
      <c r="T368" s="100"/>
      <c r="U368" s="100"/>
      <c r="V368" s="100"/>
      <c r="W368" s="100"/>
      <c r="X368" s="100"/>
      <c r="Y368" s="100"/>
      <c r="Z368" s="100"/>
      <c r="AA368" s="100"/>
      <c r="AB368" s="100"/>
      <c r="AC368" s="100"/>
      <c r="AD368" s="100"/>
      <c r="AE368" s="100"/>
      <c r="AF368" s="100"/>
      <c r="AG368" s="100"/>
      <c r="AH368" s="100"/>
      <c r="AI368" s="100"/>
      <c r="AJ368" s="100"/>
      <c r="AK368" s="100"/>
      <c r="AL368" s="201"/>
      <c r="AM368" s="197"/>
      <c r="AN368" s="200"/>
      <c r="AO368" s="172"/>
      <c r="AP368" s="74"/>
    </row>
    <row r="369" spans="1:42" s="105" customFormat="1">
      <c r="A369" s="159"/>
      <c r="B369" s="172"/>
      <c r="C369" s="172"/>
      <c r="D369" s="172"/>
      <c r="E369" s="172"/>
      <c r="F369" s="100"/>
      <c r="G369" s="100"/>
      <c r="H369" s="100"/>
      <c r="I369" s="100"/>
      <c r="J369" s="100"/>
      <c r="K369" s="100"/>
      <c r="L369" s="100"/>
      <c r="M369" s="100"/>
      <c r="N369" s="100"/>
      <c r="O369" s="100"/>
      <c r="P369" s="100"/>
      <c r="Q369" s="100"/>
      <c r="R369" s="100"/>
      <c r="S369" s="100"/>
      <c r="T369" s="100"/>
      <c r="U369" s="100"/>
      <c r="V369" s="100"/>
      <c r="W369" s="100"/>
      <c r="X369" s="100"/>
      <c r="Y369" s="100"/>
      <c r="Z369" s="100"/>
      <c r="AA369" s="100"/>
      <c r="AB369" s="100"/>
      <c r="AC369" s="100"/>
      <c r="AD369" s="100"/>
      <c r="AE369" s="100"/>
      <c r="AF369" s="100"/>
      <c r="AG369" s="100"/>
      <c r="AH369" s="100"/>
      <c r="AI369" s="100"/>
      <c r="AJ369" s="100"/>
      <c r="AK369" s="100"/>
      <c r="AL369" s="201"/>
      <c r="AM369" s="197"/>
      <c r="AN369" s="200"/>
      <c r="AO369" s="172"/>
      <c r="AP369" s="74"/>
    </row>
    <row r="370" spans="1:42" s="105" customFormat="1">
      <c r="A370" s="159"/>
      <c r="B370" s="172"/>
      <c r="C370" s="172"/>
      <c r="D370" s="172"/>
      <c r="E370" s="172"/>
      <c r="F370" s="100"/>
      <c r="G370" s="100"/>
      <c r="H370" s="100"/>
      <c r="I370" s="100"/>
      <c r="J370" s="100"/>
      <c r="K370" s="100"/>
      <c r="L370" s="100"/>
      <c r="M370" s="100"/>
      <c r="N370" s="100"/>
      <c r="O370" s="100"/>
      <c r="P370" s="100"/>
      <c r="Q370" s="100"/>
      <c r="R370" s="100"/>
      <c r="S370" s="100"/>
      <c r="T370" s="100"/>
      <c r="U370" s="100"/>
      <c r="V370" s="100"/>
      <c r="W370" s="100"/>
      <c r="X370" s="100"/>
      <c r="Y370" s="100"/>
      <c r="Z370" s="100"/>
      <c r="AA370" s="100"/>
      <c r="AB370" s="100"/>
      <c r="AC370" s="100"/>
      <c r="AD370" s="100"/>
      <c r="AE370" s="100"/>
      <c r="AF370" s="100"/>
      <c r="AG370" s="100"/>
      <c r="AH370" s="100"/>
      <c r="AI370" s="100"/>
      <c r="AJ370" s="100"/>
      <c r="AK370" s="100"/>
      <c r="AL370" s="201"/>
      <c r="AM370" s="197"/>
      <c r="AN370" s="200"/>
      <c r="AO370" s="172"/>
      <c r="AP370" s="74"/>
    </row>
    <row r="371" spans="1:42" s="105" customFormat="1">
      <c r="A371" s="159"/>
      <c r="B371" s="172"/>
      <c r="C371" s="172"/>
      <c r="D371" s="172"/>
      <c r="E371" s="172"/>
      <c r="F371" s="100"/>
      <c r="G371" s="100"/>
      <c r="H371" s="100"/>
      <c r="I371" s="100"/>
      <c r="J371" s="100"/>
      <c r="K371" s="100"/>
      <c r="L371" s="100"/>
      <c r="M371" s="100"/>
      <c r="N371" s="100"/>
      <c r="O371" s="100"/>
      <c r="P371" s="100"/>
      <c r="Q371" s="100"/>
      <c r="R371" s="100"/>
      <c r="S371" s="100"/>
      <c r="T371" s="100"/>
      <c r="U371" s="100"/>
      <c r="V371" s="100"/>
      <c r="W371" s="100"/>
      <c r="X371" s="100"/>
      <c r="Y371" s="100"/>
      <c r="Z371" s="100"/>
      <c r="AA371" s="100"/>
      <c r="AB371" s="100"/>
      <c r="AC371" s="100"/>
      <c r="AD371" s="100"/>
      <c r="AE371" s="100"/>
      <c r="AF371" s="100"/>
      <c r="AG371" s="100"/>
      <c r="AH371" s="100"/>
      <c r="AI371" s="100"/>
      <c r="AJ371" s="100"/>
      <c r="AK371" s="100"/>
      <c r="AL371" s="201"/>
      <c r="AM371" s="197"/>
      <c r="AN371" s="200"/>
      <c r="AO371" s="172"/>
      <c r="AP371" s="74"/>
    </row>
    <row r="372" spans="1:42">
      <c r="A372" s="242" t="str">
        <f>A115</f>
        <v>U35</v>
      </c>
      <c r="B372" s="242" t="str">
        <f>B115</f>
        <v>LO</v>
      </c>
      <c r="C372" s="210" t="str">
        <f>C354</f>
        <v>R</v>
      </c>
      <c r="D372" s="172"/>
      <c r="E372" s="172"/>
      <c r="F372" s="106" t="str">
        <f>IF(F$305,F39,"")</f>
        <v/>
      </c>
      <c r="G372" s="106" t="str">
        <f t="shared" ref="G372:AK372" si="296">IF(G$305,G39,"")</f>
        <v/>
      </c>
      <c r="H372" s="106">
        <f t="shared" si="296"/>
        <v>0.86404210329055786</v>
      </c>
      <c r="I372" s="106">
        <f t="shared" si="296"/>
        <v>0.94415199756622314</v>
      </c>
      <c r="J372" s="106" t="str">
        <f t="shared" si="296"/>
        <v/>
      </c>
      <c r="K372" s="106">
        <f t="shared" si="296"/>
        <v>0.88693064451217651</v>
      </c>
      <c r="L372" s="106">
        <f t="shared" si="296"/>
        <v>0.89837491512298584</v>
      </c>
      <c r="M372" s="106" t="str">
        <f t="shared" si="296"/>
        <v/>
      </c>
      <c r="N372" s="106">
        <f t="shared" si="296"/>
        <v>0.73243308067321777</v>
      </c>
      <c r="O372" s="106">
        <f t="shared" si="296"/>
        <v>0.81826502084732056</v>
      </c>
      <c r="P372" s="106">
        <f t="shared" si="296"/>
        <v>0.58365756273269653</v>
      </c>
      <c r="Q372" s="106">
        <f t="shared" si="296"/>
        <v>0.72098881006240845</v>
      </c>
      <c r="R372" s="106">
        <f t="shared" si="296"/>
        <v>0.60082399845123291</v>
      </c>
      <c r="S372" s="106">
        <f t="shared" si="296"/>
        <v>0.74959945678710938</v>
      </c>
      <c r="T372" s="106">
        <f t="shared" si="296"/>
        <v>0.61226826906204224</v>
      </c>
      <c r="U372" s="106">
        <f t="shared" si="296"/>
        <v>0.64660108089447021</v>
      </c>
      <c r="V372" s="106">
        <f t="shared" si="296"/>
        <v>0.82970929145812988</v>
      </c>
      <c r="W372" s="106">
        <f t="shared" si="296"/>
        <v>0.95559626817703247</v>
      </c>
      <c r="X372" s="106">
        <f t="shared" si="296"/>
        <v>0.89837491512298584</v>
      </c>
      <c r="Y372" s="106">
        <f t="shared" si="296"/>
        <v>1.0414282083511353</v>
      </c>
      <c r="Z372" s="106">
        <f t="shared" si="296"/>
        <v>0.9842069149017334</v>
      </c>
      <c r="AA372" s="106">
        <f t="shared" si="296"/>
        <v>0.81826502084732056</v>
      </c>
      <c r="AB372" s="106">
        <f t="shared" si="296"/>
        <v>0.97848474979400635</v>
      </c>
      <c r="AC372" s="106">
        <f t="shared" si="296"/>
        <v>1.0185396671295166</v>
      </c>
      <c r="AD372" s="106">
        <f t="shared" si="296"/>
        <v>0.7782101035118103</v>
      </c>
      <c r="AE372" s="106">
        <f t="shared" si="296"/>
        <v>0.74387729167938232</v>
      </c>
      <c r="AF372" s="106" t="str">
        <f t="shared" si="296"/>
        <v/>
      </c>
      <c r="AG372" s="106">
        <f t="shared" si="296"/>
        <v>0.68665599822998047</v>
      </c>
      <c r="AH372" s="106">
        <f t="shared" si="296"/>
        <v>0.79537653923034668</v>
      </c>
      <c r="AI372" s="106">
        <f t="shared" si="296"/>
        <v>0.53215837478637695</v>
      </c>
      <c r="AJ372" s="106">
        <f t="shared" si="296"/>
        <v>0.88120853900909424</v>
      </c>
      <c r="AK372" s="106">
        <f t="shared" si="296"/>
        <v>0.62943464517593384</v>
      </c>
      <c r="AL372" s="199">
        <f t="shared" ref="AL372:AL379" si="297">AVERAGE(F372:AK372)</f>
        <v>0.80109864694100841</v>
      </c>
      <c r="AM372" s="194">
        <f t="shared" ref="AM372:AM379" si="298">STDEV(F372:AK372)</f>
        <v>0.14302691237682275</v>
      </c>
      <c r="AN372" s="200">
        <f t="shared" ref="AN372:AN379" si="299">AM372/AL372</f>
        <v>0.17853845206576041</v>
      </c>
      <c r="AO372" s="104"/>
      <c r="AP372" s="74"/>
    </row>
    <row r="373" spans="1:42">
      <c r="A373" s="242"/>
      <c r="B373" s="242"/>
      <c r="C373" s="210" t="str">
        <f t="shared" ref="C373:C375" si="300">C355</f>
        <v>G</v>
      </c>
      <c r="D373" s="172"/>
      <c r="E373" s="172"/>
      <c r="F373" s="106" t="str">
        <f t="shared" ref="F373:AK373" si="301">IF(F$305,F40*(1+IF(cmpSet&lt;64,cmpSet*F115,F117+(cmpSet-64)*F116)),"")</f>
        <v/>
      </c>
      <c r="G373" s="106" t="str">
        <f t="shared" si="301"/>
        <v/>
      </c>
      <c r="H373" s="106">
        <f t="shared" si="301"/>
        <v>4.2719811484927224</v>
      </c>
      <c r="I373" s="106">
        <f t="shared" si="301"/>
        <v>4.9049579983665827</v>
      </c>
      <c r="J373" s="106" t="str">
        <f t="shared" si="301"/>
        <v/>
      </c>
      <c r="K373" s="106">
        <f t="shared" si="301"/>
        <v>4.3820643197922475</v>
      </c>
      <c r="L373" s="106">
        <f t="shared" si="301"/>
        <v>4.5559078625270297</v>
      </c>
      <c r="M373" s="106" t="str">
        <f t="shared" si="301"/>
        <v/>
      </c>
      <c r="N373" s="106">
        <f t="shared" si="301"/>
        <v>4.1234780493236727</v>
      </c>
      <c r="O373" s="106">
        <f t="shared" si="301"/>
        <v>3.9736127853393555</v>
      </c>
      <c r="P373" s="106">
        <f t="shared" si="301"/>
        <v>3.5659789130801247</v>
      </c>
      <c r="Q373" s="106">
        <f t="shared" si="301"/>
        <v>4.2262042817615333</v>
      </c>
      <c r="R373" s="106">
        <f t="shared" si="301"/>
        <v>3.6180230095272972</v>
      </c>
      <c r="S373" s="106">
        <f t="shared" si="301"/>
        <v>3.8659821691967196</v>
      </c>
      <c r="T373" s="106">
        <f t="shared" si="301"/>
        <v>3.875519116719564</v>
      </c>
      <c r="U373" s="106">
        <f t="shared" si="301"/>
        <v>3.4430892126900812</v>
      </c>
      <c r="V373" s="106">
        <f t="shared" si="301"/>
        <v>4.3812468846638994</v>
      </c>
      <c r="W373" s="106">
        <f t="shared" si="301"/>
        <v>4.8572737830025812</v>
      </c>
      <c r="X373" s="106">
        <f t="shared" si="301"/>
        <v>4.8572737830025812</v>
      </c>
      <c r="Y373" s="106">
        <f t="shared" si="301"/>
        <v>5.0030516669863747</v>
      </c>
      <c r="Z373" s="106">
        <f t="shared" si="301"/>
        <v>5.0431069192432227</v>
      </c>
      <c r="AA373" s="106">
        <f t="shared" si="301"/>
        <v>3.9452745573861256</v>
      </c>
      <c r="AB373" s="106">
        <f t="shared" si="301"/>
        <v>4.4910571234566818</v>
      </c>
      <c r="AC373" s="106">
        <f t="shared" si="301"/>
        <v>4.7951477595738004</v>
      </c>
      <c r="AD373" s="106">
        <f t="shared" si="301"/>
        <v>4.6807048661368231</v>
      </c>
      <c r="AE373" s="106">
        <f t="shared" si="301"/>
        <v>4.5272972470238093</v>
      </c>
      <c r="AF373" s="106" t="str">
        <f t="shared" si="301"/>
        <v/>
      </c>
      <c r="AG373" s="106">
        <f t="shared" si="301"/>
        <v>3.5766057854606994</v>
      </c>
      <c r="AH373" s="106">
        <f t="shared" si="301"/>
        <v>4.6422850290934248</v>
      </c>
      <c r="AI373" s="106">
        <f t="shared" si="301"/>
        <v>3.1918603465670632</v>
      </c>
      <c r="AJ373" s="106">
        <f t="shared" si="301"/>
        <v>4.5482785361153741</v>
      </c>
      <c r="AK373" s="106">
        <f t="shared" si="301"/>
        <v>3.5654339449746266</v>
      </c>
      <c r="AL373" s="199">
        <f t="shared" si="297"/>
        <v>4.2560258185001496</v>
      </c>
      <c r="AM373" s="194">
        <f t="shared" si="298"/>
        <v>0.53293822762325804</v>
      </c>
      <c r="AN373" s="200">
        <f t="shared" si="299"/>
        <v>0.12521968858992233</v>
      </c>
      <c r="AO373" s="104"/>
      <c r="AP373" s="74"/>
    </row>
    <row r="374" spans="1:42">
      <c r="A374" s="242"/>
      <c r="B374" s="242"/>
      <c r="C374" s="210" t="str">
        <f t="shared" si="300"/>
        <v>B</v>
      </c>
      <c r="D374" s="172"/>
      <c r="E374" s="172"/>
      <c r="F374" s="106" t="str">
        <f t="shared" ref="F374:AK374" si="302">IF(F$305,F41,"")</f>
        <v/>
      </c>
      <c r="G374" s="106" t="str">
        <f t="shared" si="302"/>
        <v/>
      </c>
      <c r="H374" s="106">
        <f t="shared" si="302"/>
        <v>3.2616159915924072</v>
      </c>
      <c r="I374" s="106">
        <f t="shared" si="302"/>
        <v>3.6621651649475098</v>
      </c>
      <c r="J374" s="106" t="str">
        <f t="shared" si="302"/>
        <v/>
      </c>
      <c r="K374" s="106">
        <f t="shared" si="302"/>
        <v>3.2616159915924072</v>
      </c>
      <c r="L374" s="106">
        <f t="shared" si="302"/>
        <v>3.4332799911499023</v>
      </c>
      <c r="M374" s="106" t="str">
        <f t="shared" si="302"/>
        <v/>
      </c>
      <c r="N374" s="106">
        <f t="shared" si="302"/>
        <v>3.0899519920349121</v>
      </c>
      <c r="O374" s="106">
        <f t="shared" si="302"/>
        <v>2.9526207447052002</v>
      </c>
      <c r="P374" s="106">
        <f t="shared" si="302"/>
        <v>2.6207370758056641</v>
      </c>
      <c r="Q374" s="106">
        <f t="shared" si="302"/>
        <v>2.9526207447052002</v>
      </c>
      <c r="R374" s="106">
        <f t="shared" si="302"/>
        <v>2.5463492870330811</v>
      </c>
      <c r="S374" s="106">
        <f t="shared" si="302"/>
        <v>2.8667886257171631</v>
      </c>
      <c r="T374" s="106">
        <f t="shared" si="302"/>
        <v>2.769512414932251</v>
      </c>
      <c r="U374" s="106">
        <f t="shared" si="302"/>
        <v>2.5005722045898438</v>
      </c>
      <c r="V374" s="106">
        <f t="shared" si="302"/>
        <v>3.0956740379333496</v>
      </c>
      <c r="W374" s="106">
        <f t="shared" si="302"/>
        <v>3.4046692848205566</v>
      </c>
      <c r="X374" s="106">
        <f t="shared" si="302"/>
        <v>3.4504463672637939</v>
      </c>
      <c r="Y374" s="106">
        <f t="shared" si="302"/>
        <v>3.8681621551513672</v>
      </c>
      <c r="Z374" s="106">
        <f t="shared" si="302"/>
        <v>3.5934996604919434</v>
      </c>
      <c r="AA374" s="106">
        <f t="shared" si="302"/>
        <v>2.9011216163635254</v>
      </c>
      <c r="AB374" s="106">
        <f t="shared" si="302"/>
        <v>3.4790570735931396</v>
      </c>
      <c r="AC374" s="106">
        <f t="shared" si="302"/>
        <v>3.4504463672637939</v>
      </c>
      <c r="AD374" s="106">
        <f t="shared" si="302"/>
        <v>3.6049439907073975</v>
      </c>
      <c r="AE374" s="106">
        <f t="shared" si="302"/>
        <v>3.4504463672637939</v>
      </c>
      <c r="AF374" s="106" t="str">
        <f t="shared" si="302"/>
        <v/>
      </c>
      <c r="AG374" s="106">
        <f t="shared" si="302"/>
        <v>2.5406272411346436</v>
      </c>
      <c r="AH374" s="106">
        <f t="shared" si="302"/>
        <v>3.524834156036377</v>
      </c>
      <c r="AI374" s="106">
        <f t="shared" si="302"/>
        <v>2.2602427005767822</v>
      </c>
      <c r="AJ374" s="106">
        <f t="shared" si="302"/>
        <v>3.227283239364624</v>
      </c>
      <c r="AK374" s="106">
        <f t="shared" si="302"/>
        <v>2.60929274559021</v>
      </c>
      <c r="AL374" s="199">
        <f t="shared" si="297"/>
        <v>3.1251324900874384</v>
      </c>
      <c r="AM374" s="194">
        <f t="shared" si="298"/>
        <v>0.42758927131413521</v>
      </c>
      <c r="AN374" s="200">
        <f t="shared" si="299"/>
        <v>0.13682276596925069</v>
      </c>
      <c r="AO374" s="104"/>
      <c r="AP374" s="74"/>
    </row>
    <row r="375" spans="1:42">
      <c r="A375" s="242"/>
      <c r="B375" s="242"/>
      <c r="C375" s="210" t="str">
        <f t="shared" si="300"/>
        <v>ΔIR</v>
      </c>
      <c r="D375" s="172"/>
      <c r="E375" s="172"/>
      <c r="F375" s="100" t="str">
        <f>IF(F118&lt;&gt;"",F118,"")</f>
        <v/>
      </c>
      <c r="G375" s="100" t="str">
        <f t="shared" ref="G375:AK375" si="303">IF(G118&lt;&gt;"",G118,"")</f>
        <v/>
      </c>
      <c r="H375" s="100">
        <f t="shared" si="303"/>
        <v>-1.455350265423461E-3</v>
      </c>
      <c r="I375" s="100">
        <f t="shared" si="303"/>
        <v>-1.4844051906186633E-3</v>
      </c>
      <c r="J375" s="100" t="str">
        <f t="shared" si="303"/>
        <v/>
      </c>
      <c r="K375" s="100">
        <f t="shared" si="303"/>
        <v>-1.5081240309992763E-3</v>
      </c>
      <c r="L375" s="100">
        <f t="shared" si="303"/>
        <v>-1.236618322579321E-3</v>
      </c>
      <c r="M375" s="100" t="str">
        <f t="shared" si="303"/>
        <v/>
      </c>
      <c r="N375" s="100">
        <f t="shared" si="303"/>
        <v>-1.5212475953668948E-3</v>
      </c>
      <c r="O375" s="100">
        <f t="shared" si="303"/>
        <v>-1.497847346152418E-3</v>
      </c>
      <c r="P375" s="100">
        <f t="shared" si="303"/>
        <v>-1.5480237898599773E-3</v>
      </c>
      <c r="Q375" s="100">
        <f t="shared" si="303"/>
        <v>-1.4697225427967387E-3</v>
      </c>
      <c r="R375" s="100">
        <f t="shared" si="303"/>
        <v>-1.5691096759819685E-3</v>
      </c>
      <c r="S375" s="100">
        <f t="shared" si="303"/>
        <v>-1.6127664604955003E-3</v>
      </c>
      <c r="T375" s="100">
        <f t="shared" si="303"/>
        <v>-1.474075267083808E-3</v>
      </c>
      <c r="U375" s="100">
        <f t="shared" si="303"/>
        <v>-1.3792103682120601E-3</v>
      </c>
      <c r="V375" s="100">
        <f t="shared" si="303"/>
        <v>-1.456760483489713E-3</v>
      </c>
      <c r="W375" s="100">
        <f t="shared" si="303"/>
        <v>-1.388460536853695E-3</v>
      </c>
      <c r="X375" s="100">
        <f t="shared" si="303"/>
        <v>-1.388460536853695E-3</v>
      </c>
      <c r="Y375" s="100">
        <f t="shared" si="303"/>
        <v>-1.5030643977860876E-3</v>
      </c>
      <c r="Z375" s="100">
        <f t="shared" si="303"/>
        <v>-1.4921938002139001E-3</v>
      </c>
      <c r="AA375" s="100">
        <f t="shared" si="303"/>
        <v>-1.5266539290272349E-3</v>
      </c>
      <c r="AB375" s="100">
        <f t="shared" si="303"/>
        <v>-1.4915481302402306E-3</v>
      </c>
      <c r="AC375" s="100">
        <f t="shared" si="303"/>
        <v>-1.4524322881820698E-3</v>
      </c>
      <c r="AD375" s="100">
        <f t="shared" si="303"/>
        <v>-1.1389528383431572E-3</v>
      </c>
      <c r="AE375" s="100">
        <f t="shared" si="303"/>
        <v>-1.5963717438742583E-3</v>
      </c>
      <c r="AF375" s="100" t="str">
        <f t="shared" si="303"/>
        <v/>
      </c>
      <c r="AG375" s="100">
        <f t="shared" si="303"/>
        <v>-1.480864052687089E-3</v>
      </c>
      <c r="AH375" s="100">
        <f t="shared" si="303"/>
        <v>-1.592609617533801E-3</v>
      </c>
      <c r="AI375" s="100">
        <f t="shared" si="303"/>
        <v>-1.5252576343357733E-3</v>
      </c>
      <c r="AJ375" s="100">
        <f t="shared" si="303"/>
        <v>-1.4744431969512626E-3</v>
      </c>
      <c r="AK375" s="100">
        <f t="shared" si="303"/>
        <v>-1.5061987626761729E-3</v>
      </c>
      <c r="AL375" s="201">
        <f t="shared" si="297"/>
        <v>-1.4729915853562304E-3</v>
      </c>
      <c r="AM375" s="197">
        <f t="shared" si="298"/>
        <v>1.0156328849335788E-4</v>
      </c>
      <c r="AN375" s="200">
        <f t="shared" si="299"/>
        <v>-6.895035212899446E-2</v>
      </c>
      <c r="AO375" s="104"/>
      <c r="AP375" s="74"/>
    </row>
    <row r="376" spans="1:42">
      <c r="A376" s="242"/>
      <c r="B376" s="242" t="str">
        <f>B120</f>
        <v>HI</v>
      </c>
      <c r="C376" s="210" t="str">
        <f>C372</f>
        <v>R</v>
      </c>
      <c r="D376" s="172"/>
      <c r="E376" s="172"/>
      <c r="F376" s="106" t="str">
        <f>IF(F$305,F45,"")</f>
        <v/>
      </c>
      <c r="G376" s="106" t="str">
        <f t="shared" ref="G376:AK376" si="304">IF(G$305,G45,"")</f>
        <v/>
      </c>
      <c r="H376" s="106">
        <f t="shared" si="304"/>
        <v>0.93842983245849609</v>
      </c>
      <c r="I376" s="106">
        <f t="shared" si="304"/>
        <v>1.0948348045349121</v>
      </c>
      <c r="J376" s="106" t="str">
        <f t="shared" si="304"/>
        <v/>
      </c>
      <c r="K376" s="106">
        <f t="shared" si="304"/>
        <v>0.93842983245849609</v>
      </c>
      <c r="L376" s="106">
        <f t="shared" si="304"/>
        <v>1.0948348045349121</v>
      </c>
      <c r="M376" s="106" t="str">
        <f t="shared" si="304"/>
        <v/>
      </c>
      <c r="N376" s="106">
        <f t="shared" si="304"/>
        <v>0.93842983245849609</v>
      </c>
      <c r="O376" s="106">
        <f t="shared" si="304"/>
        <v>0.93842983245849609</v>
      </c>
      <c r="P376" s="106">
        <f t="shared" si="304"/>
        <v>0.78202486038208008</v>
      </c>
      <c r="Q376" s="106">
        <f t="shared" si="304"/>
        <v>0.78202486038208008</v>
      </c>
      <c r="R376" s="106">
        <f t="shared" si="304"/>
        <v>0.62561988830566406</v>
      </c>
      <c r="S376" s="106">
        <f t="shared" si="304"/>
        <v>0.93842983245849609</v>
      </c>
      <c r="T376" s="106">
        <f t="shared" si="304"/>
        <v>0.78202486038208008</v>
      </c>
      <c r="U376" s="106">
        <f t="shared" si="304"/>
        <v>0.78202486038208008</v>
      </c>
      <c r="V376" s="106">
        <f t="shared" si="304"/>
        <v>0.93842983245849609</v>
      </c>
      <c r="W376" s="106">
        <f t="shared" si="304"/>
        <v>1.0948348045349121</v>
      </c>
      <c r="X376" s="106">
        <f t="shared" si="304"/>
        <v>0.93842983245849609</v>
      </c>
      <c r="Y376" s="106">
        <f t="shared" si="304"/>
        <v>1.2512397766113281</v>
      </c>
      <c r="Z376" s="106">
        <f t="shared" si="304"/>
        <v>1.0948348045349121</v>
      </c>
      <c r="AA376" s="106">
        <f t="shared" si="304"/>
        <v>0.93842983245849609</v>
      </c>
      <c r="AB376" s="106">
        <f t="shared" si="304"/>
        <v>1.0948348045349121</v>
      </c>
      <c r="AC376" s="106">
        <f t="shared" si="304"/>
        <v>1.0948348045349121</v>
      </c>
      <c r="AD376" s="106">
        <f t="shared" si="304"/>
        <v>0.93842983245849609</v>
      </c>
      <c r="AE376" s="106">
        <f t="shared" si="304"/>
        <v>0.93842983245849609</v>
      </c>
      <c r="AF376" s="106" t="str">
        <f t="shared" si="304"/>
        <v/>
      </c>
      <c r="AG376" s="106">
        <f t="shared" si="304"/>
        <v>0.78202486038208008</v>
      </c>
      <c r="AH376" s="106">
        <f t="shared" si="304"/>
        <v>0.93842983245849609</v>
      </c>
      <c r="AI376" s="106">
        <f t="shared" si="304"/>
        <v>0.62561988830566406</v>
      </c>
      <c r="AJ376" s="106">
        <f t="shared" si="304"/>
        <v>1.0948348045349121</v>
      </c>
      <c r="AK376" s="106">
        <f t="shared" si="304"/>
        <v>0.78202486038208008</v>
      </c>
      <c r="AL376" s="199">
        <f t="shared" si="297"/>
        <v>0.93263705571492517</v>
      </c>
      <c r="AM376" s="194">
        <f t="shared" si="298"/>
        <v>0.15325404539406365</v>
      </c>
      <c r="AN376" s="200">
        <f t="shared" si="299"/>
        <v>0.16432335006953455</v>
      </c>
      <c r="AO376" s="104"/>
      <c r="AP376" s="74"/>
    </row>
    <row r="377" spans="1:42">
      <c r="A377" s="242"/>
      <c r="B377" s="242"/>
      <c r="C377" s="210" t="str">
        <f t="shared" ref="C377:C379" si="305">C373</f>
        <v>G</v>
      </c>
      <c r="D377" s="172"/>
      <c r="E377" s="172"/>
      <c r="F377" s="106" t="str">
        <f t="shared" ref="F377:AK377" si="306">IF(F$305,F46*(1+IF(cmpSet&lt;64,cmpSet*F120,F122+(cmpSet-64)*F121)),"")</f>
        <v/>
      </c>
      <c r="G377" s="106" t="str">
        <f t="shared" si="306"/>
        <v/>
      </c>
      <c r="H377" s="106">
        <f t="shared" si="306"/>
        <v>4.714492729731969</v>
      </c>
      <c r="I377" s="106">
        <f t="shared" si="306"/>
        <v>5.1911555017743796</v>
      </c>
      <c r="J377" s="106" t="str">
        <f t="shared" si="306"/>
        <v/>
      </c>
      <c r="K377" s="106">
        <f t="shared" si="306"/>
        <v>4.714492729731969</v>
      </c>
      <c r="L377" s="106">
        <f t="shared" si="306"/>
        <v>4.8708977018083841</v>
      </c>
      <c r="M377" s="106" t="str">
        <f t="shared" si="306"/>
        <v/>
      </c>
      <c r="N377" s="106">
        <f t="shared" si="306"/>
        <v>4.714492729731969</v>
      </c>
      <c r="O377" s="106">
        <f t="shared" si="306"/>
        <v>4.5580877576555521</v>
      </c>
      <c r="P377" s="106">
        <f t="shared" si="306"/>
        <v>4.0814249856131415</v>
      </c>
      <c r="Q377" s="106">
        <f t="shared" si="306"/>
        <v>4.24527781350272</v>
      </c>
      <c r="R377" s="106">
        <f t="shared" si="306"/>
        <v>3.7760628972734724</v>
      </c>
      <c r="S377" s="106">
        <f t="shared" si="306"/>
        <v>4.24527781350272</v>
      </c>
      <c r="T377" s="106">
        <f t="shared" si="306"/>
        <v>4.2378299576895575</v>
      </c>
      <c r="U377" s="106">
        <f t="shared" si="306"/>
        <v>3.6122100693838939</v>
      </c>
      <c r="V377" s="106">
        <f t="shared" si="306"/>
        <v>4.5580877576555521</v>
      </c>
      <c r="W377" s="106">
        <f t="shared" si="306"/>
        <v>5.340112618037633</v>
      </c>
      <c r="X377" s="106">
        <f t="shared" si="306"/>
        <v>4.714492729731969</v>
      </c>
      <c r="Y377" s="106">
        <f t="shared" si="306"/>
        <v>5.9731803621564588</v>
      </c>
      <c r="Z377" s="106">
        <f t="shared" si="306"/>
        <v>5.183707645961217</v>
      </c>
      <c r="AA377" s="106">
        <f t="shared" si="306"/>
        <v>4.2378299576895575</v>
      </c>
      <c r="AB377" s="106">
        <f t="shared" si="306"/>
        <v>4.8708977018083841</v>
      </c>
      <c r="AC377" s="106">
        <f t="shared" si="306"/>
        <v>5.027302673884801</v>
      </c>
      <c r="AD377" s="106">
        <f t="shared" si="306"/>
        <v>5.027302673884801</v>
      </c>
      <c r="AE377" s="106">
        <f t="shared" si="306"/>
        <v>5.1911555017743796</v>
      </c>
      <c r="AF377" s="106" t="str">
        <f t="shared" si="306"/>
        <v/>
      </c>
      <c r="AG377" s="106">
        <f t="shared" si="306"/>
        <v>3.7760628972734724</v>
      </c>
      <c r="AH377" s="106">
        <f t="shared" si="306"/>
        <v>5.1911555017743796</v>
      </c>
      <c r="AI377" s="106">
        <f t="shared" si="306"/>
        <v>3.3068479810442244</v>
      </c>
      <c r="AJ377" s="106">
        <f t="shared" si="306"/>
        <v>4.8783455576215475</v>
      </c>
      <c r="AK377" s="106">
        <f t="shared" si="306"/>
        <v>3.9250200135367259</v>
      </c>
      <c r="AL377" s="199">
        <f t="shared" si="297"/>
        <v>4.5986371948605491</v>
      </c>
      <c r="AM377" s="194">
        <f t="shared" si="298"/>
        <v>0.61117930909411244</v>
      </c>
      <c r="AN377" s="200">
        <f t="shared" si="299"/>
        <v>0.13290444172833818</v>
      </c>
      <c r="AO377" s="104"/>
      <c r="AP377" s="74"/>
    </row>
    <row r="378" spans="1:42" s="105" customFormat="1">
      <c r="A378" s="242"/>
      <c r="B378" s="242"/>
      <c r="C378" s="210" t="str">
        <f t="shared" si="305"/>
        <v>B</v>
      </c>
      <c r="D378" s="172"/>
      <c r="E378" s="172"/>
      <c r="F378" s="106" t="str">
        <f t="shared" ref="F378:AK378" si="307">IF(F$305,F47,"")</f>
        <v/>
      </c>
      <c r="G378" s="106" t="str">
        <f t="shared" si="307"/>
        <v/>
      </c>
      <c r="H378" s="106">
        <f t="shared" si="307"/>
        <v>3.5973143577575684</v>
      </c>
      <c r="I378" s="106">
        <f t="shared" si="307"/>
        <v>3.9101243019104004</v>
      </c>
      <c r="J378" s="106" t="str">
        <f t="shared" si="307"/>
        <v/>
      </c>
      <c r="K378" s="106">
        <f t="shared" si="307"/>
        <v>3.4409093856811523</v>
      </c>
      <c r="L378" s="106">
        <f t="shared" si="307"/>
        <v>3.5973143577575684</v>
      </c>
      <c r="M378" s="106" t="str">
        <f t="shared" si="307"/>
        <v/>
      </c>
      <c r="N378" s="106">
        <f t="shared" si="307"/>
        <v>3.5973143577575684</v>
      </c>
      <c r="O378" s="106">
        <f t="shared" si="307"/>
        <v>3.4409093856811523</v>
      </c>
      <c r="P378" s="106">
        <f t="shared" si="307"/>
        <v>2.9716944694519043</v>
      </c>
      <c r="Q378" s="106">
        <f t="shared" si="307"/>
        <v>2.9716944694519043</v>
      </c>
      <c r="R378" s="106">
        <f t="shared" si="307"/>
        <v>2.6588845252990723</v>
      </c>
      <c r="S378" s="106">
        <f t="shared" si="307"/>
        <v>3.1280994415283203</v>
      </c>
      <c r="T378" s="106">
        <f t="shared" si="307"/>
        <v>2.9716944694519043</v>
      </c>
      <c r="U378" s="106">
        <f t="shared" si="307"/>
        <v>2.6588845252990723</v>
      </c>
      <c r="V378" s="106">
        <f t="shared" si="307"/>
        <v>3.2845044136047363</v>
      </c>
      <c r="W378" s="106">
        <f t="shared" si="307"/>
        <v>3.7537193298339844</v>
      </c>
      <c r="X378" s="106">
        <f t="shared" si="307"/>
        <v>3.4409093856811523</v>
      </c>
      <c r="Y378" s="106">
        <f t="shared" si="307"/>
        <v>4.6921491622924805</v>
      </c>
      <c r="Z378" s="106">
        <f t="shared" si="307"/>
        <v>3.7537193298339844</v>
      </c>
      <c r="AA378" s="106">
        <f t="shared" si="307"/>
        <v>3.1280994415283203</v>
      </c>
      <c r="AB378" s="106">
        <f t="shared" si="307"/>
        <v>3.7537193298339844</v>
      </c>
      <c r="AC378" s="106">
        <f t="shared" si="307"/>
        <v>3.7537193298339844</v>
      </c>
      <c r="AD378" s="106">
        <f t="shared" si="307"/>
        <v>3.9101243019104004</v>
      </c>
      <c r="AE378" s="106">
        <f t="shared" si="307"/>
        <v>4.0665292739868164</v>
      </c>
      <c r="AF378" s="106" t="str">
        <f t="shared" si="307"/>
        <v/>
      </c>
      <c r="AG378" s="106">
        <f t="shared" si="307"/>
        <v>2.8152894973754883</v>
      </c>
      <c r="AH378" s="106">
        <f t="shared" si="307"/>
        <v>4.0665292739868164</v>
      </c>
      <c r="AI378" s="106">
        <f t="shared" si="307"/>
        <v>2.3460745811462402</v>
      </c>
      <c r="AJ378" s="106">
        <f t="shared" si="307"/>
        <v>3.5973143577575684</v>
      </c>
      <c r="AK378" s="106">
        <f t="shared" si="307"/>
        <v>2.8152894973754883</v>
      </c>
      <c r="AL378" s="199">
        <f t="shared" si="297"/>
        <v>3.4119455019632974</v>
      </c>
      <c r="AM378" s="194">
        <f t="shared" si="298"/>
        <v>0.53134685995688169</v>
      </c>
      <c r="AN378" s="200">
        <f t="shared" si="299"/>
        <v>0.1557313443755578</v>
      </c>
      <c r="AO378" s="104"/>
      <c r="AP378" s="74"/>
    </row>
    <row r="379" spans="1:42" s="105" customFormat="1">
      <c r="A379" s="242"/>
      <c r="B379" s="242"/>
      <c r="C379" s="210" t="str">
        <f t="shared" si="305"/>
        <v>ΔIR</v>
      </c>
      <c r="D379" s="172"/>
      <c r="E379" s="172"/>
      <c r="F379" s="100" t="str">
        <f>IF(F123&lt;&gt;"",F123,"")</f>
        <v/>
      </c>
      <c r="G379" s="100" t="str">
        <f t="shared" ref="G379:AK379" si="308">IF(G123&lt;&gt;"",G125,"")</f>
        <v/>
      </c>
      <c r="H379" s="100">
        <f t="shared" si="308"/>
        <v>-1.4491758542124521E-3</v>
      </c>
      <c r="I379" s="100">
        <f t="shared" si="308"/>
        <v>-1.6002034533101896E-3</v>
      </c>
      <c r="J379" s="100" t="str">
        <f t="shared" si="308"/>
        <v/>
      </c>
      <c r="K379" s="100">
        <f t="shared" si="308"/>
        <v>-1.4755627370003598E-3</v>
      </c>
      <c r="L379" s="100">
        <f t="shared" si="308"/>
        <v>-1.3185892733344785E-3</v>
      </c>
      <c r="M379" s="100" t="str">
        <f t="shared" si="308"/>
        <v/>
      </c>
      <c r="N379" s="100">
        <f t="shared" si="308"/>
        <v>-1.4821245191841688E-3</v>
      </c>
      <c r="O379" s="100">
        <f t="shared" si="308"/>
        <v>-1.492971292123828E-3</v>
      </c>
      <c r="P379" s="100">
        <f t="shared" si="308"/>
        <v>-1.3409053189662699E-3</v>
      </c>
      <c r="Q379" s="100">
        <f t="shared" si="308"/>
        <v>-1.528512065049163E-3</v>
      </c>
      <c r="R379" s="100">
        <f t="shared" si="308"/>
        <v>-1.6663890531585326E-3</v>
      </c>
      <c r="S379" s="100">
        <f t="shared" si="308"/>
        <v>-1.6000340238985439E-3</v>
      </c>
      <c r="T379" s="100">
        <f t="shared" si="308"/>
        <v>-1.2843830084734859E-3</v>
      </c>
      <c r="U379" s="100">
        <f t="shared" si="308"/>
        <v>-1.3245258190266651E-3</v>
      </c>
      <c r="V379" s="100">
        <f t="shared" si="308"/>
        <v>-1.4724278607924756E-3</v>
      </c>
      <c r="W379" s="100">
        <f t="shared" si="308"/>
        <v>-1.3377309119274911E-3</v>
      </c>
      <c r="X379" s="100">
        <f t="shared" si="308"/>
        <v>-1.415730989927569E-3</v>
      </c>
      <c r="Y379" s="100">
        <f t="shared" si="308"/>
        <v>-1.5073900976080854E-3</v>
      </c>
      <c r="Z379" s="100">
        <f t="shared" si="308"/>
        <v>-1.4074725614826114E-3</v>
      </c>
      <c r="AA379" s="100">
        <f t="shared" si="308"/>
        <v>-1.3106723394451993E-3</v>
      </c>
      <c r="AB379" s="100">
        <f t="shared" si="308"/>
        <v>-1.4460541771649333E-3</v>
      </c>
      <c r="AC379" s="100">
        <f t="shared" si="308"/>
        <v>-1.4064882529345722E-3</v>
      </c>
      <c r="AD379" s="100">
        <f t="shared" si="308"/>
        <v>-1.249748528015116E-3</v>
      </c>
      <c r="AE379" s="100">
        <f t="shared" si="308"/>
        <v>-1.6561867299379873E-3</v>
      </c>
      <c r="AF379" s="100" t="str">
        <f t="shared" si="308"/>
        <v/>
      </c>
      <c r="AG379" s="100">
        <f t="shared" si="308"/>
        <v>-1.6222662415110931E-3</v>
      </c>
      <c r="AH379" s="100">
        <f t="shared" si="308"/>
        <v>-1.6543056667677586E-3</v>
      </c>
      <c r="AI379" s="100">
        <f t="shared" si="308"/>
        <v>-1.7546923092313788E-3</v>
      </c>
      <c r="AJ379" s="100">
        <f t="shared" si="308"/>
        <v>-1.6442510769336812E-3</v>
      </c>
      <c r="AK379" s="100">
        <f t="shared" si="308"/>
        <v>-1.340988858116452E-3</v>
      </c>
      <c r="AL379" s="201">
        <f t="shared" si="297"/>
        <v>-1.4736956673901682E-3</v>
      </c>
      <c r="AM379" s="197">
        <f t="shared" si="298"/>
        <v>1.381143291870572E-4</v>
      </c>
      <c r="AN379" s="200">
        <f t="shared" si="299"/>
        <v>-9.3719709057467654E-2</v>
      </c>
      <c r="AO379" s="104"/>
      <c r="AP379" s="74"/>
    </row>
    <row r="380" spans="1:42" s="105" customFormat="1">
      <c r="A380" s="159"/>
      <c r="B380" s="172"/>
      <c r="C380" s="172"/>
      <c r="D380" s="172"/>
      <c r="E380" s="172"/>
      <c r="F380" s="100"/>
      <c r="G380" s="100"/>
      <c r="H380" s="100"/>
      <c r="I380" s="100"/>
      <c r="J380" s="100"/>
      <c r="K380" s="100"/>
      <c r="L380" s="100"/>
      <c r="M380" s="100"/>
      <c r="N380" s="100"/>
      <c r="O380" s="100"/>
      <c r="P380" s="100"/>
      <c r="Q380" s="100"/>
      <c r="R380" s="100"/>
      <c r="S380" s="100"/>
      <c r="T380" s="100"/>
      <c r="U380" s="100"/>
      <c r="V380" s="100"/>
      <c r="W380" s="100"/>
      <c r="X380" s="100"/>
      <c r="Y380" s="100"/>
      <c r="Z380" s="100"/>
      <c r="AA380" s="100"/>
      <c r="AB380" s="100"/>
      <c r="AC380" s="100"/>
      <c r="AD380" s="100"/>
      <c r="AE380" s="100"/>
      <c r="AF380" s="100"/>
      <c r="AG380" s="100"/>
      <c r="AH380" s="100"/>
      <c r="AI380" s="100"/>
      <c r="AJ380" s="100"/>
      <c r="AK380" s="100"/>
      <c r="AL380" s="201"/>
      <c r="AM380" s="197"/>
      <c r="AN380" s="200"/>
      <c r="AO380" s="104"/>
      <c r="AP380" s="74"/>
    </row>
    <row r="381" spans="1:42" s="105" customFormat="1">
      <c r="A381" s="159"/>
      <c r="B381" s="172"/>
      <c r="C381" s="172"/>
      <c r="D381" s="172"/>
      <c r="E381" s="172"/>
      <c r="F381" s="100"/>
      <c r="G381" s="100"/>
      <c r="H381" s="100"/>
      <c r="I381" s="100"/>
      <c r="J381" s="100"/>
      <c r="K381" s="100"/>
      <c r="L381" s="100"/>
      <c r="M381" s="100"/>
      <c r="N381" s="100"/>
      <c r="O381" s="100"/>
      <c r="P381" s="100"/>
      <c r="Q381" s="100"/>
      <c r="R381" s="100"/>
      <c r="S381" s="100"/>
      <c r="T381" s="100"/>
      <c r="U381" s="100"/>
      <c r="V381" s="100"/>
      <c r="W381" s="100"/>
      <c r="X381" s="100"/>
      <c r="Y381" s="100"/>
      <c r="Z381" s="100"/>
      <c r="AA381" s="100"/>
      <c r="AB381" s="100"/>
      <c r="AC381" s="100"/>
      <c r="AD381" s="100"/>
      <c r="AE381" s="100"/>
      <c r="AF381" s="100"/>
      <c r="AG381" s="100"/>
      <c r="AH381" s="100"/>
      <c r="AI381" s="100"/>
      <c r="AJ381" s="100"/>
      <c r="AK381" s="100"/>
      <c r="AL381" s="201"/>
      <c r="AM381" s="197"/>
      <c r="AN381" s="200"/>
      <c r="AO381" s="104"/>
      <c r="AP381" s="74"/>
    </row>
    <row r="382" spans="1:42" s="105" customFormat="1">
      <c r="A382" s="159"/>
      <c r="B382" s="172"/>
      <c r="C382" s="172"/>
      <c r="D382" s="172"/>
      <c r="E382" s="172"/>
      <c r="F382" s="100"/>
      <c r="G382" s="100"/>
      <c r="H382" s="100"/>
      <c r="I382" s="100"/>
      <c r="J382" s="100"/>
      <c r="K382" s="100"/>
      <c r="L382" s="100"/>
      <c r="M382" s="100"/>
      <c r="N382" s="100"/>
      <c r="O382" s="100"/>
      <c r="P382" s="100"/>
      <c r="Q382" s="100"/>
      <c r="R382" s="100"/>
      <c r="S382" s="100"/>
      <c r="T382" s="100"/>
      <c r="U382" s="100"/>
      <c r="V382" s="100"/>
      <c r="W382" s="100"/>
      <c r="X382" s="100"/>
      <c r="Y382" s="100"/>
      <c r="Z382" s="100"/>
      <c r="AA382" s="100"/>
      <c r="AB382" s="100"/>
      <c r="AC382" s="100"/>
      <c r="AD382" s="100"/>
      <c r="AE382" s="100"/>
      <c r="AF382" s="100"/>
      <c r="AG382" s="100"/>
      <c r="AH382" s="100"/>
      <c r="AI382" s="100"/>
      <c r="AJ382" s="100"/>
      <c r="AK382" s="100"/>
      <c r="AL382" s="201"/>
      <c r="AM382" s="197"/>
      <c r="AN382" s="200"/>
      <c r="AO382" s="104"/>
      <c r="AP382" s="74"/>
    </row>
    <row r="383" spans="1:42" s="105" customFormat="1">
      <c r="A383" s="159"/>
      <c r="B383" s="172"/>
      <c r="C383" s="172"/>
      <c r="D383" s="172"/>
      <c r="E383" s="172"/>
      <c r="F383" s="100"/>
      <c r="G383" s="100"/>
      <c r="H383" s="100"/>
      <c r="I383" s="100"/>
      <c r="J383" s="100"/>
      <c r="K383" s="100"/>
      <c r="L383" s="100"/>
      <c r="M383" s="100"/>
      <c r="N383" s="100"/>
      <c r="O383" s="100"/>
      <c r="P383" s="100"/>
      <c r="Q383" s="100"/>
      <c r="R383" s="100"/>
      <c r="S383" s="100"/>
      <c r="T383" s="100"/>
      <c r="U383" s="100"/>
      <c r="V383" s="100"/>
      <c r="W383" s="100"/>
      <c r="X383" s="100"/>
      <c r="Y383" s="100"/>
      <c r="Z383" s="100"/>
      <c r="AA383" s="100"/>
      <c r="AB383" s="100"/>
      <c r="AC383" s="100"/>
      <c r="AD383" s="100"/>
      <c r="AE383" s="100"/>
      <c r="AF383" s="100"/>
      <c r="AG383" s="100"/>
      <c r="AH383" s="100"/>
      <c r="AI383" s="100"/>
      <c r="AJ383" s="100"/>
      <c r="AK383" s="100"/>
      <c r="AL383" s="201"/>
      <c r="AM383" s="197"/>
      <c r="AN383" s="200"/>
      <c r="AO383" s="104"/>
      <c r="AP383" s="74"/>
    </row>
    <row r="384" spans="1:42" s="105" customFormat="1">
      <c r="A384" s="159"/>
      <c r="B384" s="172"/>
      <c r="C384" s="172"/>
      <c r="D384" s="172"/>
      <c r="E384" s="172"/>
      <c r="F384" s="100"/>
      <c r="G384" s="100"/>
      <c r="H384" s="100"/>
      <c r="I384" s="100"/>
      <c r="J384" s="100"/>
      <c r="K384" s="100"/>
      <c r="L384" s="100"/>
      <c r="M384" s="100"/>
      <c r="N384" s="100"/>
      <c r="O384" s="100"/>
      <c r="P384" s="100"/>
      <c r="Q384" s="100"/>
      <c r="R384" s="100"/>
      <c r="S384" s="100"/>
      <c r="T384" s="100"/>
      <c r="U384" s="100"/>
      <c r="V384" s="100"/>
      <c r="W384" s="100"/>
      <c r="X384" s="100"/>
      <c r="Y384" s="100"/>
      <c r="Z384" s="100"/>
      <c r="AA384" s="100"/>
      <c r="AB384" s="100"/>
      <c r="AC384" s="100"/>
      <c r="AD384" s="100"/>
      <c r="AE384" s="100"/>
      <c r="AF384" s="100"/>
      <c r="AG384" s="100"/>
      <c r="AH384" s="100"/>
      <c r="AI384" s="100"/>
      <c r="AJ384" s="100"/>
      <c r="AK384" s="100"/>
      <c r="AL384" s="201"/>
      <c r="AM384" s="197"/>
      <c r="AN384" s="200"/>
      <c r="AO384" s="172"/>
      <c r="AP384" s="74"/>
    </row>
    <row r="385" spans="1:42" s="105" customFormat="1">
      <c r="A385" s="159"/>
      <c r="B385" s="172"/>
      <c r="C385" s="172"/>
      <c r="D385" s="172"/>
      <c r="E385" s="172"/>
      <c r="F385" s="100"/>
      <c r="G385" s="100"/>
      <c r="H385" s="100"/>
      <c r="I385" s="100"/>
      <c r="J385" s="100"/>
      <c r="K385" s="100"/>
      <c r="L385" s="100"/>
      <c r="M385" s="100"/>
      <c r="N385" s="100"/>
      <c r="O385" s="100"/>
      <c r="P385" s="100"/>
      <c r="Q385" s="100"/>
      <c r="R385" s="100"/>
      <c r="S385" s="100"/>
      <c r="T385" s="100"/>
      <c r="U385" s="100"/>
      <c r="V385" s="100"/>
      <c r="W385" s="100"/>
      <c r="X385" s="100"/>
      <c r="Y385" s="100"/>
      <c r="Z385" s="100"/>
      <c r="AA385" s="100"/>
      <c r="AB385" s="100"/>
      <c r="AC385" s="100"/>
      <c r="AD385" s="100"/>
      <c r="AE385" s="100"/>
      <c r="AF385" s="100"/>
      <c r="AG385" s="100"/>
      <c r="AH385" s="100"/>
      <c r="AI385" s="100"/>
      <c r="AJ385" s="100"/>
      <c r="AK385" s="100"/>
      <c r="AL385" s="201"/>
      <c r="AM385" s="197"/>
      <c r="AN385" s="200"/>
      <c r="AO385" s="172"/>
      <c r="AP385" s="74"/>
    </row>
    <row r="386" spans="1:42" s="105" customFormat="1">
      <c r="A386" s="159"/>
      <c r="B386" s="172"/>
      <c r="C386" s="172"/>
      <c r="D386" s="172"/>
      <c r="E386" s="172"/>
      <c r="F386" s="100"/>
      <c r="G386" s="100"/>
      <c r="H386" s="100"/>
      <c r="I386" s="100"/>
      <c r="J386" s="100"/>
      <c r="K386" s="100"/>
      <c r="L386" s="100"/>
      <c r="M386" s="100"/>
      <c r="N386" s="100"/>
      <c r="O386" s="100"/>
      <c r="P386" s="100"/>
      <c r="Q386" s="100"/>
      <c r="R386" s="100"/>
      <c r="S386" s="100"/>
      <c r="T386" s="100"/>
      <c r="U386" s="100"/>
      <c r="V386" s="100"/>
      <c r="W386" s="100"/>
      <c r="X386" s="100"/>
      <c r="Y386" s="100"/>
      <c r="Z386" s="100"/>
      <c r="AA386" s="100"/>
      <c r="AB386" s="100"/>
      <c r="AC386" s="100"/>
      <c r="AD386" s="100"/>
      <c r="AE386" s="100"/>
      <c r="AF386" s="100"/>
      <c r="AG386" s="100"/>
      <c r="AH386" s="100"/>
      <c r="AI386" s="100"/>
      <c r="AJ386" s="100"/>
      <c r="AK386" s="100"/>
      <c r="AL386" s="201"/>
      <c r="AM386" s="197"/>
      <c r="AN386" s="200"/>
      <c r="AO386" s="172"/>
      <c r="AP386" s="74"/>
    </row>
    <row r="387" spans="1:42" s="105" customFormat="1">
      <c r="A387" s="159"/>
      <c r="B387" s="172"/>
      <c r="C387" s="172"/>
      <c r="D387" s="172"/>
      <c r="E387" s="172"/>
      <c r="F387" s="100"/>
      <c r="G387" s="100"/>
      <c r="H387" s="100"/>
      <c r="I387" s="100"/>
      <c r="J387" s="100"/>
      <c r="K387" s="100"/>
      <c r="L387" s="100"/>
      <c r="M387" s="100"/>
      <c r="N387" s="100"/>
      <c r="O387" s="100"/>
      <c r="P387" s="100"/>
      <c r="Q387" s="100"/>
      <c r="R387" s="100"/>
      <c r="S387" s="100"/>
      <c r="T387" s="100"/>
      <c r="U387" s="100"/>
      <c r="V387" s="100"/>
      <c r="W387" s="100"/>
      <c r="X387" s="100"/>
      <c r="Y387" s="100"/>
      <c r="Z387" s="100"/>
      <c r="AA387" s="100"/>
      <c r="AB387" s="100"/>
      <c r="AC387" s="100"/>
      <c r="AD387" s="100"/>
      <c r="AE387" s="100"/>
      <c r="AF387" s="100"/>
      <c r="AG387" s="100"/>
      <c r="AH387" s="100"/>
      <c r="AI387" s="100"/>
      <c r="AJ387" s="100"/>
      <c r="AK387" s="100"/>
      <c r="AL387" s="201"/>
      <c r="AM387" s="197"/>
      <c r="AN387" s="200"/>
      <c r="AO387" s="172"/>
      <c r="AP387" s="74"/>
    </row>
    <row r="388" spans="1:42" s="105" customFormat="1">
      <c r="A388" s="159"/>
      <c r="B388" s="172"/>
      <c r="C388" s="172"/>
      <c r="D388" s="172"/>
      <c r="E388" s="172"/>
      <c r="F388" s="100"/>
      <c r="G388" s="100"/>
      <c r="H388" s="100"/>
      <c r="I388" s="100"/>
      <c r="J388" s="100"/>
      <c r="K388" s="100"/>
      <c r="L388" s="100"/>
      <c r="M388" s="100"/>
      <c r="N388" s="100"/>
      <c r="O388" s="100"/>
      <c r="P388" s="100"/>
      <c r="Q388" s="100"/>
      <c r="R388" s="100"/>
      <c r="S388" s="100"/>
      <c r="T388" s="100"/>
      <c r="U388" s="100"/>
      <c r="V388" s="100"/>
      <c r="W388" s="100"/>
      <c r="X388" s="100"/>
      <c r="Y388" s="100"/>
      <c r="Z388" s="100"/>
      <c r="AA388" s="100"/>
      <c r="AB388" s="100"/>
      <c r="AC388" s="100"/>
      <c r="AD388" s="100"/>
      <c r="AE388" s="100"/>
      <c r="AF388" s="100"/>
      <c r="AG388" s="100"/>
      <c r="AH388" s="100"/>
      <c r="AI388" s="100"/>
      <c r="AJ388" s="100"/>
      <c r="AK388" s="100"/>
      <c r="AL388" s="201"/>
      <c r="AM388" s="197"/>
      <c r="AN388" s="200"/>
      <c r="AO388" s="172"/>
      <c r="AP388" s="74"/>
    </row>
    <row r="389" spans="1:42" s="105" customFormat="1">
      <c r="A389" s="159"/>
      <c r="B389" s="172"/>
      <c r="C389" s="172"/>
      <c r="D389" s="172"/>
      <c r="E389" s="172"/>
      <c r="F389" s="100"/>
      <c r="G389" s="100"/>
      <c r="H389" s="100"/>
      <c r="I389" s="100"/>
      <c r="J389" s="100"/>
      <c r="K389" s="100"/>
      <c r="L389" s="100"/>
      <c r="M389" s="100"/>
      <c r="N389" s="100"/>
      <c r="O389" s="100"/>
      <c r="P389" s="100"/>
      <c r="Q389" s="100"/>
      <c r="R389" s="100"/>
      <c r="S389" s="100"/>
      <c r="T389" s="100"/>
      <c r="U389" s="100"/>
      <c r="V389" s="100"/>
      <c r="W389" s="100"/>
      <c r="X389" s="100"/>
      <c r="Y389" s="100"/>
      <c r="Z389" s="100"/>
      <c r="AA389" s="100"/>
      <c r="AB389" s="100"/>
      <c r="AC389" s="100"/>
      <c r="AD389" s="100"/>
      <c r="AE389" s="100"/>
      <c r="AF389" s="100"/>
      <c r="AG389" s="100"/>
      <c r="AH389" s="100"/>
      <c r="AI389" s="100"/>
      <c r="AJ389" s="100"/>
      <c r="AK389" s="100"/>
      <c r="AL389" s="201"/>
      <c r="AM389" s="197"/>
      <c r="AN389" s="200"/>
      <c r="AO389" s="172"/>
      <c r="AP389" s="74"/>
    </row>
    <row r="390" spans="1:42" s="105" customFormat="1">
      <c r="A390" s="159"/>
      <c r="B390" s="172"/>
      <c r="C390" s="172"/>
      <c r="D390" s="172"/>
      <c r="E390" s="172"/>
      <c r="F390" s="100"/>
      <c r="G390" s="100"/>
      <c r="H390" s="100"/>
      <c r="I390" s="100"/>
      <c r="J390" s="100"/>
      <c r="K390" s="100"/>
      <c r="L390" s="100"/>
      <c r="M390" s="100"/>
      <c r="N390" s="100"/>
      <c r="O390" s="100"/>
      <c r="P390" s="100"/>
      <c r="Q390" s="100"/>
      <c r="R390" s="100"/>
      <c r="S390" s="100"/>
      <c r="T390" s="100"/>
      <c r="U390" s="100"/>
      <c r="V390" s="100"/>
      <c r="W390" s="100"/>
      <c r="X390" s="100"/>
      <c r="Y390" s="100"/>
      <c r="Z390" s="100"/>
      <c r="AA390" s="100"/>
      <c r="AB390" s="100"/>
      <c r="AC390" s="100"/>
      <c r="AD390" s="100"/>
      <c r="AE390" s="100"/>
      <c r="AF390" s="100"/>
      <c r="AG390" s="100"/>
      <c r="AH390" s="100"/>
      <c r="AI390" s="100"/>
      <c r="AJ390" s="100"/>
      <c r="AK390" s="100"/>
      <c r="AL390" s="201"/>
      <c r="AM390" s="197"/>
      <c r="AN390" s="200"/>
      <c r="AO390" s="172"/>
      <c r="AP390" s="74"/>
    </row>
    <row r="391" spans="1:42" s="105" customFormat="1">
      <c r="A391" s="159"/>
      <c r="B391" s="172"/>
      <c r="C391" s="172"/>
      <c r="D391" s="172"/>
      <c r="E391" s="172"/>
      <c r="F391" s="100"/>
      <c r="G391" s="100"/>
      <c r="H391" s="100"/>
      <c r="I391" s="100"/>
      <c r="J391" s="100"/>
      <c r="K391" s="100"/>
      <c r="L391" s="100"/>
      <c r="M391" s="100"/>
      <c r="N391" s="100"/>
      <c r="O391" s="100"/>
      <c r="P391" s="100"/>
      <c r="Q391" s="100"/>
      <c r="R391" s="100"/>
      <c r="S391" s="100"/>
      <c r="T391" s="100"/>
      <c r="U391" s="100"/>
      <c r="V391" s="100"/>
      <c r="W391" s="100"/>
      <c r="X391" s="100"/>
      <c r="Y391" s="100"/>
      <c r="Z391" s="100"/>
      <c r="AA391" s="100"/>
      <c r="AB391" s="100"/>
      <c r="AC391" s="100"/>
      <c r="AD391" s="100"/>
      <c r="AE391" s="100"/>
      <c r="AF391" s="100"/>
      <c r="AG391" s="100"/>
      <c r="AH391" s="100"/>
      <c r="AI391" s="100"/>
      <c r="AJ391" s="100"/>
      <c r="AK391" s="100"/>
      <c r="AL391" s="201"/>
      <c r="AM391" s="197"/>
      <c r="AN391" s="200"/>
      <c r="AO391" s="172"/>
      <c r="AP391" s="74"/>
    </row>
    <row r="392" spans="1:42" s="105" customFormat="1">
      <c r="A392" s="159"/>
      <c r="B392" s="172"/>
      <c r="C392" s="172"/>
      <c r="D392" s="172"/>
      <c r="E392" s="172"/>
      <c r="F392" s="100"/>
      <c r="G392" s="100"/>
      <c r="H392" s="100"/>
      <c r="I392" s="100"/>
      <c r="J392" s="100"/>
      <c r="K392" s="100"/>
      <c r="L392" s="100"/>
      <c r="M392" s="100"/>
      <c r="N392" s="100"/>
      <c r="O392" s="100"/>
      <c r="P392" s="100"/>
      <c r="Q392" s="100"/>
      <c r="R392" s="100"/>
      <c r="S392" s="100"/>
      <c r="T392" s="100"/>
      <c r="U392" s="100"/>
      <c r="V392" s="100"/>
      <c r="W392" s="100"/>
      <c r="X392" s="100"/>
      <c r="Y392" s="100"/>
      <c r="Z392" s="100"/>
      <c r="AA392" s="100"/>
      <c r="AB392" s="100"/>
      <c r="AC392" s="100"/>
      <c r="AD392" s="100"/>
      <c r="AE392" s="100"/>
      <c r="AF392" s="100"/>
      <c r="AG392" s="100"/>
      <c r="AH392" s="100"/>
      <c r="AI392" s="100"/>
      <c r="AJ392" s="100"/>
      <c r="AK392" s="100"/>
      <c r="AL392" s="201"/>
      <c r="AM392" s="197"/>
      <c r="AN392" s="200"/>
      <c r="AO392" s="172"/>
      <c r="AP392" s="74"/>
    </row>
    <row r="393" spans="1:42" s="105" customFormat="1">
      <c r="A393" s="159"/>
      <c r="B393" s="172"/>
      <c r="C393" s="172"/>
      <c r="D393" s="172"/>
      <c r="E393" s="172"/>
      <c r="F393" s="100"/>
      <c r="G393" s="100"/>
      <c r="H393" s="100"/>
      <c r="I393" s="100"/>
      <c r="J393" s="100"/>
      <c r="K393" s="100"/>
      <c r="L393" s="100"/>
      <c r="M393" s="100"/>
      <c r="N393" s="100"/>
      <c r="O393" s="100"/>
      <c r="P393" s="100"/>
      <c r="Q393" s="100"/>
      <c r="R393" s="100"/>
      <c r="S393" s="100"/>
      <c r="T393" s="100"/>
      <c r="U393" s="100"/>
      <c r="V393" s="100"/>
      <c r="W393" s="100"/>
      <c r="X393" s="100"/>
      <c r="Y393" s="100"/>
      <c r="Z393" s="100"/>
      <c r="AA393" s="100"/>
      <c r="AB393" s="100"/>
      <c r="AC393" s="100"/>
      <c r="AD393" s="100"/>
      <c r="AE393" s="100"/>
      <c r="AF393" s="100"/>
      <c r="AG393" s="100"/>
      <c r="AH393" s="100"/>
      <c r="AI393" s="100"/>
      <c r="AJ393" s="100"/>
      <c r="AK393" s="100"/>
      <c r="AL393" s="201"/>
      <c r="AM393" s="197"/>
      <c r="AN393" s="200"/>
      <c r="AO393" s="172"/>
      <c r="AP393" s="74"/>
    </row>
    <row r="394" spans="1:42">
      <c r="A394" s="242" t="str">
        <f>A127</f>
        <v>CWF</v>
      </c>
      <c r="B394" s="242" t="str">
        <f>B127</f>
        <v>LO</v>
      </c>
      <c r="C394" s="210" t="str">
        <f>C376</f>
        <v>R</v>
      </c>
      <c r="D394" s="172"/>
      <c r="E394" s="172"/>
      <c r="F394" s="106" t="str">
        <f>IF(F$305,F51,"")</f>
        <v/>
      </c>
      <c r="G394" s="106" t="str">
        <f t="shared" ref="G394:AK394" si="309">IF(G$305,G51,"")</f>
        <v/>
      </c>
      <c r="H394" s="106">
        <f t="shared" si="309"/>
        <v>0.72098881006240845</v>
      </c>
      <c r="I394" s="106">
        <f t="shared" si="309"/>
        <v>0.7782101035118103</v>
      </c>
      <c r="J394" s="106" t="str">
        <f t="shared" si="309"/>
        <v/>
      </c>
      <c r="K394" s="106">
        <f t="shared" si="309"/>
        <v>0.73815518617630005</v>
      </c>
      <c r="L394" s="106">
        <f t="shared" si="309"/>
        <v>0.74959945678710938</v>
      </c>
      <c r="M394" s="106" t="str">
        <f t="shared" si="309"/>
        <v/>
      </c>
      <c r="N394" s="106">
        <f t="shared" si="309"/>
        <v>0.61226826906204224</v>
      </c>
      <c r="O394" s="106">
        <f t="shared" si="309"/>
        <v>0.68665599822998047</v>
      </c>
      <c r="P394" s="106">
        <f t="shared" si="309"/>
        <v>0.49782559275627136</v>
      </c>
      <c r="Q394" s="106">
        <f t="shared" si="309"/>
        <v>0.60654610395431519</v>
      </c>
      <c r="R394" s="106">
        <f t="shared" si="309"/>
        <v>0.50354772806167603</v>
      </c>
      <c r="S394" s="106">
        <f t="shared" si="309"/>
        <v>0.64087891578674316</v>
      </c>
      <c r="T394" s="106">
        <f t="shared" si="309"/>
        <v>0.52071410417556763</v>
      </c>
      <c r="U394" s="106">
        <f t="shared" si="309"/>
        <v>0.55504691600799561</v>
      </c>
      <c r="V394" s="106">
        <f t="shared" si="309"/>
        <v>0.69810026884078979</v>
      </c>
      <c r="W394" s="106">
        <f t="shared" si="309"/>
        <v>0.80682080984115601</v>
      </c>
      <c r="X394" s="106">
        <f t="shared" si="309"/>
        <v>0.75532156229019165</v>
      </c>
      <c r="Y394" s="106">
        <f t="shared" si="309"/>
        <v>0.86404210329055786</v>
      </c>
      <c r="Z394" s="106">
        <f t="shared" si="309"/>
        <v>0.82398718595504761</v>
      </c>
      <c r="AA394" s="106">
        <f t="shared" si="309"/>
        <v>0.69237810373306274</v>
      </c>
      <c r="AB394" s="106">
        <f t="shared" si="309"/>
        <v>0.82398718595504761</v>
      </c>
      <c r="AC394" s="106">
        <f t="shared" si="309"/>
        <v>0.85259783267974854</v>
      </c>
      <c r="AD394" s="106">
        <f t="shared" si="309"/>
        <v>0.63515681028366089</v>
      </c>
      <c r="AE394" s="106">
        <f t="shared" si="309"/>
        <v>0.61799037456512451</v>
      </c>
      <c r="AF394" s="106" t="str">
        <f t="shared" si="309"/>
        <v/>
      </c>
      <c r="AG394" s="106">
        <f t="shared" si="309"/>
        <v>0.58365756273269653</v>
      </c>
      <c r="AH394" s="106">
        <f t="shared" si="309"/>
        <v>0.64660108089447021</v>
      </c>
      <c r="AI394" s="106">
        <f t="shared" si="309"/>
        <v>0.46349278092384338</v>
      </c>
      <c r="AJ394" s="106">
        <f t="shared" si="309"/>
        <v>0.74387729167938232</v>
      </c>
      <c r="AK394" s="106">
        <f t="shared" si="309"/>
        <v>0.52643626928329468</v>
      </c>
      <c r="AL394" s="199">
        <f t="shared" ref="AL394:AL401" si="310">AVERAGE(F394:AK394)</f>
        <v>0.67203275583408495</v>
      </c>
      <c r="AM394" s="194">
        <f t="shared" ref="AM394:AM401" si="311">STDEV(F394:AK394)</f>
        <v>0.11649667095333768</v>
      </c>
      <c r="AN394" s="200">
        <f t="shared" ref="AN394:AN401" si="312">AM394/AL394</f>
        <v>0.17334969157678826</v>
      </c>
      <c r="AO394" s="104"/>
      <c r="AP394" s="74"/>
    </row>
    <row r="395" spans="1:42">
      <c r="A395" s="242"/>
      <c r="B395" s="242"/>
      <c r="C395" s="210" t="str">
        <f t="shared" ref="C395:C397" si="313">C377</f>
        <v>G</v>
      </c>
      <c r="D395" s="172"/>
      <c r="E395" s="172"/>
      <c r="F395" s="106" t="str">
        <f t="shared" ref="F395:AK395" si="314">IF(F$305,F52*(1+IF(cmpSet&lt;64,cmpSet*F127,F129+(cmpSet-64)*F128)),"")</f>
        <v/>
      </c>
      <c r="G395" s="106" t="str">
        <f t="shared" si="314"/>
        <v/>
      </c>
      <c r="H395" s="106">
        <f t="shared" si="314"/>
        <v>3.6311022213527133</v>
      </c>
      <c r="I395" s="106">
        <f t="shared" si="314"/>
        <v>4.229201589311872</v>
      </c>
      <c r="J395" s="106" t="str">
        <f t="shared" si="314"/>
        <v/>
      </c>
      <c r="K395" s="106">
        <f t="shared" si="314"/>
        <v>3.7806952567327592</v>
      </c>
      <c r="L395" s="106">
        <f t="shared" si="314"/>
        <v>3.9242935180664058</v>
      </c>
      <c r="M395" s="106" t="str">
        <f t="shared" si="314"/>
        <v/>
      </c>
      <c r="N395" s="106">
        <f t="shared" si="314"/>
        <v>3.579603093011039</v>
      </c>
      <c r="O395" s="106">
        <f t="shared" si="314"/>
        <v>3.4294651122320268</v>
      </c>
      <c r="P395" s="106">
        <f t="shared" si="314"/>
        <v>3.1196524188632058</v>
      </c>
      <c r="Q395" s="106">
        <f t="shared" si="314"/>
        <v>3.6422740618387857</v>
      </c>
      <c r="R395" s="106">
        <f t="shared" si="314"/>
        <v>3.1477181570870534</v>
      </c>
      <c r="S395" s="106">
        <f t="shared" si="314"/>
        <v>3.3662491752987815</v>
      </c>
      <c r="T395" s="106">
        <f t="shared" si="314"/>
        <v>3.3825981049310596</v>
      </c>
      <c r="U395" s="106">
        <f t="shared" si="314"/>
        <v>3.00384741737729</v>
      </c>
      <c r="V395" s="106">
        <f t="shared" si="314"/>
        <v>3.7629839125133695</v>
      </c>
      <c r="W395" s="106">
        <f t="shared" si="314"/>
        <v>4.1474566459655762</v>
      </c>
      <c r="X395" s="106">
        <f t="shared" si="314"/>
        <v>4.1586282593863348</v>
      </c>
      <c r="Y395" s="106">
        <f t="shared" si="314"/>
        <v>4.2518173172360374</v>
      </c>
      <c r="Z395" s="106">
        <f t="shared" si="314"/>
        <v>4.3725271452040904</v>
      </c>
      <c r="AA395" s="106">
        <f t="shared" si="314"/>
        <v>3.4008544059026811</v>
      </c>
      <c r="AB395" s="106">
        <f t="shared" si="314"/>
        <v>3.8496332395644415</v>
      </c>
      <c r="AC395" s="106">
        <f t="shared" si="314"/>
        <v>4.1079468045915881</v>
      </c>
      <c r="AD395" s="106">
        <f t="shared" si="314"/>
        <v>4.0400987352643689</v>
      </c>
      <c r="AE395" s="106">
        <f t="shared" si="314"/>
        <v>3.903039750598726</v>
      </c>
      <c r="AF395" s="106" t="str">
        <f t="shared" si="314"/>
        <v/>
      </c>
      <c r="AG395" s="106">
        <f t="shared" si="314"/>
        <v>3.0902244931175598</v>
      </c>
      <c r="AH395" s="106">
        <f t="shared" si="314"/>
        <v>4.0692539442153199</v>
      </c>
      <c r="AI395" s="106">
        <f t="shared" si="314"/>
        <v>2.7910386834825789</v>
      </c>
      <c r="AJ395" s="106">
        <f t="shared" si="314"/>
        <v>3.9343751952761696</v>
      </c>
      <c r="AK395" s="106">
        <f t="shared" si="314"/>
        <v>3.0954015822637651</v>
      </c>
      <c r="AL395" s="199">
        <f t="shared" si="310"/>
        <v>3.6745177866920593</v>
      </c>
      <c r="AM395" s="194">
        <f t="shared" si="311"/>
        <v>0.44354569735706001</v>
      </c>
      <c r="AN395" s="200">
        <f t="shared" si="312"/>
        <v>0.1207085454759376</v>
      </c>
      <c r="AO395" s="104"/>
      <c r="AP395" s="74"/>
    </row>
    <row r="396" spans="1:42">
      <c r="A396" s="242"/>
      <c r="B396" s="242"/>
      <c r="C396" s="210" t="str">
        <f t="shared" si="313"/>
        <v>B</v>
      </c>
      <c r="D396" s="172"/>
      <c r="E396" s="172"/>
      <c r="F396" s="106" t="str">
        <f t="shared" ref="F396:AK396" si="315">IF(F$305,F53,"")</f>
        <v/>
      </c>
      <c r="G396" s="106" t="str">
        <f t="shared" si="315"/>
        <v/>
      </c>
      <c r="H396" s="106">
        <f t="shared" si="315"/>
        <v>3.3360037803649902</v>
      </c>
      <c r="I396" s="106">
        <f t="shared" si="315"/>
        <v>3.7651636600494385</v>
      </c>
      <c r="J396" s="106" t="str">
        <f t="shared" si="315"/>
        <v/>
      </c>
      <c r="K396" s="106">
        <f t="shared" si="315"/>
        <v>3.3417258262634277</v>
      </c>
      <c r="L396" s="106">
        <f t="shared" si="315"/>
        <v>3.5191118717193604</v>
      </c>
      <c r="M396" s="106" t="str">
        <f t="shared" si="315"/>
        <v/>
      </c>
      <c r="N396" s="106">
        <f t="shared" si="315"/>
        <v>3.1471731662750244</v>
      </c>
      <c r="O396" s="106">
        <f t="shared" si="315"/>
        <v>3.0155642032623291</v>
      </c>
      <c r="P396" s="106">
        <f t="shared" si="315"/>
        <v>2.6722362041473389</v>
      </c>
      <c r="Q396" s="106">
        <f t="shared" si="315"/>
        <v>3.0212862491607666</v>
      </c>
      <c r="R396" s="106">
        <f t="shared" si="315"/>
        <v>2.6035706996917725</v>
      </c>
      <c r="S396" s="106">
        <f t="shared" si="315"/>
        <v>2.9297323226928711</v>
      </c>
      <c r="T396" s="106">
        <f t="shared" si="315"/>
        <v>2.8038451671600342</v>
      </c>
      <c r="U396" s="106">
        <f t="shared" si="315"/>
        <v>2.5520713329315186</v>
      </c>
      <c r="V396" s="106">
        <f t="shared" si="315"/>
        <v>3.1700618267059326</v>
      </c>
      <c r="W396" s="106">
        <f t="shared" si="315"/>
        <v>3.473334789276123</v>
      </c>
      <c r="X396" s="106">
        <f t="shared" si="315"/>
        <v>3.4847791194915771</v>
      </c>
      <c r="Y396" s="106">
        <f t="shared" si="315"/>
        <v>3.919661283493042</v>
      </c>
      <c r="Z396" s="106">
        <f t="shared" si="315"/>
        <v>3.6964981555938721</v>
      </c>
      <c r="AA396" s="106">
        <f t="shared" si="315"/>
        <v>2.9697871208190918</v>
      </c>
      <c r="AB396" s="106">
        <f t="shared" si="315"/>
        <v>3.536278247833252</v>
      </c>
      <c r="AC396" s="106">
        <f t="shared" si="315"/>
        <v>3.524834156036377</v>
      </c>
      <c r="AD396" s="106">
        <f t="shared" si="315"/>
        <v>3.6964981555938721</v>
      </c>
      <c r="AE396" s="106">
        <f t="shared" si="315"/>
        <v>3.5420005321502686</v>
      </c>
      <c r="AF396" s="106" t="str">
        <f t="shared" si="315"/>
        <v/>
      </c>
      <c r="AG396" s="106">
        <f t="shared" si="315"/>
        <v>2.6035706996917725</v>
      </c>
      <c r="AH396" s="106">
        <f t="shared" si="315"/>
        <v>3.6335546970367432</v>
      </c>
      <c r="AI396" s="106">
        <f t="shared" si="315"/>
        <v>2.3060197830200195</v>
      </c>
      <c r="AJ396" s="106">
        <f t="shared" si="315"/>
        <v>3.313115119934082</v>
      </c>
      <c r="AK396" s="106">
        <f t="shared" si="315"/>
        <v>2.6436254978179932</v>
      </c>
      <c r="AL396" s="199">
        <f t="shared" si="310"/>
        <v>3.1933742099338107</v>
      </c>
      <c r="AM396" s="194">
        <f t="shared" si="311"/>
        <v>0.43996907508844374</v>
      </c>
      <c r="AN396" s="200">
        <f t="shared" si="312"/>
        <v>0.13777560854590951</v>
      </c>
      <c r="AO396" s="104"/>
      <c r="AP396" s="74"/>
    </row>
    <row r="397" spans="1:42">
      <c r="A397" s="242"/>
      <c r="B397" s="242"/>
      <c r="C397" s="210" t="str">
        <f t="shared" si="313"/>
        <v>ΔIR</v>
      </c>
      <c r="D397" s="172"/>
      <c r="E397" s="172"/>
      <c r="F397" s="100" t="str">
        <f>IF(F130&lt;&gt;"",F130,"")</f>
        <v/>
      </c>
      <c r="G397" s="100" t="str">
        <f t="shared" ref="G397:AK397" si="316">IF(G130&lt;&gt;"",G130,"")</f>
        <v/>
      </c>
      <c r="H397" s="100">
        <f t="shared" si="316"/>
        <v>-1.6862265165495675E-3</v>
      </c>
      <c r="I397" s="100">
        <f t="shared" si="316"/>
        <v>-1.6627020981400482E-3</v>
      </c>
      <c r="J397" s="100" t="str">
        <f t="shared" si="316"/>
        <v/>
      </c>
      <c r="K397" s="100">
        <f t="shared" si="316"/>
        <v>-1.6844836293178069E-3</v>
      </c>
      <c r="L397" s="100">
        <f t="shared" si="316"/>
        <v>-1.6664588833212675E-3</v>
      </c>
      <c r="M397" s="100" t="str">
        <f t="shared" si="316"/>
        <v/>
      </c>
      <c r="N397" s="100">
        <f t="shared" si="316"/>
        <v>-1.7079998567009614E-3</v>
      </c>
      <c r="O397" s="100">
        <f t="shared" si="316"/>
        <v>-1.6683353535568754E-3</v>
      </c>
      <c r="P397" s="100">
        <f t="shared" si="316"/>
        <v>-1.7462928931233706E-3</v>
      </c>
      <c r="Q397" s="100">
        <f t="shared" si="316"/>
        <v>-1.6613896894359392E-3</v>
      </c>
      <c r="R397" s="100">
        <f t="shared" si="316"/>
        <v>-1.6858597550177417E-3</v>
      </c>
      <c r="S397" s="100">
        <f t="shared" si="316"/>
        <v>-1.6746766731476446E-3</v>
      </c>
      <c r="T397" s="100">
        <f t="shared" si="316"/>
        <v>-1.6018647757841348E-3</v>
      </c>
      <c r="U397" s="100">
        <f t="shared" si="316"/>
        <v>-1.6851492634467982E-3</v>
      </c>
      <c r="V397" s="100">
        <f t="shared" si="316"/>
        <v>-1.6525332487394254E-3</v>
      </c>
      <c r="W397" s="100">
        <f t="shared" si="316"/>
        <v>-1.5853204630904348E-3</v>
      </c>
      <c r="X397" s="100">
        <f t="shared" si="316"/>
        <v>-1.5635522964120502E-3</v>
      </c>
      <c r="Y397" s="100">
        <f t="shared" si="316"/>
        <v>-1.6373870260203509E-3</v>
      </c>
      <c r="Z397" s="100">
        <f t="shared" si="316"/>
        <v>-1.6304043513388513E-3</v>
      </c>
      <c r="AA397" s="100">
        <f t="shared" si="316"/>
        <v>-1.680955154685573E-3</v>
      </c>
      <c r="AB397" s="100">
        <f t="shared" si="316"/>
        <v>-1.676428201391E-3</v>
      </c>
      <c r="AC397" s="100">
        <f t="shared" si="316"/>
        <v>-1.6351598598142987E-3</v>
      </c>
      <c r="AD397" s="100">
        <f t="shared" si="316"/>
        <v>-1.7143654613604247E-3</v>
      </c>
      <c r="AE397" s="100">
        <f t="shared" si="316"/>
        <v>-1.7867535126215731E-3</v>
      </c>
      <c r="AF397" s="100" t="str">
        <f t="shared" si="316"/>
        <v/>
      </c>
      <c r="AG397" s="100">
        <f t="shared" si="316"/>
        <v>-1.6903040483518318E-3</v>
      </c>
      <c r="AH397" s="100">
        <f t="shared" si="316"/>
        <v>-1.7392349234486399E-3</v>
      </c>
      <c r="AI397" s="100">
        <f t="shared" si="316"/>
        <v>-1.695459947210093E-3</v>
      </c>
      <c r="AJ397" s="100">
        <f t="shared" si="316"/>
        <v>-1.5684802908625469E-3</v>
      </c>
      <c r="AK397" s="100">
        <f t="shared" si="316"/>
        <v>-1.6402119341518879E-3</v>
      </c>
      <c r="AL397" s="201">
        <f t="shared" si="310"/>
        <v>-1.6677033372978203E-3</v>
      </c>
      <c r="AM397" s="197">
        <f t="shared" si="311"/>
        <v>5.1269982080241484E-5</v>
      </c>
      <c r="AN397" s="200">
        <f t="shared" si="312"/>
        <v>-3.0742867111673611E-2</v>
      </c>
      <c r="AO397" s="104"/>
      <c r="AP397" s="74"/>
    </row>
    <row r="398" spans="1:42">
      <c r="A398" s="242"/>
      <c r="B398" s="242" t="str">
        <f>B132</f>
        <v>HI</v>
      </c>
      <c r="C398" s="210" t="str">
        <f>C394</f>
        <v>R</v>
      </c>
      <c r="D398" s="172"/>
      <c r="E398" s="172"/>
      <c r="F398" s="106" t="str">
        <f>IF(F$305,F57,"")</f>
        <v/>
      </c>
      <c r="G398" s="106" t="str">
        <f t="shared" ref="G398:AK398" si="317">IF(G$305,G57,"")</f>
        <v/>
      </c>
      <c r="H398" s="106">
        <f t="shared" si="317"/>
        <v>0.78202486038208008</v>
      </c>
      <c r="I398" s="106">
        <f t="shared" si="317"/>
        <v>0.93842983245849609</v>
      </c>
      <c r="J398" s="106" t="str">
        <f t="shared" si="317"/>
        <v/>
      </c>
      <c r="K398" s="106">
        <f t="shared" si="317"/>
        <v>0.78202486038208008</v>
      </c>
      <c r="L398" s="106">
        <f t="shared" si="317"/>
        <v>0.93842983245849609</v>
      </c>
      <c r="M398" s="106" t="str">
        <f t="shared" si="317"/>
        <v/>
      </c>
      <c r="N398" s="106">
        <f t="shared" si="317"/>
        <v>0.78202486038208008</v>
      </c>
      <c r="O398" s="106">
        <f t="shared" si="317"/>
        <v>0.78202486038208008</v>
      </c>
      <c r="P398" s="106">
        <f t="shared" si="317"/>
        <v>0.78202486038208008</v>
      </c>
      <c r="Q398" s="106">
        <f t="shared" si="317"/>
        <v>0.62561988830566406</v>
      </c>
      <c r="R398" s="106">
        <f t="shared" si="317"/>
        <v>0.62561988830566406</v>
      </c>
      <c r="S398" s="106">
        <f t="shared" si="317"/>
        <v>0.78202486038208008</v>
      </c>
      <c r="T398" s="106">
        <f t="shared" si="317"/>
        <v>0.62561988830566406</v>
      </c>
      <c r="U398" s="106">
        <f t="shared" si="317"/>
        <v>0.62561988830566406</v>
      </c>
      <c r="V398" s="106">
        <f t="shared" si="317"/>
        <v>0.78202486038208008</v>
      </c>
      <c r="W398" s="106">
        <f t="shared" si="317"/>
        <v>0.93842983245849609</v>
      </c>
      <c r="X398" s="106">
        <f t="shared" si="317"/>
        <v>0.78202486038208008</v>
      </c>
      <c r="Y398" s="106">
        <f t="shared" si="317"/>
        <v>1.0948348045349121</v>
      </c>
      <c r="Z398" s="106">
        <f t="shared" si="317"/>
        <v>0.93842983245849609</v>
      </c>
      <c r="AA398" s="106">
        <f t="shared" si="317"/>
        <v>0.78202486038208008</v>
      </c>
      <c r="AB398" s="106">
        <f t="shared" si="317"/>
        <v>0.93842983245849609</v>
      </c>
      <c r="AC398" s="106">
        <f t="shared" si="317"/>
        <v>0.93842983245849609</v>
      </c>
      <c r="AD398" s="106">
        <f t="shared" si="317"/>
        <v>0.78202486038208008</v>
      </c>
      <c r="AE398" s="106">
        <f t="shared" si="317"/>
        <v>0.78202486038208008</v>
      </c>
      <c r="AF398" s="106" t="str">
        <f t="shared" si="317"/>
        <v/>
      </c>
      <c r="AG398" s="106">
        <f t="shared" si="317"/>
        <v>0.62561988830566406</v>
      </c>
      <c r="AH398" s="106">
        <f t="shared" si="317"/>
        <v>0.78202486038208008</v>
      </c>
      <c r="AI398" s="106">
        <f t="shared" si="317"/>
        <v>0.46921491622924805</v>
      </c>
      <c r="AJ398" s="106">
        <f t="shared" si="317"/>
        <v>0.93842983245849609</v>
      </c>
      <c r="AK398" s="106">
        <f t="shared" si="317"/>
        <v>0.62561988830566406</v>
      </c>
      <c r="AL398" s="199">
        <f t="shared" si="310"/>
        <v>0.787817637125651</v>
      </c>
      <c r="AM398" s="194">
        <f t="shared" si="311"/>
        <v>0.14043980396896727</v>
      </c>
      <c r="AN398" s="200">
        <f t="shared" si="312"/>
        <v>0.17826435630631632</v>
      </c>
      <c r="AO398" s="104"/>
      <c r="AP398" s="74"/>
    </row>
    <row r="399" spans="1:42">
      <c r="A399" s="242"/>
      <c r="B399" s="242"/>
      <c r="C399" s="210" t="str">
        <f t="shared" ref="C399:C401" si="318">C395</f>
        <v>G</v>
      </c>
      <c r="D399" s="172"/>
      <c r="E399" s="172"/>
      <c r="F399" s="106" t="str">
        <f t="shared" ref="F399:AK399" si="319">IF(F$305,F58*(1+IF(cmpSet&lt;64,cmpSet*F132,F134+(cmpSet-64)*F133)),"")</f>
        <v/>
      </c>
      <c r="G399" s="106" t="str">
        <f t="shared" si="319"/>
        <v/>
      </c>
      <c r="H399" s="106">
        <f t="shared" si="319"/>
        <v>3.9324678693498885</v>
      </c>
      <c r="I399" s="106">
        <f t="shared" si="319"/>
        <v>4.5580877576555521</v>
      </c>
      <c r="J399" s="106" t="str">
        <f t="shared" si="319"/>
        <v/>
      </c>
      <c r="K399" s="106">
        <f t="shared" si="319"/>
        <v>4.088872841426304</v>
      </c>
      <c r="L399" s="106">
        <f t="shared" si="319"/>
        <v>4.088872841426304</v>
      </c>
      <c r="M399" s="106" t="str">
        <f t="shared" si="319"/>
        <v/>
      </c>
      <c r="N399" s="106">
        <f t="shared" si="319"/>
        <v>4.088872841426304</v>
      </c>
      <c r="O399" s="106">
        <f t="shared" si="319"/>
        <v>3.9324678693498885</v>
      </c>
      <c r="P399" s="106">
        <f t="shared" si="319"/>
        <v>3.6122100693838939</v>
      </c>
      <c r="Q399" s="106">
        <f t="shared" si="319"/>
        <v>3.619657925197056</v>
      </c>
      <c r="R399" s="106">
        <f t="shared" si="319"/>
        <v>3.2994001252310619</v>
      </c>
      <c r="S399" s="106">
        <f t="shared" si="319"/>
        <v>3.7686150414603099</v>
      </c>
      <c r="T399" s="106">
        <f t="shared" si="319"/>
        <v>3.619657925197056</v>
      </c>
      <c r="U399" s="106">
        <f t="shared" si="319"/>
        <v>3.1504430089678084</v>
      </c>
      <c r="V399" s="106">
        <f t="shared" si="319"/>
        <v>3.9324678693498885</v>
      </c>
      <c r="W399" s="106">
        <f t="shared" si="319"/>
        <v>4.5580877576555521</v>
      </c>
      <c r="X399" s="106">
        <f t="shared" si="319"/>
        <v>4.088872841426304</v>
      </c>
      <c r="Y399" s="106">
        <f t="shared" si="319"/>
        <v>5.0347505296979636</v>
      </c>
      <c r="Z399" s="106">
        <f t="shared" si="319"/>
        <v>4.5580877576555521</v>
      </c>
      <c r="AA399" s="106">
        <f t="shared" si="319"/>
        <v>3.619657925197056</v>
      </c>
      <c r="AB399" s="106">
        <f t="shared" si="319"/>
        <v>4.24527781350272</v>
      </c>
      <c r="AC399" s="106">
        <f t="shared" si="319"/>
        <v>4.4016827855791361</v>
      </c>
      <c r="AD399" s="106">
        <f t="shared" si="319"/>
        <v>4.2527256693158835</v>
      </c>
      <c r="AE399" s="106">
        <f t="shared" si="319"/>
        <v>4.5580877576555521</v>
      </c>
      <c r="AF399" s="106" t="str">
        <f t="shared" si="319"/>
        <v/>
      </c>
      <c r="AG399" s="106">
        <f t="shared" si="319"/>
        <v>3.3068479810442244</v>
      </c>
      <c r="AH399" s="106">
        <f t="shared" si="319"/>
        <v>4.5655356134687146</v>
      </c>
      <c r="AI399" s="106">
        <f t="shared" si="319"/>
        <v>2.9865901810782294</v>
      </c>
      <c r="AJ399" s="106">
        <f t="shared" si="319"/>
        <v>4.24527781350272</v>
      </c>
      <c r="AK399" s="106">
        <f t="shared" si="319"/>
        <v>3.4558050973074779</v>
      </c>
      <c r="AL399" s="199">
        <f t="shared" si="310"/>
        <v>3.9840511670188299</v>
      </c>
      <c r="AM399" s="194">
        <f t="shared" si="311"/>
        <v>0.50666446900641504</v>
      </c>
      <c r="AN399" s="200">
        <f t="shared" si="312"/>
        <v>0.12717318321630391</v>
      </c>
      <c r="AO399" s="104"/>
      <c r="AP399" s="74"/>
    </row>
    <row r="400" spans="1:42" s="105" customFormat="1">
      <c r="A400" s="242"/>
      <c r="B400" s="242"/>
      <c r="C400" s="210" t="str">
        <f t="shared" si="318"/>
        <v>B</v>
      </c>
      <c r="D400" s="172"/>
      <c r="E400" s="172"/>
      <c r="F400" s="106" t="str">
        <f t="shared" ref="F400:AK400" si="320">IF(F$305,F59,"")</f>
        <v/>
      </c>
      <c r="G400" s="106" t="str">
        <f t="shared" si="320"/>
        <v/>
      </c>
      <c r="H400" s="106">
        <f t="shared" si="320"/>
        <v>3.5973143577575684</v>
      </c>
      <c r="I400" s="106">
        <f t="shared" si="320"/>
        <v>4.0665292739868164</v>
      </c>
      <c r="J400" s="106" t="str">
        <f t="shared" si="320"/>
        <v/>
      </c>
      <c r="K400" s="106">
        <f t="shared" si="320"/>
        <v>3.5973143577575684</v>
      </c>
      <c r="L400" s="106">
        <f t="shared" si="320"/>
        <v>3.7537193298339844</v>
      </c>
      <c r="M400" s="106" t="str">
        <f t="shared" si="320"/>
        <v/>
      </c>
      <c r="N400" s="106">
        <f t="shared" si="320"/>
        <v>3.5973143577575684</v>
      </c>
      <c r="O400" s="106">
        <f t="shared" si="320"/>
        <v>3.4409093856811523</v>
      </c>
      <c r="P400" s="106">
        <f t="shared" si="320"/>
        <v>3.1280994415283203</v>
      </c>
      <c r="Q400" s="106">
        <f t="shared" si="320"/>
        <v>3.1280994415283203</v>
      </c>
      <c r="R400" s="106">
        <f t="shared" si="320"/>
        <v>2.8152894973754883</v>
      </c>
      <c r="S400" s="106">
        <f t="shared" si="320"/>
        <v>3.2845044136047363</v>
      </c>
      <c r="T400" s="106">
        <f t="shared" si="320"/>
        <v>2.9716944694519043</v>
      </c>
      <c r="U400" s="106">
        <f t="shared" si="320"/>
        <v>2.6588845252990723</v>
      </c>
      <c r="V400" s="106">
        <f t="shared" si="320"/>
        <v>3.2845044136047363</v>
      </c>
      <c r="W400" s="106">
        <f t="shared" si="320"/>
        <v>3.7537193298339844</v>
      </c>
      <c r="X400" s="106">
        <f t="shared" si="320"/>
        <v>3.4409093856811523</v>
      </c>
      <c r="Y400" s="106">
        <f t="shared" si="320"/>
        <v>4.6921491622924805</v>
      </c>
      <c r="Z400" s="106">
        <f t="shared" si="320"/>
        <v>3.7537193298339844</v>
      </c>
      <c r="AA400" s="106">
        <f t="shared" si="320"/>
        <v>3.1280994415283203</v>
      </c>
      <c r="AB400" s="106">
        <f t="shared" si="320"/>
        <v>3.9101243019104004</v>
      </c>
      <c r="AC400" s="106">
        <f t="shared" si="320"/>
        <v>3.7537193298339844</v>
      </c>
      <c r="AD400" s="106">
        <f t="shared" si="320"/>
        <v>3.9101243019104004</v>
      </c>
      <c r="AE400" s="106">
        <f t="shared" si="320"/>
        <v>4.0665292739868164</v>
      </c>
      <c r="AF400" s="106" t="str">
        <f t="shared" si="320"/>
        <v/>
      </c>
      <c r="AG400" s="106">
        <f t="shared" si="320"/>
        <v>2.8152894973754883</v>
      </c>
      <c r="AH400" s="106">
        <f t="shared" si="320"/>
        <v>4.0665292739868164</v>
      </c>
      <c r="AI400" s="106">
        <f t="shared" si="320"/>
        <v>2.5024795532226563</v>
      </c>
      <c r="AJ400" s="106">
        <f t="shared" si="320"/>
        <v>3.5973143577575684</v>
      </c>
      <c r="AK400" s="106">
        <f t="shared" si="320"/>
        <v>2.9716944694519043</v>
      </c>
      <c r="AL400" s="199">
        <f t="shared" si="310"/>
        <v>3.4698732693990073</v>
      </c>
      <c r="AM400" s="194">
        <f t="shared" si="311"/>
        <v>0.50780603609627717</v>
      </c>
      <c r="AN400" s="200">
        <f t="shared" si="312"/>
        <v>0.14634714200505389</v>
      </c>
      <c r="AO400" s="104"/>
      <c r="AP400" s="74"/>
    </row>
    <row r="401" spans="1:42" s="105" customFormat="1">
      <c r="A401" s="242"/>
      <c r="B401" s="242"/>
      <c r="C401" s="210" t="str">
        <f t="shared" si="318"/>
        <v>ΔIR</v>
      </c>
      <c r="D401" s="172"/>
      <c r="E401" s="172"/>
      <c r="F401" s="100" t="str">
        <f>IF(F135&lt;&gt;"",F135,"")</f>
        <v/>
      </c>
      <c r="G401" s="100" t="str">
        <f t="shared" ref="G401:AK401" si="321">IF(G135&lt;&gt;"",G137,"")</f>
        <v/>
      </c>
      <c r="H401" s="100">
        <f t="shared" si="321"/>
        <v>-1.6934533943292055E-3</v>
      </c>
      <c r="I401" s="100">
        <f t="shared" si="321"/>
        <v>-1.5753986681176432E-3</v>
      </c>
      <c r="J401" s="100" t="str">
        <f t="shared" si="321"/>
        <v/>
      </c>
      <c r="K401" s="100">
        <f t="shared" si="321"/>
        <v>-1.6632598770562762E-3</v>
      </c>
      <c r="L401" s="100">
        <f t="shared" si="321"/>
        <v>-1.6542475040580065E-3</v>
      </c>
      <c r="M401" s="100" t="str">
        <f t="shared" si="321"/>
        <v/>
      </c>
      <c r="N401" s="100">
        <f t="shared" si="321"/>
        <v>-1.6750179907478535E-3</v>
      </c>
      <c r="O401" s="100">
        <f t="shared" si="321"/>
        <v>-1.6845078128328594E-3</v>
      </c>
      <c r="P401" s="100">
        <f t="shared" si="321"/>
        <v>-1.5080670814823201E-3</v>
      </c>
      <c r="Q401" s="100">
        <f t="shared" si="321"/>
        <v>-1.7464457604688855E-3</v>
      </c>
      <c r="R401" s="100">
        <f t="shared" si="321"/>
        <v>-1.5330610024226045E-3</v>
      </c>
      <c r="S401" s="100">
        <f t="shared" si="321"/>
        <v>-1.4478389470744327E-3</v>
      </c>
      <c r="T401" s="100">
        <f t="shared" si="321"/>
        <v>-1.7166833036429833E-3</v>
      </c>
      <c r="U401" s="100">
        <f t="shared" si="321"/>
        <v>-1.8777713190939994E-3</v>
      </c>
      <c r="V401" s="100">
        <f t="shared" si="321"/>
        <v>-1.6766067604241344E-3</v>
      </c>
      <c r="W401" s="100">
        <f t="shared" si="321"/>
        <v>-1.5367078505928364E-3</v>
      </c>
      <c r="X401" s="100">
        <f t="shared" si="321"/>
        <v>-1.6027942106033978E-3</v>
      </c>
      <c r="Y401" s="100">
        <f t="shared" si="321"/>
        <v>-1.7005277281777241E-3</v>
      </c>
      <c r="Z401" s="100">
        <f t="shared" si="321"/>
        <v>-1.5592497947170447E-3</v>
      </c>
      <c r="AA401" s="100">
        <f t="shared" si="321"/>
        <v>-1.7562284930937022E-3</v>
      </c>
      <c r="AB401" s="100">
        <f t="shared" si="321"/>
        <v>-1.6318648943462937E-3</v>
      </c>
      <c r="AC401" s="100">
        <f t="shared" si="321"/>
        <v>-1.5856290850530786E-3</v>
      </c>
      <c r="AD401" s="100">
        <f t="shared" si="321"/>
        <v>-1.8812482708747847E-3</v>
      </c>
      <c r="AE401" s="100">
        <f t="shared" si="321"/>
        <v>-1.6374243753584056E-3</v>
      </c>
      <c r="AF401" s="100" t="str">
        <f t="shared" si="321"/>
        <v/>
      </c>
      <c r="AG401" s="100">
        <f t="shared" si="321"/>
        <v>-1.8372155162394079E-3</v>
      </c>
      <c r="AH401" s="100">
        <f t="shared" si="321"/>
        <v>-1.831618423725282E-3</v>
      </c>
      <c r="AI401" s="100">
        <f t="shared" si="321"/>
        <v>-1.6035878723200882E-3</v>
      </c>
      <c r="AJ401" s="100">
        <f t="shared" si="321"/>
        <v>-1.5778909390820671E-3</v>
      </c>
      <c r="AK401" s="100">
        <f t="shared" si="321"/>
        <v>-1.4814816284516052E-3</v>
      </c>
      <c r="AL401" s="201">
        <f t="shared" si="310"/>
        <v>-1.6546603149772932E-3</v>
      </c>
      <c r="AM401" s="197">
        <f t="shared" si="311"/>
        <v>1.1584685147731783E-4</v>
      </c>
      <c r="AN401" s="200">
        <f t="shared" si="312"/>
        <v>-7.0012467470646739E-2</v>
      </c>
      <c r="AO401" s="104"/>
      <c r="AP401" s="74"/>
    </row>
    <row r="402" spans="1:42" s="105" customFormat="1">
      <c r="A402" s="159"/>
      <c r="B402" s="172"/>
      <c r="C402" s="172"/>
      <c r="D402" s="172"/>
      <c r="E402" s="172"/>
      <c r="F402" s="100"/>
      <c r="G402" s="100"/>
      <c r="H402" s="100"/>
      <c r="I402" s="100"/>
      <c r="J402" s="100"/>
      <c r="K402" s="100"/>
      <c r="L402" s="100"/>
      <c r="M402" s="100"/>
      <c r="N402" s="100"/>
      <c r="O402" s="100"/>
      <c r="P402" s="100"/>
      <c r="Q402" s="100"/>
      <c r="R402" s="100"/>
      <c r="S402" s="100"/>
      <c r="T402" s="100"/>
      <c r="U402" s="100"/>
      <c r="V402" s="100"/>
      <c r="W402" s="100"/>
      <c r="X402" s="100"/>
      <c r="Y402" s="100"/>
      <c r="Z402" s="100"/>
      <c r="AA402" s="100"/>
      <c r="AB402" s="100"/>
      <c r="AC402" s="100"/>
      <c r="AD402" s="100"/>
      <c r="AE402" s="100"/>
      <c r="AF402" s="100"/>
      <c r="AG402" s="100"/>
      <c r="AH402" s="100"/>
      <c r="AI402" s="100"/>
      <c r="AJ402" s="100"/>
      <c r="AK402" s="100"/>
      <c r="AL402" s="201"/>
      <c r="AM402" s="197"/>
      <c r="AN402" s="200"/>
      <c r="AO402" s="104"/>
      <c r="AP402" s="74"/>
    </row>
    <row r="403" spans="1:42" s="105" customFormat="1">
      <c r="A403" s="159"/>
      <c r="B403" s="172"/>
      <c r="C403" s="172"/>
      <c r="D403" s="172"/>
      <c r="E403" s="172"/>
      <c r="F403" s="100"/>
      <c r="G403" s="100"/>
      <c r="H403" s="100"/>
      <c r="I403" s="100"/>
      <c r="J403" s="100"/>
      <c r="K403" s="100"/>
      <c r="L403" s="100"/>
      <c r="M403" s="100"/>
      <c r="N403" s="100"/>
      <c r="O403" s="100"/>
      <c r="P403" s="100"/>
      <c r="Q403" s="100"/>
      <c r="R403" s="100"/>
      <c r="S403" s="100"/>
      <c r="T403" s="100"/>
      <c r="U403" s="100"/>
      <c r="V403" s="100"/>
      <c r="W403" s="100"/>
      <c r="X403" s="100"/>
      <c r="Y403" s="100"/>
      <c r="Z403" s="100"/>
      <c r="AA403" s="100"/>
      <c r="AB403" s="100"/>
      <c r="AC403" s="100"/>
      <c r="AD403" s="100"/>
      <c r="AE403" s="100"/>
      <c r="AF403" s="100"/>
      <c r="AG403" s="100"/>
      <c r="AH403" s="100"/>
      <c r="AI403" s="100"/>
      <c r="AJ403" s="100"/>
      <c r="AK403" s="100"/>
      <c r="AL403" s="201"/>
      <c r="AM403" s="197"/>
      <c r="AN403" s="200"/>
      <c r="AO403" s="104"/>
      <c r="AP403" s="74"/>
    </row>
    <row r="404" spans="1:42" s="105" customFormat="1">
      <c r="A404" s="159"/>
      <c r="B404" s="172"/>
      <c r="C404" s="172"/>
      <c r="D404" s="172"/>
      <c r="E404" s="172"/>
      <c r="F404" s="100"/>
      <c r="G404" s="100"/>
      <c r="H404" s="100"/>
      <c r="I404" s="100"/>
      <c r="J404" s="100"/>
      <c r="K404" s="100"/>
      <c r="L404" s="100"/>
      <c r="M404" s="100"/>
      <c r="N404" s="100"/>
      <c r="O404" s="100"/>
      <c r="P404" s="100"/>
      <c r="Q404" s="100"/>
      <c r="R404" s="100"/>
      <c r="S404" s="100"/>
      <c r="T404" s="100"/>
      <c r="U404" s="100"/>
      <c r="V404" s="100"/>
      <c r="W404" s="100"/>
      <c r="X404" s="100"/>
      <c r="Y404" s="100"/>
      <c r="Z404" s="100"/>
      <c r="AA404" s="100"/>
      <c r="AB404" s="100"/>
      <c r="AC404" s="100"/>
      <c r="AD404" s="100"/>
      <c r="AE404" s="100"/>
      <c r="AF404" s="100"/>
      <c r="AG404" s="100"/>
      <c r="AH404" s="100"/>
      <c r="AI404" s="100"/>
      <c r="AJ404" s="100"/>
      <c r="AK404" s="100"/>
      <c r="AL404" s="201"/>
      <c r="AM404" s="197"/>
      <c r="AN404" s="200"/>
      <c r="AO404" s="104"/>
      <c r="AP404" s="74"/>
    </row>
    <row r="405" spans="1:42" s="105" customFormat="1">
      <c r="A405" s="159"/>
      <c r="B405" s="172"/>
      <c r="C405" s="172"/>
      <c r="D405" s="172"/>
      <c r="E405" s="172"/>
      <c r="F405" s="100"/>
      <c r="G405" s="100"/>
      <c r="H405" s="100"/>
      <c r="I405" s="100"/>
      <c r="J405" s="100"/>
      <c r="K405" s="100"/>
      <c r="L405" s="100"/>
      <c r="M405" s="100"/>
      <c r="N405" s="100"/>
      <c r="O405" s="100"/>
      <c r="P405" s="100"/>
      <c r="Q405" s="100"/>
      <c r="R405" s="100"/>
      <c r="S405" s="100"/>
      <c r="T405" s="100"/>
      <c r="U405" s="100"/>
      <c r="V405" s="100"/>
      <c r="W405" s="100"/>
      <c r="X405" s="100"/>
      <c r="Y405" s="100"/>
      <c r="Z405" s="100"/>
      <c r="AA405" s="100"/>
      <c r="AB405" s="100"/>
      <c r="AC405" s="100"/>
      <c r="AD405" s="100"/>
      <c r="AE405" s="100"/>
      <c r="AF405" s="100"/>
      <c r="AG405" s="100"/>
      <c r="AH405" s="100"/>
      <c r="AI405" s="100"/>
      <c r="AJ405" s="100"/>
      <c r="AK405" s="100"/>
      <c r="AL405" s="201"/>
      <c r="AM405" s="197"/>
      <c r="AN405" s="200"/>
      <c r="AO405" s="104"/>
      <c r="AP405" s="74"/>
    </row>
    <row r="406" spans="1:42" s="105" customFormat="1">
      <c r="A406" s="159"/>
      <c r="B406" s="172"/>
      <c r="C406" s="172"/>
      <c r="D406" s="172"/>
      <c r="E406" s="172"/>
      <c r="F406" s="100"/>
      <c r="G406" s="100"/>
      <c r="H406" s="100"/>
      <c r="I406" s="100"/>
      <c r="J406" s="100"/>
      <c r="K406" s="100"/>
      <c r="L406" s="100"/>
      <c r="M406" s="100"/>
      <c r="N406" s="100"/>
      <c r="O406" s="100"/>
      <c r="P406" s="100"/>
      <c r="Q406" s="100"/>
      <c r="R406" s="100"/>
      <c r="S406" s="100"/>
      <c r="T406" s="100"/>
      <c r="U406" s="100"/>
      <c r="V406" s="100"/>
      <c r="W406" s="100"/>
      <c r="X406" s="100"/>
      <c r="Y406" s="100"/>
      <c r="Z406" s="100"/>
      <c r="AA406" s="100"/>
      <c r="AB406" s="100"/>
      <c r="AC406" s="100"/>
      <c r="AD406" s="100"/>
      <c r="AE406" s="100"/>
      <c r="AF406" s="100"/>
      <c r="AG406" s="100"/>
      <c r="AH406" s="100"/>
      <c r="AI406" s="100"/>
      <c r="AJ406" s="100"/>
      <c r="AK406" s="100"/>
      <c r="AL406" s="201"/>
      <c r="AM406" s="197"/>
      <c r="AN406" s="200"/>
      <c r="AO406" s="172"/>
      <c r="AP406" s="74"/>
    </row>
    <row r="407" spans="1:42" s="105" customFormat="1">
      <c r="A407" s="159"/>
      <c r="B407" s="172"/>
      <c r="C407" s="172"/>
      <c r="D407" s="172"/>
      <c r="E407" s="172"/>
      <c r="F407" s="100"/>
      <c r="G407" s="100"/>
      <c r="H407" s="100"/>
      <c r="I407" s="100"/>
      <c r="J407" s="100"/>
      <c r="K407" s="100"/>
      <c r="L407" s="100"/>
      <c r="M407" s="100"/>
      <c r="N407" s="100"/>
      <c r="O407" s="100"/>
      <c r="P407" s="100"/>
      <c r="Q407" s="100"/>
      <c r="R407" s="100"/>
      <c r="S407" s="100"/>
      <c r="T407" s="100"/>
      <c r="U407" s="100"/>
      <c r="V407" s="100"/>
      <c r="W407" s="100"/>
      <c r="X407" s="100"/>
      <c r="Y407" s="100"/>
      <c r="Z407" s="100"/>
      <c r="AA407" s="100"/>
      <c r="AB407" s="100"/>
      <c r="AC407" s="100"/>
      <c r="AD407" s="100"/>
      <c r="AE407" s="100"/>
      <c r="AF407" s="100"/>
      <c r="AG407" s="100"/>
      <c r="AH407" s="100"/>
      <c r="AI407" s="100"/>
      <c r="AJ407" s="100"/>
      <c r="AK407" s="100"/>
      <c r="AL407" s="201"/>
      <c r="AM407" s="197"/>
      <c r="AN407" s="200"/>
      <c r="AO407" s="172"/>
      <c r="AP407" s="74"/>
    </row>
    <row r="408" spans="1:42" s="105" customFormat="1">
      <c r="A408" s="159"/>
      <c r="B408" s="172"/>
      <c r="C408" s="172"/>
      <c r="D408" s="172"/>
      <c r="E408" s="172"/>
      <c r="F408" s="100"/>
      <c r="G408" s="100"/>
      <c r="H408" s="100"/>
      <c r="I408" s="100"/>
      <c r="J408" s="100"/>
      <c r="K408" s="100"/>
      <c r="L408" s="100"/>
      <c r="M408" s="100"/>
      <c r="N408" s="100"/>
      <c r="O408" s="100"/>
      <c r="P408" s="100"/>
      <c r="Q408" s="100"/>
      <c r="R408" s="100"/>
      <c r="S408" s="100"/>
      <c r="T408" s="100"/>
      <c r="U408" s="100"/>
      <c r="V408" s="100"/>
      <c r="W408" s="100"/>
      <c r="X408" s="100"/>
      <c r="Y408" s="100"/>
      <c r="Z408" s="100"/>
      <c r="AA408" s="100"/>
      <c r="AB408" s="100"/>
      <c r="AC408" s="100"/>
      <c r="AD408" s="100"/>
      <c r="AE408" s="100"/>
      <c r="AF408" s="100"/>
      <c r="AG408" s="100"/>
      <c r="AH408" s="100"/>
      <c r="AI408" s="100"/>
      <c r="AJ408" s="100"/>
      <c r="AK408" s="100"/>
      <c r="AL408" s="201"/>
      <c r="AM408" s="197"/>
      <c r="AN408" s="200"/>
      <c r="AO408" s="172"/>
      <c r="AP408" s="74"/>
    </row>
    <row r="409" spans="1:42" s="105" customFormat="1">
      <c r="A409" s="159"/>
      <c r="B409" s="172"/>
      <c r="C409" s="172"/>
      <c r="D409" s="172"/>
      <c r="E409" s="172"/>
      <c r="F409" s="100"/>
      <c r="G409" s="100"/>
      <c r="H409" s="100"/>
      <c r="I409" s="100"/>
      <c r="J409" s="100"/>
      <c r="K409" s="100"/>
      <c r="L409" s="100"/>
      <c r="M409" s="100"/>
      <c r="N409" s="100"/>
      <c r="O409" s="100"/>
      <c r="P409" s="100"/>
      <c r="Q409" s="100"/>
      <c r="R409" s="100"/>
      <c r="S409" s="100"/>
      <c r="T409" s="100"/>
      <c r="U409" s="100"/>
      <c r="V409" s="100"/>
      <c r="W409" s="100"/>
      <c r="X409" s="100"/>
      <c r="Y409" s="100"/>
      <c r="Z409" s="100"/>
      <c r="AA409" s="100"/>
      <c r="AB409" s="100"/>
      <c r="AC409" s="100"/>
      <c r="AD409" s="100"/>
      <c r="AE409" s="100"/>
      <c r="AF409" s="100"/>
      <c r="AG409" s="100"/>
      <c r="AH409" s="100"/>
      <c r="AI409" s="100"/>
      <c r="AJ409" s="100"/>
      <c r="AK409" s="100"/>
      <c r="AL409" s="201"/>
      <c r="AM409" s="197"/>
      <c r="AN409" s="200"/>
      <c r="AO409" s="172"/>
      <c r="AP409" s="74"/>
    </row>
    <row r="410" spans="1:42" s="105" customFormat="1">
      <c r="A410" s="159"/>
      <c r="B410" s="172"/>
      <c r="C410" s="172"/>
      <c r="D410" s="172"/>
      <c r="E410" s="172"/>
      <c r="F410" s="100"/>
      <c r="G410" s="100"/>
      <c r="H410" s="100"/>
      <c r="I410" s="100"/>
      <c r="J410" s="100"/>
      <c r="K410" s="100"/>
      <c r="L410" s="100"/>
      <c r="M410" s="100"/>
      <c r="N410" s="100"/>
      <c r="O410" s="100"/>
      <c r="P410" s="100"/>
      <c r="Q410" s="100"/>
      <c r="R410" s="100"/>
      <c r="S410" s="100"/>
      <c r="T410" s="100"/>
      <c r="U410" s="100"/>
      <c r="V410" s="100"/>
      <c r="W410" s="100"/>
      <c r="X410" s="100"/>
      <c r="Y410" s="100"/>
      <c r="Z410" s="100"/>
      <c r="AA410" s="100"/>
      <c r="AB410" s="100"/>
      <c r="AC410" s="100"/>
      <c r="AD410" s="100"/>
      <c r="AE410" s="100"/>
      <c r="AF410" s="100"/>
      <c r="AG410" s="100"/>
      <c r="AH410" s="100"/>
      <c r="AI410" s="100"/>
      <c r="AJ410" s="100"/>
      <c r="AK410" s="100"/>
      <c r="AL410" s="201"/>
      <c r="AM410" s="197"/>
      <c r="AN410" s="200"/>
      <c r="AO410" s="172"/>
      <c r="AP410" s="74"/>
    </row>
    <row r="411" spans="1:42" s="105" customFormat="1">
      <c r="A411" s="159"/>
      <c r="B411" s="172"/>
      <c r="C411" s="172"/>
      <c r="D411" s="172"/>
      <c r="E411" s="172"/>
      <c r="F411" s="100"/>
      <c r="G411" s="100"/>
      <c r="H411" s="100"/>
      <c r="I411" s="100"/>
      <c r="J411" s="100"/>
      <c r="K411" s="100"/>
      <c r="L411" s="100"/>
      <c r="M411" s="100"/>
      <c r="N411" s="100"/>
      <c r="O411" s="100"/>
      <c r="P411" s="100"/>
      <c r="Q411" s="100"/>
      <c r="R411" s="100"/>
      <c r="S411" s="100"/>
      <c r="T411" s="100"/>
      <c r="U411" s="100"/>
      <c r="V411" s="100"/>
      <c r="W411" s="100"/>
      <c r="X411" s="100"/>
      <c r="Y411" s="100"/>
      <c r="Z411" s="100"/>
      <c r="AA411" s="100"/>
      <c r="AB411" s="100"/>
      <c r="AC411" s="100"/>
      <c r="AD411" s="100"/>
      <c r="AE411" s="100"/>
      <c r="AF411" s="100"/>
      <c r="AG411" s="100"/>
      <c r="AH411" s="100"/>
      <c r="AI411" s="100"/>
      <c r="AJ411" s="100"/>
      <c r="AK411" s="100"/>
      <c r="AL411" s="201"/>
      <c r="AM411" s="197"/>
      <c r="AN411" s="200"/>
      <c r="AO411" s="172"/>
      <c r="AP411" s="74"/>
    </row>
    <row r="412" spans="1:42" s="105" customFormat="1">
      <c r="A412" s="159"/>
      <c r="B412" s="172"/>
      <c r="C412" s="172"/>
      <c r="D412" s="172"/>
      <c r="E412" s="172"/>
      <c r="F412" s="100"/>
      <c r="G412" s="100"/>
      <c r="H412" s="100"/>
      <c r="I412" s="100"/>
      <c r="J412" s="100"/>
      <c r="K412" s="100"/>
      <c r="L412" s="100"/>
      <c r="M412" s="100"/>
      <c r="N412" s="100"/>
      <c r="O412" s="100"/>
      <c r="P412" s="100"/>
      <c r="Q412" s="100"/>
      <c r="R412" s="100"/>
      <c r="S412" s="100"/>
      <c r="T412" s="100"/>
      <c r="U412" s="100"/>
      <c r="V412" s="100"/>
      <c r="W412" s="100"/>
      <c r="X412" s="100"/>
      <c r="Y412" s="100"/>
      <c r="Z412" s="100"/>
      <c r="AA412" s="100"/>
      <c r="AB412" s="100"/>
      <c r="AC412" s="100"/>
      <c r="AD412" s="100"/>
      <c r="AE412" s="100"/>
      <c r="AF412" s="100"/>
      <c r="AG412" s="100"/>
      <c r="AH412" s="100"/>
      <c r="AI412" s="100"/>
      <c r="AJ412" s="100"/>
      <c r="AK412" s="100"/>
      <c r="AL412" s="201"/>
      <c r="AM412" s="197"/>
      <c r="AN412" s="200"/>
      <c r="AO412" s="172"/>
      <c r="AP412" s="74"/>
    </row>
    <row r="413" spans="1:42" s="105" customFormat="1">
      <c r="A413" s="159"/>
      <c r="B413" s="172"/>
      <c r="C413" s="172"/>
      <c r="D413" s="172"/>
      <c r="E413" s="172"/>
      <c r="F413" s="100"/>
      <c r="G413" s="100"/>
      <c r="H413" s="100"/>
      <c r="I413" s="100"/>
      <c r="J413" s="100"/>
      <c r="K413" s="100"/>
      <c r="L413" s="100"/>
      <c r="M413" s="100"/>
      <c r="N413" s="100"/>
      <c r="O413" s="100"/>
      <c r="P413" s="100"/>
      <c r="Q413" s="100"/>
      <c r="R413" s="100"/>
      <c r="S413" s="100"/>
      <c r="T413" s="100"/>
      <c r="U413" s="100"/>
      <c r="V413" s="100"/>
      <c r="W413" s="100"/>
      <c r="X413" s="100"/>
      <c r="Y413" s="100"/>
      <c r="Z413" s="100"/>
      <c r="AA413" s="100"/>
      <c r="AB413" s="100"/>
      <c r="AC413" s="100"/>
      <c r="AD413" s="100"/>
      <c r="AE413" s="100"/>
      <c r="AF413" s="100"/>
      <c r="AG413" s="100"/>
      <c r="AH413" s="100"/>
      <c r="AI413" s="100"/>
      <c r="AJ413" s="100"/>
      <c r="AK413" s="100"/>
      <c r="AL413" s="201"/>
      <c r="AM413" s="197"/>
      <c r="AN413" s="200"/>
      <c r="AO413" s="172"/>
      <c r="AP413" s="74"/>
    </row>
    <row r="414" spans="1:42" s="105" customFormat="1">
      <c r="A414" s="159"/>
      <c r="B414" s="172"/>
      <c r="C414" s="172"/>
      <c r="D414" s="172"/>
      <c r="E414" s="172"/>
      <c r="F414" s="100"/>
      <c r="G414" s="100"/>
      <c r="H414" s="100"/>
      <c r="I414" s="100"/>
      <c r="J414" s="100"/>
      <c r="K414" s="100"/>
      <c r="L414" s="100"/>
      <c r="M414" s="100"/>
      <c r="N414" s="100"/>
      <c r="O414" s="100"/>
      <c r="P414" s="100"/>
      <c r="Q414" s="100"/>
      <c r="R414" s="100"/>
      <c r="S414" s="100"/>
      <c r="T414" s="100"/>
      <c r="U414" s="100"/>
      <c r="V414" s="100"/>
      <c r="W414" s="100"/>
      <c r="X414" s="100"/>
      <c r="Y414" s="100"/>
      <c r="Z414" s="100"/>
      <c r="AA414" s="100"/>
      <c r="AB414" s="100"/>
      <c r="AC414" s="100"/>
      <c r="AD414" s="100"/>
      <c r="AE414" s="100"/>
      <c r="AF414" s="100"/>
      <c r="AG414" s="100"/>
      <c r="AH414" s="100"/>
      <c r="AI414" s="100"/>
      <c r="AJ414" s="100"/>
      <c r="AK414" s="100"/>
      <c r="AL414" s="201"/>
      <c r="AM414" s="197"/>
      <c r="AN414" s="200"/>
      <c r="AO414" s="172"/>
      <c r="AP414" s="74"/>
    </row>
    <row r="415" spans="1:42" s="105" customFormat="1">
      <c r="A415" s="159"/>
      <c r="B415" s="172"/>
      <c r="C415" s="172"/>
      <c r="D415" s="172"/>
      <c r="E415" s="172"/>
      <c r="F415" s="100"/>
      <c r="G415" s="100"/>
      <c r="H415" s="100"/>
      <c r="I415" s="100"/>
      <c r="J415" s="100"/>
      <c r="K415" s="100"/>
      <c r="L415" s="100"/>
      <c r="M415" s="100"/>
      <c r="N415" s="100"/>
      <c r="O415" s="100"/>
      <c r="P415" s="100"/>
      <c r="Q415" s="100"/>
      <c r="R415" s="100"/>
      <c r="S415" s="100"/>
      <c r="T415" s="100"/>
      <c r="U415" s="100"/>
      <c r="V415" s="100"/>
      <c r="W415" s="100"/>
      <c r="X415" s="100"/>
      <c r="Y415" s="100"/>
      <c r="Z415" s="100"/>
      <c r="AA415" s="100"/>
      <c r="AB415" s="100"/>
      <c r="AC415" s="100"/>
      <c r="AD415" s="100"/>
      <c r="AE415" s="100"/>
      <c r="AF415" s="100"/>
      <c r="AG415" s="100"/>
      <c r="AH415" s="100"/>
      <c r="AI415" s="100"/>
      <c r="AJ415" s="100"/>
      <c r="AK415" s="100"/>
      <c r="AL415" s="201"/>
      <c r="AM415" s="197"/>
      <c r="AN415" s="200"/>
      <c r="AO415" s="172"/>
      <c r="AP415" s="74"/>
    </row>
    <row r="416" spans="1:42">
      <c r="A416" s="242" t="str">
        <f>A139</f>
        <v>D65</v>
      </c>
      <c r="B416" s="242" t="str">
        <f>B139</f>
        <v>LO</v>
      </c>
      <c r="C416" s="210" t="str">
        <f>C398</f>
        <v>R</v>
      </c>
      <c r="D416" s="172"/>
      <c r="E416" s="172"/>
      <c r="F416" s="106" t="str">
        <f>IF(F$305,F63,"")</f>
        <v/>
      </c>
      <c r="G416" s="106" t="str">
        <f t="shared" ref="G416:AK416" si="322">IF(G$305,G63,"")</f>
        <v/>
      </c>
      <c r="H416" s="106">
        <f t="shared" si="322"/>
        <v>6.8150606155395508</v>
      </c>
      <c r="I416" s="106">
        <f t="shared" si="322"/>
        <v>8.010986328125</v>
      </c>
      <c r="J416" s="106" t="str">
        <f t="shared" si="322"/>
        <v/>
      </c>
      <c r="K416" s="106">
        <f t="shared" si="322"/>
        <v>7.455939769744873</v>
      </c>
      <c r="L416" s="106">
        <f t="shared" si="322"/>
        <v>7.9137101173400879</v>
      </c>
      <c r="M416" s="106" t="str">
        <f t="shared" si="322"/>
        <v/>
      </c>
      <c r="N416" s="106">
        <f t="shared" si="322"/>
        <v>7.7649345397949219</v>
      </c>
      <c r="O416" s="106">
        <f t="shared" si="322"/>
        <v>7.1412224769592285</v>
      </c>
      <c r="P416" s="106">
        <f t="shared" si="322"/>
        <v>7.6390476226806641</v>
      </c>
      <c r="Q416" s="106">
        <f t="shared" si="322"/>
        <v>7.9251546859741211</v>
      </c>
      <c r="R416" s="106">
        <f t="shared" si="322"/>
        <v>7.7306017875671387</v>
      </c>
      <c r="S416" s="106">
        <f t="shared" si="322"/>
        <v>7.8107118606567383</v>
      </c>
      <c r="T416" s="106">
        <f t="shared" si="322"/>
        <v>7.7134356498718262</v>
      </c>
      <c r="U416" s="106">
        <f t="shared" si="322"/>
        <v>7.6962690353393555</v>
      </c>
      <c r="V416" s="106">
        <f t="shared" si="322"/>
        <v>7.6676583290100098</v>
      </c>
      <c r="W416" s="106">
        <f t="shared" si="322"/>
        <v>7.5703821182250977</v>
      </c>
      <c r="X416" s="106">
        <f t="shared" si="322"/>
        <v>7.4044404029846191</v>
      </c>
      <c r="Y416" s="106">
        <f t="shared" si="322"/>
        <v>7.7363243103027344</v>
      </c>
      <c r="Z416" s="106">
        <f t="shared" si="322"/>
        <v>9.1153583526611328</v>
      </c>
      <c r="AA416" s="106">
        <f t="shared" si="322"/>
        <v>7.6447701454162598</v>
      </c>
      <c r="AB416" s="106">
        <f t="shared" si="322"/>
        <v>7.1755552291870117</v>
      </c>
      <c r="AC416" s="106">
        <f t="shared" si="322"/>
        <v>7.4731059074401855</v>
      </c>
      <c r="AD416" s="106">
        <f t="shared" si="322"/>
        <v>8.3257036209106445</v>
      </c>
      <c r="AE416" s="106">
        <f t="shared" si="322"/>
        <v>8.3772029876708984</v>
      </c>
      <c r="AF416" s="106" t="str">
        <f t="shared" si="322"/>
        <v/>
      </c>
      <c r="AG416" s="106">
        <f t="shared" si="322"/>
        <v>7.3872737884521484</v>
      </c>
      <c r="AH416" s="106">
        <f t="shared" si="322"/>
        <v>8.3657588958740234</v>
      </c>
      <c r="AI416" s="106">
        <f t="shared" si="322"/>
        <v>8.1139850616455078</v>
      </c>
      <c r="AJ416" s="106">
        <f t="shared" si="322"/>
        <v>7.8679332733154297</v>
      </c>
      <c r="AK416" s="106">
        <f t="shared" si="322"/>
        <v>7.009613037109375</v>
      </c>
      <c r="AL416" s="199">
        <f t="shared" ref="AL416:AL423" si="323">AVERAGE(F416:AK416)</f>
        <v>7.7352644425851329</v>
      </c>
      <c r="AM416" s="194">
        <f t="shared" ref="AM416:AM423" si="324">STDEV(F416:AK416)</f>
        <v>0.47403476952440921</v>
      </c>
      <c r="AN416" s="200">
        <f t="shared" ref="AN416:AN423" si="325">AM416/AL416</f>
        <v>6.1282296557916553E-2</v>
      </c>
      <c r="AO416" s="172"/>
      <c r="AP416" s="74"/>
    </row>
    <row r="417" spans="1:42">
      <c r="A417" s="242"/>
      <c r="B417" s="242"/>
      <c r="C417" s="210" t="str">
        <f t="shared" ref="C417:C419" si="326">C399</f>
        <v>G</v>
      </c>
      <c r="D417" s="172"/>
      <c r="E417" s="172"/>
      <c r="F417" s="106" t="str">
        <f t="shared" ref="F417:AK417" si="327">IF(F$305,F64*(1+IF(cmpSet&lt;64,cmpSet*F139,F141+(cmpSet-64)*F140)),"")</f>
        <v/>
      </c>
      <c r="G417" s="106" t="str">
        <f t="shared" si="327"/>
        <v/>
      </c>
      <c r="H417" s="106">
        <f t="shared" si="327"/>
        <v>6.0790851683843714</v>
      </c>
      <c r="I417" s="106">
        <f t="shared" si="327"/>
        <v>7.2365910666329532</v>
      </c>
      <c r="J417" s="106" t="str">
        <f t="shared" si="327"/>
        <v/>
      </c>
      <c r="K417" s="106">
        <f t="shared" si="327"/>
        <v>7.2330488477434436</v>
      </c>
      <c r="L417" s="106">
        <f t="shared" si="327"/>
        <v>7.0823659896850586</v>
      </c>
      <c r="M417" s="106" t="str">
        <f t="shared" si="327"/>
        <v/>
      </c>
      <c r="N417" s="106">
        <f t="shared" si="327"/>
        <v>6.5709162212553487</v>
      </c>
      <c r="O417" s="106">
        <f t="shared" si="327"/>
        <v>6.4316775912330266</v>
      </c>
      <c r="P417" s="106">
        <f t="shared" si="327"/>
        <v>6.5643766948154996</v>
      </c>
      <c r="Q417" s="106">
        <f t="shared" si="327"/>
        <v>6.822962624686105</v>
      </c>
      <c r="R417" s="106">
        <f t="shared" si="327"/>
        <v>6.5826328368414018</v>
      </c>
      <c r="S417" s="106">
        <f t="shared" si="327"/>
        <v>6.9755529222034278</v>
      </c>
      <c r="T417" s="106">
        <f t="shared" si="327"/>
        <v>6.9115195955548971</v>
      </c>
      <c r="U417" s="106">
        <f t="shared" si="327"/>
        <v>7.0801861172630671</v>
      </c>
      <c r="V417" s="106">
        <f t="shared" si="327"/>
        <v>6.7733706519717254</v>
      </c>
      <c r="W417" s="106">
        <f t="shared" si="327"/>
        <v>7.121058464050293</v>
      </c>
      <c r="X417" s="106">
        <f t="shared" si="327"/>
        <v>7.1556638990129739</v>
      </c>
      <c r="Y417" s="106">
        <f t="shared" si="327"/>
        <v>7.2022582462855746</v>
      </c>
      <c r="Z417" s="106">
        <f t="shared" si="327"/>
        <v>8.1657565888904386</v>
      </c>
      <c r="AA417" s="106">
        <f t="shared" si="327"/>
        <v>6.710154851277669</v>
      </c>
      <c r="AB417" s="106">
        <f t="shared" si="327"/>
        <v>6.2431196485246936</v>
      </c>
      <c r="AC417" s="106">
        <f t="shared" si="327"/>
        <v>6.9780053184145974</v>
      </c>
      <c r="AD417" s="106">
        <f t="shared" si="327"/>
        <v>6.9684685298374704</v>
      </c>
      <c r="AE417" s="106">
        <f t="shared" si="327"/>
        <v>6.3829035077776242</v>
      </c>
      <c r="AF417" s="106" t="str">
        <f t="shared" si="327"/>
        <v/>
      </c>
      <c r="AG417" s="106">
        <f t="shared" si="327"/>
        <v>6.5842680249895373</v>
      </c>
      <c r="AH417" s="106">
        <f t="shared" si="327"/>
        <v>6.9679235730852405</v>
      </c>
      <c r="AI417" s="106">
        <f t="shared" si="327"/>
        <v>7.1681979043143134</v>
      </c>
      <c r="AJ417" s="106">
        <f t="shared" si="327"/>
        <v>7.1295055207752052</v>
      </c>
      <c r="AK417" s="106">
        <f t="shared" si="327"/>
        <v>6.5780008406866166</v>
      </c>
      <c r="AL417" s="199">
        <f t="shared" si="323"/>
        <v>6.877761898007134</v>
      </c>
      <c r="AM417" s="194">
        <f t="shared" si="324"/>
        <v>0.41162425474802256</v>
      </c>
      <c r="AN417" s="200">
        <f t="shared" si="325"/>
        <v>5.984857586699719E-2</v>
      </c>
      <c r="AO417" s="172"/>
      <c r="AP417" s="74"/>
    </row>
    <row r="418" spans="1:42">
      <c r="A418" s="242"/>
      <c r="B418" s="242"/>
      <c r="C418" s="210" t="str">
        <f t="shared" si="326"/>
        <v>B</v>
      </c>
      <c r="D418" s="172"/>
      <c r="E418" s="172"/>
      <c r="F418" s="106" t="str">
        <f t="shared" ref="F418:AK418" si="328">IF(F$305,F65,"")</f>
        <v/>
      </c>
      <c r="G418" s="106" t="str">
        <f t="shared" si="328"/>
        <v/>
      </c>
      <c r="H418" s="106">
        <f t="shared" si="328"/>
        <v>13.412680625915527</v>
      </c>
      <c r="I418" s="106">
        <f t="shared" si="328"/>
        <v>15.569924354553223</v>
      </c>
      <c r="J418" s="106" t="str">
        <f t="shared" si="328"/>
        <v/>
      </c>
      <c r="K418" s="106">
        <f t="shared" si="328"/>
        <v>13.990615844726563</v>
      </c>
      <c r="L418" s="106">
        <f t="shared" si="328"/>
        <v>14.751659393310547</v>
      </c>
      <c r="M418" s="106" t="str">
        <f t="shared" si="328"/>
        <v/>
      </c>
      <c r="N418" s="106">
        <f t="shared" si="328"/>
        <v>13.956282615661621</v>
      </c>
      <c r="O418" s="106">
        <f t="shared" si="328"/>
        <v>12.989242553710937</v>
      </c>
      <c r="P418" s="106">
        <f t="shared" si="328"/>
        <v>12.817578315734863</v>
      </c>
      <c r="Q418" s="106">
        <f t="shared" si="328"/>
        <v>13.887617111206055</v>
      </c>
      <c r="R418" s="106">
        <f t="shared" si="328"/>
        <v>12.771800994873047</v>
      </c>
      <c r="S418" s="106">
        <f t="shared" si="328"/>
        <v>13.361181259155273</v>
      </c>
      <c r="T418" s="106">
        <f t="shared" si="328"/>
        <v>13.223850250244141</v>
      </c>
      <c r="U418" s="106">
        <f t="shared" si="328"/>
        <v>12.497138977050781</v>
      </c>
      <c r="V418" s="106">
        <f t="shared" si="328"/>
        <v>13.859006881713867</v>
      </c>
      <c r="W418" s="106">
        <f t="shared" si="328"/>
        <v>14.328221321105957</v>
      </c>
      <c r="X418" s="106">
        <f t="shared" si="328"/>
        <v>14.105058670043945</v>
      </c>
      <c r="Y418" s="106">
        <f t="shared" si="328"/>
        <v>15.478370666503906</v>
      </c>
      <c r="Z418" s="106">
        <f t="shared" si="328"/>
        <v>16.239414215087891</v>
      </c>
      <c r="AA418" s="106">
        <f t="shared" si="328"/>
        <v>13.384069442749023</v>
      </c>
      <c r="AB418" s="106">
        <f t="shared" si="328"/>
        <v>14.007781982421875</v>
      </c>
      <c r="AC418" s="106">
        <f t="shared" si="328"/>
        <v>14.311055183410645</v>
      </c>
      <c r="AD418" s="106">
        <f t="shared" si="328"/>
        <v>15.787365913391113</v>
      </c>
      <c r="AE418" s="106">
        <f t="shared" si="328"/>
        <v>15.569924354553223</v>
      </c>
      <c r="AF418" s="106" t="str">
        <f t="shared" si="328"/>
        <v/>
      </c>
      <c r="AG418" s="106">
        <f t="shared" si="328"/>
        <v>12.382696151733398</v>
      </c>
      <c r="AH418" s="106">
        <f t="shared" si="328"/>
        <v>15.632867813110352</v>
      </c>
      <c r="AI418" s="106">
        <f t="shared" si="328"/>
        <v>12.399862289428711</v>
      </c>
      <c r="AJ418" s="106">
        <f t="shared" si="328"/>
        <v>14.208056449890137</v>
      </c>
      <c r="AK418" s="106">
        <f t="shared" si="328"/>
        <v>12.130922317504883</v>
      </c>
      <c r="AL418" s="199">
        <f t="shared" si="323"/>
        <v>13.964972072177464</v>
      </c>
      <c r="AM418" s="194">
        <f t="shared" si="324"/>
        <v>1.1669692677278694</v>
      </c>
      <c r="AN418" s="200">
        <f t="shared" si="325"/>
        <v>8.3564024453212649E-2</v>
      </c>
      <c r="AO418" s="172"/>
      <c r="AP418" s="74"/>
    </row>
    <row r="419" spans="1:42">
      <c r="A419" s="242"/>
      <c r="B419" s="242"/>
      <c r="C419" s="210" t="str">
        <f t="shared" si="326"/>
        <v>ΔIR</v>
      </c>
      <c r="D419" s="172"/>
      <c r="E419" s="172"/>
      <c r="F419" s="100" t="str">
        <f>IF(F142&lt;&gt;"",F142,"")</f>
        <v/>
      </c>
      <c r="G419" s="100" t="str">
        <f t="shared" ref="G419:AK419" si="329">IF(G142&lt;&gt;"",G142,"")</f>
        <v/>
      </c>
      <c r="H419" s="100">
        <f t="shared" si="329"/>
        <v>-7.5864881931524157E-3</v>
      </c>
      <c r="I419" s="100">
        <f t="shared" si="329"/>
        <v>-7.4944394349886435E-3</v>
      </c>
      <c r="J419" s="100" t="str">
        <f t="shared" si="329"/>
        <v/>
      </c>
      <c r="K419" s="100">
        <f t="shared" si="329"/>
        <v>-7.024808382567989E-3</v>
      </c>
      <c r="L419" s="100">
        <f t="shared" si="329"/>
        <v>-7.169166155305026E-3</v>
      </c>
      <c r="M419" s="100" t="str">
        <f t="shared" si="329"/>
        <v/>
      </c>
      <c r="N419" s="100">
        <f t="shared" si="329"/>
        <v>-7.2618071397942564E-3</v>
      </c>
      <c r="O419" s="100">
        <f t="shared" si="329"/>
        <v>-7.0301785490802663E-3</v>
      </c>
      <c r="P419" s="100">
        <f t="shared" si="329"/>
        <v>-6.6615169441962161E-3</v>
      </c>
      <c r="Q419" s="100">
        <f t="shared" si="329"/>
        <v>-7.2033256091879961E-3</v>
      </c>
      <c r="R419" s="100">
        <f t="shared" si="329"/>
        <v>-6.7734695795052986E-3</v>
      </c>
      <c r="S419" s="100">
        <f t="shared" si="329"/>
        <v>-6.6085179654815753E-3</v>
      </c>
      <c r="T419" s="100">
        <f t="shared" si="329"/>
        <v>-6.7254551111381282E-3</v>
      </c>
      <c r="U419" s="100">
        <f t="shared" si="329"/>
        <v>-6.0585277446679941E-3</v>
      </c>
      <c r="V419" s="100">
        <f t="shared" si="329"/>
        <v>-7.2631532990574225E-3</v>
      </c>
      <c r="W419" s="100">
        <f t="shared" si="329"/>
        <v>-7.2130342991065946E-3</v>
      </c>
      <c r="X419" s="100">
        <f t="shared" si="329"/>
        <v>-5.8170760933325032E-3</v>
      </c>
      <c r="Y419" s="100">
        <f t="shared" si="329"/>
        <v>-7.4334899344538274E-3</v>
      </c>
      <c r="Z419" s="100">
        <f t="shared" si="329"/>
        <v>-6.9509284206718015E-3</v>
      </c>
      <c r="AA419" s="100">
        <f t="shared" si="329"/>
        <v>-6.9236737417034426E-3</v>
      </c>
      <c r="AB419" s="100">
        <f t="shared" si="329"/>
        <v>-7.6288302810115262E-3</v>
      </c>
      <c r="AC419" s="100">
        <f t="shared" si="329"/>
        <v>-7.2089639693965887E-3</v>
      </c>
      <c r="AD419" s="100">
        <f t="shared" si="329"/>
        <v>-7.6618634060749338E-3</v>
      </c>
      <c r="AE419" s="100">
        <f t="shared" si="329"/>
        <v>-8.0794747078124732E-3</v>
      </c>
      <c r="AF419" s="100" t="str">
        <f t="shared" si="329"/>
        <v/>
      </c>
      <c r="AG419" s="100">
        <f t="shared" si="329"/>
        <v>-6.5943039899844123E-3</v>
      </c>
      <c r="AH419" s="100">
        <f t="shared" si="329"/>
        <v>-7.6545711971193198E-3</v>
      </c>
      <c r="AI419" s="100">
        <f t="shared" si="329"/>
        <v>-5.8319121969856915E-3</v>
      </c>
      <c r="AJ419" s="100">
        <f t="shared" si="329"/>
        <v>-6.9856066670722795E-3</v>
      </c>
      <c r="AK419" s="100">
        <f t="shared" si="329"/>
        <v>-6.3713821756194392E-3</v>
      </c>
      <c r="AL419" s="201">
        <f t="shared" si="323"/>
        <v>-7.0079987106840035E-3</v>
      </c>
      <c r="AM419" s="197">
        <f t="shared" si="324"/>
        <v>5.5860368485253511E-4</v>
      </c>
      <c r="AN419" s="200">
        <f t="shared" si="325"/>
        <v>-7.9709444580935651E-2</v>
      </c>
      <c r="AO419" s="172"/>
      <c r="AP419" s="74"/>
    </row>
    <row r="420" spans="1:42">
      <c r="A420" s="242"/>
      <c r="B420" s="242" t="str">
        <f>B144</f>
        <v>HI</v>
      </c>
      <c r="C420" s="210" t="str">
        <f>C416</f>
        <v>R</v>
      </c>
      <c r="D420" s="172"/>
      <c r="E420" s="172"/>
      <c r="F420" s="106" t="str">
        <f>IF(F$305,F69,"")</f>
        <v/>
      </c>
      <c r="G420" s="106" t="str">
        <f t="shared" ref="G420:AK420" si="330">IF(G$305,G69,"")</f>
        <v/>
      </c>
      <c r="H420" s="106">
        <f t="shared" si="330"/>
        <v>7.3510336875915527</v>
      </c>
      <c r="I420" s="106">
        <f t="shared" si="330"/>
        <v>8.4458684921264648</v>
      </c>
      <c r="J420" s="106" t="str">
        <f t="shared" si="330"/>
        <v/>
      </c>
      <c r="K420" s="106">
        <f t="shared" si="330"/>
        <v>7.8202486038208008</v>
      </c>
      <c r="L420" s="106">
        <f t="shared" si="330"/>
        <v>8.289463996887207</v>
      </c>
      <c r="M420" s="106" t="str">
        <f t="shared" si="330"/>
        <v/>
      </c>
      <c r="N420" s="106">
        <f t="shared" si="330"/>
        <v>8.7586784362792969</v>
      </c>
      <c r="O420" s="106">
        <f t="shared" si="330"/>
        <v>8.1330585479736328</v>
      </c>
      <c r="P420" s="106">
        <f t="shared" si="330"/>
        <v>8.4458684921264648</v>
      </c>
      <c r="Q420" s="106">
        <f t="shared" si="330"/>
        <v>7.9766535758972168</v>
      </c>
      <c r="R420" s="106">
        <f t="shared" si="330"/>
        <v>7.9766535758972168</v>
      </c>
      <c r="S420" s="106">
        <f t="shared" si="330"/>
        <v>8.4458684921264648</v>
      </c>
      <c r="T420" s="106">
        <f t="shared" si="330"/>
        <v>8.1330585479736328</v>
      </c>
      <c r="U420" s="106">
        <f t="shared" si="330"/>
        <v>7.9766535758972168</v>
      </c>
      <c r="V420" s="106">
        <f t="shared" si="330"/>
        <v>7.9766535758972168</v>
      </c>
      <c r="W420" s="106">
        <f t="shared" si="330"/>
        <v>8.1330585479736328</v>
      </c>
      <c r="X420" s="106">
        <f t="shared" si="330"/>
        <v>7.1946287155151367</v>
      </c>
      <c r="Y420" s="106">
        <f t="shared" si="330"/>
        <v>9.2278938293457031</v>
      </c>
      <c r="Z420" s="106">
        <f t="shared" si="330"/>
        <v>9.3842983245849609</v>
      </c>
      <c r="AA420" s="106">
        <f t="shared" si="330"/>
        <v>8.1330585479736328</v>
      </c>
      <c r="AB420" s="106">
        <f t="shared" si="330"/>
        <v>7.6638436317443848</v>
      </c>
      <c r="AC420" s="106">
        <f t="shared" si="330"/>
        <v>7.8202486038208008</v>
      </c>
      <c r="AD420" s="106">
        <f t="shared" si="330"/>
        <v>8.7586784362792969</v>
      </c>
      <c r="AE420" s="106">
        <f t="shared" si="330"/>
        <v>9.5407037734985352</v>
      </c>
      <c r="AF420" s="106" t="str">
        <f t="shared" si="330"/>
        <v/>
      </c>
      <c r="AG420" s="106">
        <f t="shared" si="330"/>
        <v>7.8202486038208008</v>
      </c>
      <c r="AH420" s="106">
        <f t="shared" si="330"/>
        <v>9.3842983245849609</v>
      </c>
      <c r="AI420" s="106">
        <f t="shared" si="330"/>
        <v>8.4458684921264648</v>
      </c>
      <c r="AJ420" s="106">
        <f t="shared" si="330"/>
        <v>8.4458684921264648</v>
      </c>
      <c r="AK420" s="106">
        <f t="shared" si="330"/>
        <v>7.5074386596679687</v>
      </c>
      <c r="AL420" s="199">
        <f t="shared" si="323"/>
        <v>8.2662924660576707</v>
      </c>
      <c r="AM420" s="194">
        <f t="shared" si="324"/>
        <v>0.6083943835247726</v>
      </c>
      <c r="AN420" s="200">
        <f t="shared" si="325"/>
        <v>7.3599426347774236E-2</v>
      </c>
      <c r="AO420" s="172"/>
      <c r="AP420" s="74"/>
    </row>
    <row r="421" spans="1:42">
      <c r="A421" s="242"/>
      <c r="B421" s="242"/>
      <c r="C421" s="210" t="str">
        <f t="shared" ref="C421:C423" si="331">C417</f>
        <v>G</v>
      </c>
      <c r="D421" s="172"/>
      <c r="E421" s="172"/>
      <c r="F421" s="106" t="str">
        <f t="shared" ref="F421:AK421" si="332">IF(F$305,F70*(1+IF(cmpSet&lt;64,cmpSet*F144,F146+(cmpSet-64)*F145)),"")</f>
        <v/>
      </c>
      <c r="G421" s="106" t="str">
        <f t="shared" si="332"/>
        <v/>
      </c>
      <c r="H421" s="106">
        <f t="shared" si="332"/>
        <v>6.5317695708501908</v>
      </c>
      <c r="I421" s="106">
        <f t="shared" si="332"/>
        <v>7.6563957759312222</v>
      </c>
      <c r="J421" s="106" t="str">
        <f t="shared" si="332"/>
        <v/>
      </c>
      <c r="K421" s="106">
        <f t="shared" si="332"/>
        <v>7.6266043526785721</v>
      </c>
      <c r="L421" s="106">
        <f t="shared" si="332"/>
        <v>7.3212422870454343</v>
      </c>
      <c r="M421" s="106" t="str">
        <f t="shared" si="332"/>
        <v/>
      </c>
      <c r="N421" s="106">
        <f t="shared" si="332"/>
        <v>7.4776472364153186</v>
      </c>
      <c r="O421" s="106">
        <f t="shared" si="332"/>
        <v>7.3063465754191084</v>
      </c>
      <c r="P421" s="106">
        <f t="shared" si="332"/>
        <v>7.2765551521664573</v>
      </c>
      <c r="Q421" s="106">
        <f t="shared" si="332"/>
        <v>6.8222359248570035</v>
      </c>
      <c r="R421" s="106">
        <f t="shared" si="332"/>
        <v>6.7998923801240467</v>
      </c>
      <c r="S421" s="106">
        <f t="shared" si="332"/>
        <v>7.5968129294259219</v>
      </c>
      <c r="T421" s="106">
        <f t="shared" si="332"/>
        <v>7.2914508637927824</v>
      </c>
      <c r="U421" s="106">
        <f t="shared" si="332"/>
        <v>7.4031686782836914</v>
      </c>
      <c r="V421" s="106">
        <f t="shared" si="332"/>
        <v>6.9935366312662763</v>
      </c>
      <c r="W421" s="106">
        <f t="shared" si="332"/>
        <v>7.6489479428245906</v>
      </c>
      <c r="X421" s="106">
        <f t="shared" si="332"/>
        <v>6.986088752746582</v>
      </c>
      <c r="Y421" s="106">
        <f t="shared" si="332"/>
        <v>8.6320653642926892</v>
      </c>
      <c r="Z421" s="106">
        <f t="shared" si="332"/>
        <v>8.2745678311302555</v>
      </c>
      <c r="AA421" s="106">
        <f t="shared" si="332"/>
        <v>7.1275980359032038</v>
      </c>
      <c r="AB421" s="106">
        <f t="shared" si="332"/>
        <v>6.688174520220076</v>
      </c>
      <c r="AC421" s="106">
        <f t="shared" si="332"/>
        <v>7.3137944085257391</v>
      </c>
      <c r="AD421" s="106">
        <f t="shared" si="332"/>
        <v>7.3510337102980827</v>
      </c>
      <c r="AE421" s="106">
        <f t="shared" si="332"/>
        <v>7.2244201387677878</v>
      </c>
      <c r="AF421" s="106" t="str">
        <f t="shared" si="332"/>
        <v/>
      </c>
      <c r="AG421" s="106">
        <f t="shared" si="332"/>
        <v>6.956297329493931</v>
      </c>
      <c r="AH421" s="106">
        <f t="shared" si="332"/>
        <v>7.8425921939668193</v>
      </c>
      <c r="AI421" s="106">
        <f t="shared" si="332"/>
        <v>7.3957208451770597</v>
      </c>
      <c r="AJ421" s="106">
        <f t="shared" si="332"/>
        <v>7.6266043526785721</v>
      </c>
      <c r="AK421" s="106">
        <f t="shared" si="332"/>
        <v>7.0978066126505528</v>
      </c>
      <c r="AL421" s="199">
        <f t="shared" si="323"/>
        <v>7.3433100147011849</v>
      </c>
      <c r="AM421" s="194">
        <f t="shared" si="324"/>
        <v>0.45586855472390081</v>
      </c>
      <c r="AN421" s="200">
        <f t="shared" si="325"/>
        <v>6.2079437448679074E-2</v>
      </c>
      <c r="AO421" s="172"/>
      <c r="AP421" s="74"/>
    </row>
    <row r="422" spans="1:42">
      <c r="A422" s="242"/>
      <c r="B422" s="242"/>
      <c r="C422" s="210" t="str">
        <f t="shared" si="331"/>
        <v>B</v>
      </c>
      <c r="D422" s="172"/>
      <c r="E422" s="172"/>
      <c r="F422" s="106" t="str">
        <f t="shared" ref="F422:AK422" si="333">IF(F$305,F71,"")</f>
        <v/>
      </c>
      <c r="G422" s="106" t="str">
        <f t="shared" si="333"/>
        <v/>
      </c>
      <c r="H422" s="106">
        <f t="shared" si="333"/>
        <v>14.545662879943848</v>
      </c>
      <c r="I422" s="106">
        <f t="shared" si="333"/>
        <v>16.422521591186523</v>
      </c>
      <c r="J422" s="106" t="str">
        <f t="shared" si="333"/>
        <v/>
      </c>
      <c r="K422" s="106">
        <f t="shared" si="333"/>
        <v>14.702067375183105</v>
      </c>
      <c r="L422" s="106">
        <f t="shared" si="333"/>
        <v>15.32768726348877</v>
      </c>
      <c r="M422" s="106" t="str">
        <f t="shared" si="333"/>
        <v/>
      </c>
      <c r="N422" s="106">
        <f t="shared" si="333"/>
        <v>15.796902656555176</v>
      </c>
      <c r="O422" s="106">
        <f t="shared" si="333"/>
        <v>14.702067375183105</v>
      </c>
      <c r="P422" s="106">
        <f t="shared" si="333"/>
        <v>14.076447486877441</v>
      </c>
      <c r="Q422" s="106">
        <f t="shared" si="333"/>
        <v>13.763637542724609</v>
      </c>
      <c r="R422" s="106">
        <f t="shared" si="333"/>
        <v>13.138017654418945</v>
      </c>
      <c r="S422" s="106">
        <f t="shared" si="333"/>
        <v>14.545662879943848</v>
      </c>
      <c r="T422" s="106">
        <f t="shared" si="333"/>
        <v>14.076447486877441</v>
      </c>
      <c r="U422" s="106">
        <f t="shared" si="333"/>
        <v>12.981613159179687</v>
      </c>
      <c r="V422" s="106">
        <f t="shared" si="333"/>
        <v>14.232852935791016</v>
      </c>
      <c r="W422" s="106">
        <f t="shared" si="333"/>
        <v>15.484092712402344</v>
      </c>
      <c r="X422" s="106">
        <f t="shared" si="333"/>
        <v>13.763637542724609</v>
      </c>
      <c r="Y422" s="106">
        <f t="shared" si="333"/>
        <v>18.455787658691406</v>
      </c>
      <c r="Z422" s="106">
        <f t="shared" si="333"/>
        <v>16.578927993774414</v>
      </c>
      <c r="AA422" s="106">
        <f t="shared" si="333"/>
        <v>14.076447486877441</v>
      </c>
      <c r="AB422" s="106">
        <f t="shared" si="333"/>
        <v>14.85847282409668</v>
      </c>
      <c r="AC422" s="106">
        <f t="shared" si="333"/>
        <v>15.014877319335938</v>
      </c>
      <c r="AD422" s="106">
        <f t="shared" si="333"/>
        <v>16.735332489013672</v>
      </c>
      <c r="AE422" s="106">
        <f t="shared" si="333"/>
        <v>17.673761367797852</v>
      </c>
      <c r="AF422" s="106" t="str">
        <f t="shared" si="333"/>
        <v/>
      </c>
      <c r="AG422" s="106">
        <f t="shared" si="333"/>
        <v>13.138017654418945</v>
      </c>
      <c r="AH422" s="106">
        <f t="shared" si="333"/>
        <v>17.673761367797852</v>
      </c>
      <c r="AI422" s="106">
        <f t="shared" si="333"/>
        <v>12.825207710266113</v>
      </c>
      <c r="AJ422" s="106">
        <f t="shared" si="333"/>
        <v>15.32768726348877</v>
      </c>
      <c r="AK422" s="106">
        <f t="shared" si="333"/>
        <v>12.981613159179687</v>
      </c>
      <c r="AL422" s="199">
        <f t="shared" si="323"/>
        <v>14.922193068045157</v>
      </c>
      <c r="AM422" s="194">
        <f t="shared" si="324"/>
        <v>1.5356751054468669</v>
      </c>
      <c r="AN422" s="200">
        <f t="shared" si="325"/>
        <v>0.10291215898656403</v>
      </c>
      <c r="AO422" s="172"/>
      <c r="AP422" s="74"/>
    </row>
    <row r="423" spans="1:42" s="105" customFormat="1">
      <c r="A423" s="242"/>
      <c r="B423" s="242"/>
      <c r="C423" s="210" t="str">
        <f t="shared" si="331"/>
        <v>ΔIR</v>
      </c>
      <c r="D423" s="172"/>
      <c r="E423" s="172"/>
      <c r="F423" s="100" t="str">
        <f>IF(F147&lt;&gt;"",F147,"")</f>
        <v/>
      </c>
      <c r="G423" s="100" t="str">
        <f t="shared" ref="G423:AK423" si="334">IF(G147&lt;&gt;"",G149,"")</f>
        <v/>
      </c>
      <c r="H423" s="100">
        <f t="shared" si="334"/>
        <v>-7.6068909306060851E-3</v>
      </c>
      <c r="I423" s="100">
        <f t="shared" si="334"/>
        <v>-7.4449109151855193E-3</v>
      </c>
      <c r="J423" s="100" t="str">
        <f t="shared" si="334"/>
        <v/>
      </c>
      <c r="K423" s="100">
        <f t="shared" si="334"/>
        <v>-7.0082469728410621E-3</v>
      </c>
      <c r="L423" s="100">
        <f t="shared" si="334"/>
        <v>-7.2181651825414042E-3</v>
      </c>
      <c r="M423" s="100" t="str">
        <f t="shared" si="334"/>
        <v/>
      </c>
      <c r="N423" s="100">
        <f t="shared" si="334"/>
        <v>-7.2212285887935761E-3</v>
      </c>
      <c r="O423" s="100">
        <f t="shared" si="334"/>
        <v>-7.0424263011657513E-3</v>
      </c>
      <c r="P423" s="100">
        <f t="shared" si="334"/>
        <v>-6.6290476683182279E-3</v>
      </c>
      <c r="Q423" s="100">
        <f t="shared" si="334"/>
        <v>-7.1522058288212322E-3</v>
      </c>
      <c r="R423" s="100">
        <f t="shared" si="334"/>
        <v>-6.757032871299298E-3</v>
      </c>
      <c r="S423" s="100">
        <f t="shared" si="334"/>
        <v>-6.5780685065503115E-3</v>
      </c>
      <c r="T423" s="100">
        <f t="shared" si="334"/>
        <v>-6.7784400065054283E-3</v>
      </c>
      <c r="U423" s="100">
        <f t="shared" si="334"/>
        <v>-6.0322668753370005E-3</v>
      </c>
      <c r="V423" s="100">
        <f t="shared" si="334"/>
        <v>-7.2482133442682561E-3</v>
      </c>
      <c r="W423" s="100">
        <f t="shared" si="334"/>
        <v>-7.2554864660117138E-3</v>
      </c>
      <c r="X423" s="100">
        <f t="shared" si="334"/>
        <v>-6.4697916079198125E-3</v>
      </c>
      <c r="Y423" s="100">
        <f t="shared" si="334"/>
        <v>-7.4044152080010488E-3</v>
      </c>
      <c r="Z423" s="100">
        <f t="shared" si="334"/>
        <v>-6.9640392764994362E-3</v>
      </c>
      <c r="AA423" s="100">
        <f t="shared" si="334"/>
        <v>-6.8631975946337924E-3</v>
      </c>
      <c r="AB423" s="100">
        <f t="shared" si="334"/>
        <v>-7.5791689052595278E-3</v>
      </c>
      <c r="AC423" s="100">
        <f t="shared" si="334"/>
        <v>-7.1855892243421187E-3</v>
      </c>
      <c r="AD423" s="100">
        <f t="shared" si="334"/>
        <v>-7.662349471412885E-3</v>
      </c>
      <c r="AE423" s="100">
        <f t="shared" si="334"/>
        <v>-8.0961747436769597E-3</v>
      </c>
      <c r="AF423" s="100" t="str">
        <f t="shared" si="334"/>
        <v/>
      </c>
      <c r="AG423" s="100">
        <f t="shared" si="334"/>
        <v>-6.6219053197455312E-3</v>
      </c>
      <c r="AH423" s="100">
        <f t="shared" si="334"/>
        <v>-7.6675315085733215E-3</v>
      </c>
      <c r="AI423" s="100">
        <f t="shared" si="334"/>
        <v>-5.8513770509955616E-3</v>
      </c>
      <c r="AJ423" s="100">
        <f t="shared" si="334"/>
        <v>-6.9886461150932069E-3</v>
      </c>
      <c r="AK423" s="100">
        <f t="shared" si="334"/>
        <v>-6.3385506048344014E-3</v>
      </c>
      <c r="AL423" s="202">
        <f t="shared" si="323"/>
        <v>-7.0246432255271288E-3</v>
      </c>
      <c r="AM423" s="203">
        <f t="shared" si="324"/>
        <v>5.1809495330484953E-4</v>
      </c>
      <c r="AN423" s="204">
        <f t="shared" si="325"/>
        <v>-7.3753916985011256E-2</v>
      </c>
      <c r="AO423" s="172"/>
      <c r="AP423" s="74"/>
    </row>
    <row r="424" spans="1:42" s="105" customFormat="1">
      <c r="A424" s="159"/>
      <c r="B424" s="172"/>
      <c r="C424" s="172"/>
      <c r="D424" s="172"/>
      <c r="E424" s="172"/>
      <c r="F424" s="100"/>
      <c r="G424" s="100"/>
      <c r="H424" s="100"/>
      <c r="I424" s="100"/>
      <c r="J424" s="100"/>
      <c r="K424" s="100"/>
      <c r="L424" s="100"/>
      <c r="M424" s="100"/>
      <c r="N424" s="100"/>
      <c r="O424" s="100"/>
      <c r="P424" s="100"/>
      <c r="Q424" s="100"/>
      <c r="R424" s="100"/>
      <c r="S424" s="100"/>
      <c r="T424" s="100"/>
      <c r="U424" s="100"/>
      <c r="V424" s="100"/>
      <c r="W424" s="100"/>
      <c r="X424" s="100"/>
      <c r="Y424" s="100"/>
      <c r="Z424" s="100"/>
      <c r="AA424" s="100"/>
      <c r="AB424" s="100"/>
      <c r="AC424" s="100"/>
      <c r="AD424" s="100"/>
      <c r="AE424" s="100"/>
      <c r="AF424" s="100"/>
      <c r="AG424" s="100"/>
      <c r="AH424" s="100"/>
      <c r="AI424" s="100"/>
      <c r="AJ424" s="100"/>
      <c r="AK424" s="100"/>
      <c r="AL424" s="103"/>
      <c r="AM424" s="103"/>
      <c r="AN424" s="56"/>
      <c r="AO424" s="172"/>
      <c r="AP424" s="74"/>
    </row>
    <row r="425" spans="1:42" s="193" customFormat="1">
      <c r="A425" s="208"/>
      <c r="B425" s="210"/>
      <c r="C425" s="210"/>
      <c r="D425" s="210"/>
      <c r="E425" s="210"/>
      <c r="F425" s="100"/>
      <c r="G425" s="100"/>
      <c r="H425" s="100"/>
      <c r="I425" s="100"/>
      <c r="J425" s="100"/>
      <c r="K425" s="100"/>
      <c r="L425" s="100"/>
      <c r="M425" s="100"/>
      <c r="N425" s="100"/>
      <c r="O425" s="100"/>
      <c r="P425" s="100"/>
      <c r="Q425" s="100"/>
      <c r="R425" s="100"/>
      <c r="S425" s="100"/>
      <c r="T425" s="100"/>
      <c r="U425" s="100"/>
      <c r="V425" s="100"/>
      <c r="W425" s="100"/>
      <c r="X425" s="100"/>
      <c r="Y425" s="100"/>
      <c r="Z425" s="100"/>
      <c r="AA425" s="100"/>
      <c r="AB425" s="100"/>
      <c r="AC425" s="100"/>
      <c r="AD425" s="100"/>
      <c r="AE425" s="100"/>
      <c r="AF425" s="100"/>
      <c r="AG425" s="100"/>
      <c r="AH425" s="100"/>
      <c r="AI425" s="100"/>
      <c r="AJ425" s="100"/>
      <c r="AK425" s="100"/>
      <c r="AL425" s="197"/>
      <c r="AM425" s="197"/>
      <c r="AN425" s="56"/>
      <c r="AO425" s="210"/>
      <c r="AP425" s="74"/>
    </row>
    <row r="426" spans="1:42" s="193" customFormat="1">
      <c r="A426" s="208"/>
      <c r="B426" s="210"/>
      <c r="C426" s="210"/>
      <c r="D426" s="210"/>
      <c r="E426" s="210"/>
      <c r="F426" s="100"/>
      <c r="G426" s="100"/>
      <c r="H426" s="100"/>
      <c r="I426" s="100"/>
      <c r="J426" s="100"/>
      <c r="K426" s="100"/>
      <c r="L426" s="100"/>
      <c r="M426" s="100"/>
      <c r="N426" s="100"/>
      <c r="O426" s="100"/>
      <c r="P426" s="100"/>
      <c r="Q426" s="100"/>
      <c r="R426" s="100"/>
      <c r="S426" s="100"/>
      <c r="T426" s="100"/>
      <c r="U426" s="100"/>
      <c r="V426" s="100"/>
      <c r="W426" s="100"/>
      <c r="X426" s="100"/>
      <c r="Y426" s="100"/>
      <c r="Z426" s="100"/>
      <c r="AA426" s="100"/>
      <c r="AB426" s="100"/>
      <c r="AC426" s="100"/>
      <c r="AD426" s="100"/>
      <c r="AE426" s="100"/>
      <c r="AF426" s="100"/>
      <c r="AG426" s="100"/>
      <c r="AH426" s="100"/>
      <c r="AI426" s="100"/>
      <c r="AJ426" s="100"/>
      <c r="AK426" s="100"/>
      <c r="AL426" s="197"/>
      <c r="AM426" s="197"/>
      <c r="AN426" s="56"/>
      <c r="AO426" s="210"/>
      <c r="AP426" s="74"/>
    </row>
    <row r="427" spans="1:42" s="193" customFormat="1">
      <c r="A427" s="208"/>
      <c r="B427" s="210"/>
      <c r="C427" s="210"/>
      <c r="D427" s="210"/>
      <c r="E427" s="100" t="str">
        <f>E304</f>
        <v>DUT#</v>
      </c>
      <c r="F427" s="211">
        <f>F304</f>
        <v>0</v>
      </c>
      <c r="G427" s="211">
        <f t="shared" ref="G427:AK427" si="335">G304</f>
        <v>1</v>
      </c>
      <c r="H427" s="211">
        <f t="shared" si="335"/>
        <v>2</v>
      </c>
      <c r="I427" s="211">
        <f t="shared" si="335"/>
        <v>3</v>
      </c>
      <c r="J427" s="211">
        <f t="shared" si="335"/>
        <v>4</v>
      </c>
      <c r="K427" s="211">
        <f t="shared" si="335"/>
        <v>5</v>
      </c>
      <c r="L427" s="211">
        <f t="shared" si="335"/>
        <v>6</v>
      </c>
      <c r="M427" s="211">
        <f t="shared" si="335"/>
        <v>7</v>
      </c>
      <c r="N427" s="211">
        <f t="shared" si="335"/>
        <v>8</v>
      </c>
      <c r="O427" s="211">
        <f t="shared" si="335"/>
        <v>9</v>
      </c>
      <c r="P427" s="211">
        <f t="shared" si="335"/>
        <v>10</v>
      </c>
      <c r="Q427" s="211">
        <f t="shared" si="335"/>
        <v>11</v>
      </c>
      <c r="R427" s="211">
        <f t="shared" si="335"/>
        <v>12</v>
      </c>
      <c r="S427" s="211">
        <f t="shared" si="335"/>
        <v>13</v>
      </c>
      <c r="T427" s="211">
        <f t="shared" si="335"/>
        <v>14</v>
      </c>
      <c r="U427" s="211">
        <f t="shared" si="335"/>
        <v>15</v>
      </c>
      <c r="V427" s="211">
        <f t="shared" si="335"/>
        <v>16</v>
      </c>
      <c r="W427" s="211">
        <f t="shared" si="335"/>
        <v>17</v>
      </c>
      <c r="X427" s="211">
        <f t="shared" si="335"/>
        <v>18</v>
      </c>
      <c r="Y427" s="211">
        <f t="shared" si="335"/>
        <v>19</v>
      </c>
      <c r="Z427" s="211">
        <f t="shared" si="335"/>
        <v>20</v>
      </c>
      <c r="AA427" s="211">
        <f t="shared" si="335"/>
        <v>21</v>
      </c>
      <c r="AB427" s="211">
        <f t="shared" si="335"/>
        <v>22</v>
      </c>
      <c r="AC427" s="211">
        <f t="shared" si="335"/>
        <v>23</v>
      </c>
      <c r="AD427" s="211">
        <f t="shared" si="335"/>
        <v>24</v>
      </c>
      <c r="AE427" s="211">
        <f t="shared" si="335"/>
        <v>25</v>
      </c>
      <c r="AF427" s="211">
        <f t="shared" si="335"/>
        <v>26</v>
      </c>
      <c r="AG427" s="211">
        <f t="shared" si="335"/>
        <v>27</v>
      </c>
      <c r="AH427" s="211">
        <f t="shared" si="335"/>
        <v>28</v>
      </c>
      <c r="AI427" s="211">
        <f t="shared" si="335"/>
        <v>29</v>
      </c>
      <c r="AJ427" s="211">
        <f t="shared" si="335"/>
        <v>30</v>
      </c>
      <c r="AK427" s="211">
        <f t="shared" si="335"/>
        <v>31</v>
      </c>
      <c r="AL427" s="197" t="str">
        <f>AL304</f>
        <v>mean</v>
      </c>
      <c r="AM427" s="197" t="str">
        <f t="shared" ref="AM427:AN427" si="336">AM304</f>
        <v>std</v>
      </c>
      <c r="AN427" s="197" t="str">
        <f t="shared" si="336"/>
        <v>%/value</v>
      </c>
      <c r="AO427" s="210"/>
      <c r="AP427" s="74"/>
    </row>
    <row r="428" spans="1:42" s="105" customFormat="1">
      <c r="A428" s="159"/>
      <c r="B428" s="242" t="str">
        <f>Calculations!C57</f>
        <v>LO</v>
      </c>
      <c r="C428" s="172" t="str">
        <f>Calculations!D57</f>
        <v>A</v>
      </c>
      <c r="D428" s="172"/>
      <c r="E428" s="172"/>
      <c r="F428" s="106" t="str">
        <f>IF(AND(F$305,F329&lt;&gt;""),F329,"")</f>
        <v/>
      </c>
      <c r="G428" s="106" t="str">
        <f t="shared" ref="G428:AK428" si="337">IF(AND(G$305,G329&lt;&gt;""),G329,"")</f>
        <v/>
      </c>
      <c r="H428" s="106">
        <f t="shared" si="337"/>
        <v>3.6452712558564708</v>
      </c>
      <c r="I428" s="106">
        <f t="shared" si="337"/>
        <v>4.3177581060500376</v>
      </c>
      <c r="J428" s="106" t="str">
        <f t="shared" si="337"/>
        <v/>
      </c>
      <c r="K428" s="106">
        <f t="shared" si="337"/>
        <v>7.867115747360959</v>
      </c>
      <c r="L428" s="106">
        <f t="shared" si="337"/>
        <v>6.2166887919108049</v>
      </c>
      <c r="M428" s="106" t="str">
        <f t="shared" si="337"/>
        <v/>
      </c>
      <c r="N428" s="106">
        <f t="shared" si="337"/>
        <v>5.3956990014939095</v>
      </c>
      <c r="O428" s="106">
        <f t="shared" si="337"/>
        <v>6.7921719324021108</v>
      </c>
      <c r="P428" s="106">
        <f t="shared" si="337"/>
        <v>8.0009046282087031</v>
      </c>
      <c r="Q428" s="106">
        <f t="shared" si="337"/>
        <v>6.0281313033330992</v>
      </c>
      <c r="R428" s="106">
        <f t="shared" si="337"/>
        <v>8.2513161613827641</v>
      </c>
      <c r="S428" s="106">
        <f t="shared" si="337"/>
        <v>9.1998278299967442</v>
      </c>
      <c r="T428" s="106">
        <f t="shared" si="337"/>
        <v>8.2082636696951727</v>
      </c>
      <c r="U428" s="106">
        <f t="shared" si="337"/>
        <v>12.297408966791064</v>
      </c>
      <c r="V428" s="106">
        <f t="shared" si="337"/>
        <v>5.7311253320603139</v>
      </c>
      <c r="W428" s="106">
        <f t="shared" si="337"/>
        <v>4.8777099336896645</v>
      </c>
      <c r="X428" s="106">
        <f t="shared" si="337"/>
        <v>5.8799004327683217</v>
      </c>
      <c r="Y428" s="106">
        <f t="shared" si="337"/>
        <v>5.4771713075183692</v>
      </c>
      <c r="Z428" s="106">
        <f t="shared" si="337"/>
        <v>8.405268805367605</v>
      </c>
      <c r="AA428" s="106">
        <f t="shared" si="337"/>
        <v>8.1891900925409242</v>
      </c>
      <c r="AB428" s="106">
        <f t="shared" si="337"/>
        <v>3.806581043061755</v>
      </c>
      <c r="AC428" s="106">
        <f t="shared" si="337"/>
        <v>5.4632746378580723</v>
      </c>
      <c r="AD428" s="106">
        <f t="shared" si="337"/>
        <v>4.2499100821358811</v>
      </c>
      <c r="AE428" s="106">
        <f t="shared" si="337"/>
        <v>1.9956620874859041</v>
      </c>
      <c r="AF428" s="106" t="str">
        <f t="shared" si="337"/>
        <v/>
      </c>
      <c r="AG428" s="106">
        <f t="shared" si="337"/>
        <v>9.2733979906354627</v>
      </c>
      <c r="AH428" s="106">
        <f t="shared" si="337"/>
        <v>3.9332854407174223</v>
      </c>
      <c r="AI428" s="106">
        <f t="shared" si="337"/>
        <v>13.197963623773486</v>
      </c>
      <c r="AJ428" s="106">
        <f t="shared" si="337"/>
        <v>6.6504812694731212</v>
      </c>
      <c r="AK428" s="106">
        <f t="shared" si="337"/>
        <v>9.4935644240606401</v>
      </c>
      <c r="AL428" s="194">
        <f t="shared" ref="AL428:AL432" si="338">AVERAGE(F428:AK428)</f>
        <v>6.7720386628751399</v>
      </c>
      <c r="AM428" s="194">
        <f t="shared" ref="AM428:AM432" si="339">STDEV(F428:AK428)</f>
        <v>2.60526265864958</v>
      </c>
      <c r="AN428" s="56">
        <f t="shared" ref="AN428:AN432" si="340">AM428/AL428</f>
        <v>0.38470876915275737</v>
      </c>
      <c r="AO428" s="172"/>
      <c r="AP428" s="74"/>
    </row>
    <row r="429" spans="1:42" s="193" customFormat="1">
      <c r="A429" s="208"/>
      <c r="B429" s="242"/>
      <c r="C429" s="210" t="str">
        <f>Calculations!D58</f>
        <v>U30</v>
      </c>
      <c r="D429" s="210"/>
      <c r="E429" s="210"/>
      <c r="F429" s="106" t="str">
        <f>IF(AND(F$305,F351&lt;&gt;""),F351,"")</f>
        <v/>
      </c>
      <c r="G429" s="106" t="str">
        <f t="shared" ref="G429:AK429" si="341">IF(AND(G$305,G351&lt;&gt;""),G351,"")</f>
        <v/>
      </c>
      <c r="H429" s="106">
        <f t="shared" si="341"/>
        <v>3.9736127853393555</v>
      </c>
      <c r="I429" s="106">
        <f t="shared" si="341"/>
        <v>4.5545455387660434</v>
      </c>
      <c r="J429" s="106" t="str">
        <f t="shared" si="341"/>
        <v/>
      </c>
      <c r="K429" s="106">
        <f t="shared" si="341"/>
        <v>4.0550850232442226</v>
      </c>
      <c r="L429" s="106">
        <f t="shared" si="341"/>
        <v>4.2289290201096312</v>
      </c>
      <c r="M429" s="106" t="str">
        <f t="shared" si="341"/>
        <v/>
      </c>
      <c r="N429" s="106">
        <f t="shared" si="341"/>
        <v>3.8076708203270324</v>
      </c>
      <c r="O429" s="106">
        <f t="shared" si="341"/>
        <v>3.6864162626720609</v>
      </c>
      <c r="P429" s="106">
        <f t="shared" si="341"/>
        <v>3.267338060197376</v>
      </c>
      <c r="Q429" s="106">
        <f t="shared" si="341"/>
        <v>3.910124347323463</v>
      </c>
      <c r="R429" s="106">
        <f t="shared" si="341"/>
        <v>3.3305539971306208</v>
      </c>
      <c r="S429" s="106">
        <f t="shared" si="341"/>
        <v>3.605488970166161</v>
      </c>
      <c r="T429" s="106">
        <f t="shared" si="341"/>
        <v>3.5766057854606994</v>
      </c>
      <c r="U429" s="106">
        <f t="shared" si="341"/>
        <v>3.1752389272054033</v>
      </c>
      <c r="V429" s="106">
        <f t="shared" si="341"/>
        <v>4.0591721761794322</v>
      </c>
      <c r="W429" s="106">
        <f t="shared" si="341"/>
        <v>4.5016837801252088</v>
      </c>
      <c r="X429" s="106">
        <f t="shared" si="341"/>
        <v>4.517487957364037</v>
      </c>
      <c r="Y429" s="106">
        <f t="shared" si="341"/>
        <v>4.6692608424595425</v>
      </c>
      <c r="Z429" s="106">
        <f t="shared" si="341"/>
        <v>4.6747104099818637</v>
      </c>
      <c r="AA429" s="106">
        <f t="shared" si="341"/>
        <v>3.6518110320681618</v>
      </c>
      <c r="AB429" s="106">
        <f t="shared" si="341"/>
        <v>4.2030431429545088</v>
      </c>
      <c r="AC429" s="106">
        <f t="shared" si="341"/>
        <v>4.4728005954197476</v>
      </c>
      <c r="AD429" s="106">
        <f t="shared" si="341"/>
        <v>4.3422815459115167</v>
      </c>
      <c r="AE429" s="106">
        <f t="shared" si="341"/>
        <v>4.1877839224679123</v>
      </c>
      <c r="AF429" s="106" t="str">
        <f t="shared" si="341"/>
        <v/>
      </c>
      <c r="AG429" s="106">
        <f t="shared" si="341"/>
        <v>3.3008533659435453</v>
      </c>
      <c r="AH429" s="106">
        <f t="shared" si="341"/>
        <v>4.2741609982081821</v>
      </c>
      <c r="AI429" s="106">
        <f t="shared" si="341"/>
        <v>2.922102689743042</v>
      </c>
      <c r="AJ429" s="106">
        <f t="shared" si="341"/>
        <v>4.2422805059523805</v>
      </c>
      <c r="AK429" s="106">
        <f t="shared" si="341"/>
        <v>3.3057581924256825</v>
      </c>
      <c r="AL429" s="194">
        <f t="shared" si="338"/>
        <v>3.9443259516721052</v>
      </c>
      <c r="AM429" s="194">
        <f t="shared" si="339"/>
        <v>0.50590778382827717</v>
      </c>
      <c r="AN429" s="56">
        <f t="shared" si="340"/>
        <v>0.12826216444252264</v>
      </c>
      <c r="AO429" s="210"/>
      <c r="AP429" s="74"/>
    </row>
    <row r="430" spans="1:42" s="193" customFormat="1">
      <c r="A430" s="208"/>
      <c r="B430" s="242"/>
      <c r="C430" s="210" t="str">
        <f>Calculations!D59</f>
        <v>U35</v>
      </c>
      <c r="D430" s="210"/>
      <c r="E430" s="210"/>
      <c r="F430" s="106" t="str">
        <f>IF(AND(F$305,F373&lt;&gt;""),F373,"")</f>
        <v/>
      </c>
      <c r="G430" s="106" t="str">
        <f t="shared" ref="G430:AK430" si="342">IF(AND(G$305,G373&lt;&gt;""),G373,"")</f>
        <v/>
      </c>
      <c r="H430" s="106">
        <f t="shared" si="342"/>
        <v>4.2719811484927224</v>
      </c>
      <c r="I430" s="106">
        <f t="shared" si="342"/>
        <v>4.9049579983665827</v>
      </c>
      <c r="J430" s="106" t="str">
        <f t="shared" si="342"/>
        <v/>
      </c>
      <c r="K430" s="106">
        <f t="shared" si="342"/>
        <v>4.3820643197922475</v>
      </c>
      <c r="L430" s="106">
        <f t="shared" si="342"/>
        <v>4.5559078625270297</v>
      </c>
      <c r="M430" s="106" t="str">
        <f t="shared" si="342"/>
        <v/>
      </c>
      <c r="N430" s="106">
        <f t="shared" si="342"/>
        <v>4.1234780493236727</v>
      </c>
      <c r="O430" s="106">
        <f t="shared" si="342"/>
        <v>3.9736127853393555</v>
      </c>
      <c r="P430" s="106">
        <f t="shared" si="342"/>
        <v>3.5659789130801247</v>
      </c>
      <c r="Q430" s="106">
        <f t="shared" si="342"/>
        <v>4.2262042817615333</v>
      </c>
      <c r="R430" s="106">
        <f t="shared" si="342"/>
        <v>3.6180230095272972</v>
      </c>
      <c r="S430" s="106">
        <f t="shared" si="342"/>
        <v>3.8659821691967196</v>
      </c>
      <c r="T430" s="106">
        <f t="shared" si="342"/>
        <v>3.875519116719564</v>
      </c>
      <c r="U430" s="106">
        <f t="shared" si="342"/>
        <v>3.4430892126900812</v>
      </c>
      <c r="V430" s="106">
        <f t="shared" si="342"/>
        <v>4.3812468846638994</v>
      </c>
      <c r="W430" s="106">
        <f t="shared" si="342"/>
        <v>4.8572737830025812</v>
      </c>
      <c r="X430" s="106">
        <f t="shared" si="342"/>
        <v>4.8572737830025812</v>
      </c>
      <c r="Y430" s="106">
        <f t="shared" si="342"/>
        <v>5.0030516669863747</v>
      </c>
      <c r="Z430" s="106">
        <f t="shared" si="342"/>
        <v>5.0431069192432227</v>
      </c>
      <c r="AA430" s="106">
        <f t="shared" si="342"/>
        <v>3.9452745573861256</v>
      </c>
      <c r="AB430" s="106">
        <f t="shared" si="342"/>
        <v>4.4910571234566818</v>
      </c>
      <c r="AC430" s="106">
        <f t="shared" si="342"/>
        <v>4.7951477595738004</v>
      </c>
      <c r="AD430" s="106">
        <f t="shared" si="342"/>
        <v>4.6807048661368231</v>
      </c>
      <c r="AE430" s="106">
        <f t="shared" si="342"/>
        <v>4.5272972470238093</v>
      </c>
      <c r="AF430" s="106" t="str">
        <f t="shared" si="342"/>
        <v/>
      </c>
      <c r="AG430" s="106">
        <f t="shared" si="342"/>
        <v>3.5766057854606994</v>
      </c>
      <c r="AH430" s="106">
        <f t="shared" si="342"/>
        <v>4.6422850290934248</v>
      </c>
      <c r="AI430" s="106">
        <f t="shared" si="342"/>
        <v>3.1918603465670632</v>
      </c>
      <c r="AJ430" s="106">
        <f t="shared" si="342"/>
        <v>4.5482785361153741</v>
      </c>
      <c r="AK430" s="106">
        <f t="shared" si="342"/>
        <v>3.5654339449746266</v>
      </c>
      <c r="AL430" s="194">
        <f t="shared" si="338"/>
        <v>4.2560258185001496</v>
      </c>
      <c r="AM430" s="194">
        <f t="shared" si="339"/>
        <v>0.53293822762325804</v>
      </c>
      <c r="AN430" s="56">
        <f t="shared" si="340"/>
        <v>0.12521968858992233</v>
      </c>
      <c r="AO430" s="210"/>
      <c r="AP430" s="74"/>
    </row>
    <row r="431" spans="1:42" s="193" customFormat="1">
      <c r="A431" s="208"/>
      <c r="B431" s="242"/>
      <c r="C431" s="210" t="str">
        <f>Calculations!D60</f>
        <v>CWF</v>
      </c>
      <c r="D431" s="210"/>
      <c r="E431" s="210"/>
      <c r="F431" s="106" t="str">
        <f>IF(AND(F$305,F395&lt;&gt;""),F395,"")</f>
        <v/>
      </c>
      <c r="G431" s="106" t="str">
        <f t="shared" ref="G431:AK431" si="343">IF(AND(G$305,G395&lt;&gt;""),G395,"")</f>
        <v/>
      </c>
      <c r="H431" s="106">
        <f t="shared" si="343"/>
        <v>3.6311022213527133</v>
      </c>
      <c r="I431" s="106">
        <f t="shared" si="343"/>
        <v>4.229201589311872</v>
      </c>
      <c r="J431" s="106" t="str">
        <f t="shared" si="343"/>
        <v/>
      </c>
      <c r="K431" s="106">
        <f t="shared" si="343"/>
        <v>3.7806952567327592</v>
      </c>
      <c r="L431" s="106">
        <f t="shared" si="343"/>
        <v>3.9242935180664058</v>
      </c>
      <c r="M431" s="106" t="str">
        <f t="shared" si="343"/>
        <v/>
      </c>
      <c r="N431" s="106">
        <f t="shared" si="343"/>
        <v>3.579603093011039</v>
      </c>
      <c r="O431" s="106">
        <f t="shared" si="343"/>
        <v>3.4294651122320268</v>
      </c>
      <c r="P431" s="106">
        <f t="shared" si="343"/>
        <v>3.1196524188632058</v>
      </c>
      <c r="Q431" s="106">
        <f t="shared" si="343"/>
        <v>3.6422740618387857</v>
      </c>
      <c r="R431" s="106">
        <f t="shared" si="343"/>
        <v>3.1477181570870534</v>
      </c>
      <c r="S431" s="106">
        <f t="shared" si="343"/>
        <v>3.3662491752987815</v>
      </c>
      <c r="T431" s="106">
        <f t="shared" si="343"/>
        <v>3.3825981049310596</v>
      </c>
      <c r="U431" s="106">
        <f t="shared" si="343"/>
        <v>3.00384741737729</v>
      </c>
      <c r="V431" s="106">
        <f t="shared" si="343"/>
        <v>3.7629839125133695</v>
      </c>
      <c r="W431" s="106">
        <f t="shared" si="343"/>
        <v>4.1474566459655762</v>
      </c>
      <c r="X431" s="106">
        <f t="shared" si="343"/>
        <v>4.1586282593863348</v>
      </c>
      <c r="Y431" s="106">
        <f t="shared" si="343"/>
        <v>4.2518173172360374</v>
      </c>
      <c r="Z431" s="106">
        <f t="shared" si="343"/>
        <v>4.3725271452040904</v>
      </c>
      <c r="AA431" s="106">
        <f t="shared" si="343"/>
        <v>3.4008544059026811</v>
      </c>
      <c r="AB431" s="106">
        <f t="shared" si="343"/>
        <v>3.8496332395644415</v>
      </c>
      <c r="AC431" s="106">
        <f t="shared" si="343"/>
        <v>4.1079468045915881</v>
      </c>
      <c r="AD431" s="106">
        <f t="shared" si="343"/>
        <v>4.0400987352643689</v>
      </c>
      <c r="AE431" s="106">
        <f t="shared" si="343"/>
        <v>3.903039750598726</v>
      </c>
      <c r="AF431" s="106" t="str">
        <f t="shared" si="343"/>
        <v/>
      </c>
      <c r="AG431" s="106">
        <f t="shared" si="343"/>
        <v>3.0902244931175598</v>
      </c>
      <c r="AH431" s="106">
        <f t="shared" si="343"/>
        <v>4.0692539442153199</v>
      </c>
      <c r="AI431" s="106">
        <f t="shared" si="343"/>
        <v>2.7910386834825789</v>
      </c>
      <c r="AJ431" s="106">
        <f t="shared" si="343"/>
        <v>3.9343751952761696</v>
      </c>
      <c r="AK431" s="106">
        <f t="shared" si="343"/>
        <v>3.0954015822637651</v>
      </c>
      <c r="AL431" s="194">
        <f t="shared" si="338"/>
        <v>3.6745177866920593</v>
      </c>
      <c r="AM431" s="194">
        <f t="shared" si="339"/>
        <v>0.44354569735706001</v>
      </c>
      <c r="AN431" s="56">
        <f t="shared" si="340"/>
        <v>0.1207085454759376</v>
      </c>
      <c r="AO431" s="210"/>
      <c r="AP431" s="74"/>
    </row>
    <row r="432" spans="1:42" s="193" customFormat="1">
      <c r="A432" s="208"/>
      <c r="B432" s="242"/>
      <c r="C432" s="210" t="str">
        <f>Calculations!D61</f>
        <v>D65</v>
      </c>
      <c r="D432" s="210"/>
      <c r="E432" s="210"/>
      <c r="F432" s="106" t="str">
        <f>IF(AND(F$305,F417&lt;&gt;""),F417,"")</f>
        <v/>
      </c>
      <c r="G432" s="106" t="str">
        <f t="shared" ref="G432:AK432" si="344">IF(AND(G$305,G417&lt;&gt;""),G417,"")</f>
        <v/>
      </c>
      <c r="H432" s="106">
        <f t="shared" si="344"/>
        <v>6.0790851683843714</v>
      </c>
      <c r="I432" s="106">
        <f t="shared" si="344"/>
        <v>7.2365910666329532</v>
      </c>
      <c r="J432" s="106" t="str">
        <f t="shared" si="344"/>
        <v/>
      </c>
      <c r="K432" s="106">
        <f t="shared" si="344"/>
        <v>7.2330488477434436</v>
      </c>
      <c r="L432" s="106">
        <f t="shared" si="344"/>
        <v>7.0823659896850586</v>
      </c>
      <c r="M432" s="106" t="str">
        <f t="shared" si="344"/>
        <v/>
      </c>
      <c r="N432" s="106">
        <f t="shared" si="344"/>
        <v>6.5709162212553487</v>
      </c>
      <c r="O432" s="106">
        <f t="shared" si="344"/>
        <v>6.4316775912330266</v>
      </c>
      <c r="P432" s="106">
        <f t="shared" si="344"/>
        <v>6.5643766948154996</v>
      </c>
      <c r="Q432" s="106">
        <f t="shared" si="344"/>
        <v>6.822962624686105</v>
      </c>
      <c r="R432" s="106">
        <f t="shared" si="344"/>
        <v>6.5826328368414018</v>
      </c>
      <c r="S432" s="106">
        <f t="shared" si="344"/>
        <v>6.9755529222034278</v>
      </c>
      <c r="T432" s="106">
        <f t="shared" si="344"/>
        <v>6.9115195955548971</v>
      </c>
      <c r="U432" s="106">
        <f t="shared" si="344"/>
        <v>7.0801861172630671</v>
      </c>
      <c r="V432" s="106">
        <f t="shared" si="344"/>
        <v>6.7733706519717254</v>
      </c>
      <c r="W432" s="106">
        <f t="shared" si="344"/>
        <v>7.121058464050293</v>
      </c>
      <c r="X432" s="106">
        <f t="shared" si="344"/>
        <v>7.1556638990129739</v>
      </c>
      <c r="Y432" s="106">
        <f t="shared" si="344"/>
        <v>7.2022582462855746</v>
      </c>
      <c r="Z432" s="106">
        <f t="shared" si="344"/>
        <v>8.1657565888904386</v>
      </c>
      <c r="AA432" s="106">
        <f t="shared" si="344"/>
        <v>6.710154851277669</v>
      </c>
      <c r="AB432" s="106">
        <f t="shared" si="344"/>
        <v>6.2431196485246936</v>
      </c>
      <c r="AC432" s="106">
        <f t="shared" si="344"/>
        <v>6.9780053184145974</v>
      </c>
      <c r="AD432" s="106">
        <f t="shared" si="344"/>
        <v>6.9684685298374704</v>
      </c>
      <c r="AE432" s="106">
        <f t="shared" si="344"/>
        <v>6.3829035077776242</v>
      </c>
      <c r="AF432" s="106" t="str">
        <f t="shared" si="344"/>
        <v/>
      </c>
      <c r="AG432" s="106">
        <f t="shared" si="344"/>
        <v>6.5842680249895373</v>
      </c>
      <c r="AH432" s="106">
        <f t="shared" si="344"/>
        <v>6.9679235730852405</v>
      </c>
      <c r="AI432" s="106">
        <f t="shared" si="344"/>
        <v>7.1681979043143134</v>
      </c>
      <c r="AJ432" s="106">
        <f t="shared" si="344"/>
        <v>7.1295055207752052</v>
      </c>
      <c r="AK432" s="106">
        <f t="shared" si="344"/>
        <v>6.5780008406866166</v>
      </c>
      <c r="AL432" s="194">
        <f t="shared" si="338"/>
        <v>6.877761898007134</v>
      </c>
      <c r="AM432" s="194">
        <f t="shared" si="339"/>
        <v>0.41162425474802256</v>
      </c>
      <c r="AN432" s="56">
        <f t="shared" si="340"/>
        <v>5.984857586699719E-2</v>
      </c>
      <c r="AO432" s="210"/>
      <c r="AP432" s="74"/>
    </row>
    <row r="433" spans="1:42" s="193" customFormat="1">
      <c r="A433" s="208"/>
      <c r="B433" s="242"/>
      <c r="C433" s="210"/>
      <c r="D433" s="210"/>
      <c r="E433" s="210"/>
      <c r="F433" s="100"/>
      <c r="G433" s="100"/>
      <c r="H433" s="100"/>
      <c r="I433" s="100"/>
      <c r="J433" s="100"/>
      <c r="K433" s="100"/>
      <c r="L433" s="100"/>
      <c r="M433" s="100"/>
      <c r="N433" s="100"/>
      <c r="O433" s="100"/>
      <c r="P433" s="100"/>
      <c r="Q433" s="100"/>
      <c r="R433" s="100"/>
      <c r="S433" s="100"/>
      <c r="T433" s="100"/>
      <c r="U433" s="100"/>
      <c r="V433" s="100"/>
      <c r="W433" s="100"/>
      <c r="X433" s="100"/>
      <c r="Y433" s="100"/>
      <c r="Z433" s="100"/>
      <c r="AA433" s="100"/>
      <c r="AB433" s="100"/>
      <c r="AC433" s="100"/>
      <c r="AD433" s="100"/>
      <c r="AE433" s="100"/>
      <c r="AF433" s="100"/>
      <c r="AG433" s="100"/>
      <c r="AH433" s="100"/>
      <c r="AI433" s="100"/>
      <c r="AJ433" s="100"/>
      <c r="AK433" s="100"/>
      <c r="AL433" s="197"/>
      <c r="AM433" s="197"/>
      <c r="AN433" s="56"/>
      <c r="AO433" s="210"/>
      <c r="AP433" s="74"/>
    </row>
    <row r="434" spans="1:42" s="193" customFormat="1">
      <c r="A434" s="208"/>
      <c r="B434" s="242" t="str">
        <f>Calculations!C63</f>
        <v>HI</v>
      </c>
      <c r="C434" s="210" t="str">
        <f>Calculations!D63</f>
        <v>A</v>
      </c>
      <c r="D434" s="210"/>
      <c r="E434" s="210"/>
      <c r="F434" s="106" t="str">
        <f>IF(AND(F$305,F333&lt;&gt;""),F333,"")</f>
        <v/>
      </c>
      <c r="G434" s="106" t="str">
        <f t="shared" ref="G434:AK434" si="345">IF(AND(G$305,G333&lt;&gt;""),G333,"")</f>
        <v/>
      </c>
      <c r="H434" s="106">
        <f t="shared" si="345"/>
        <v>3.9101242792038695</v>
      </c>
      <c r="I434" s="106">
        <f t="shared" si="345"/>
        <v>4.5357442583356598</v>
      </c>
      <c r="J434" s="106" t="str">
        <f t="shared" si="345"/>
        <v/>
      </c>
      <c r="K434" s="106">
        <f t="shared" si="345"/>
        <v>8.2894634973435188</v>
      </c>
      <c r="L434" s="106">
        <f t="shared" si="345"/>
        <v>6.5690088726225371</v>
      </c>
      <c r="M434" s="106" t="str">
        <f t="shared" si="345"/>
        <v/>
      </c>
      <c r="N434" s="106">
        <f t="shared" si="345"/>
        <v>6.1370331900460373</v>
      </c>
      <c r="O434" s="106">
        <f t="shared" si="345"/>
        <v>7.7383222125825446</v>
      </c>
      <c r="P434" s="106">
        <f t="shared" si="345"/>
        <v>8.8703962961832694</v>
      </c>
      <c r="Q434" s="106">
        <f t="shared" si="345"/>
        <v>6.0029718308221724</v>
      </c>
      <c r="R434" s="106">
        <f t="shared" si="345"/>
        <v>8.5054513840448287</v>
      </c>
      <c r="S434" s="106">
        <f t="shared" si="345"/>
        <v>10.017366500127885</v>
      </c>
      <c r="T434" s="106">
        <f t="shared" si="345"/>
        <v>8.7661262693859268</v>
      </c>
      <c r="U434" s="106">
        <f t="shared" si="345"/>
        <v>12.832655588785805</v>
      </c>
      <c r="V434" s="106">
        <f t="shared" si="345"/>
        <v>5.9135975610642211</v>
      </c>
      <c r="W434" s="106">
        <f t="shared" si="345"/>
        <v>5.2507383255731508</v>
      </c>
      <c r="X434" s="106">
        <f t="shared" si="345"/>
        <v>5.7050575982956646</v>
      </c>
      <c r="Y434" s="106">
        <f t="shared" si="345"/>
        <v>6.5615610395159072</v>
      </c>
      <c r="Z434" s="106">
        <f t="shared" si="345"/>
        <v>8.5352427164713554</v>
      </c>
      <c r="AA434" s="106">
        <f t="shared" si="345"/>
        <v>8.6320649101620592</v>
      </c>
      <c r="AB434" s="106">
        <f t="shared" si="345"/>
        <v>4.0739771525065089</v>
      </c>
      <c r="AC434" s="106">
        <f t="shared" si="345"/>
        <v>5.7869839441208626</v>
      </c>
      <c r="AD434" s="106">
        <f t="shared" si="345"/>
        <v>4.5506399245489213</v>
      </c>
      <c r="AE434" s="106">
        <f t="shared" si="345"/>
        <v>2.3088352566673676</v>
      </c>
      <c r="AF434" s="106" t="str">
        <f t="shared" si="345"/>
        <v/>
      </c>
      <c r="AG434" s="106">
        <f t="shared" si="345"/>
        <v>9.9279922303699308</v>
      </c>
      <c r="AH434" s="106">
        <f t="shared" si="345"/>
        <v>4.4612656547909673</v>
      </c>
      <c r="AI434" s="106">
        <f t="shared" si="345"/>
        <v>13.718950453258696</v>
      </c>
      <c r="AJ434" s="106">
        <f t="shared" si="345"/>
        <v>7.1871808369954442</v>
      </c>
      <c r="AK434" s="106">
        <f t="shared" si="345"/>
        <v>10.188667206537158</v>
      </c>
      <c r="AL434" s="194">
        <f t="shared" ref="AL434:AL438" si="346">AVERAGE(F434:AK434)</f>
        <v>7.2213858885319366</v>
      </c>
      <c r="AM434" s="194">
        <f t="shared" ref="AM434:AM438" si="347">STDEV(F434:AK434)</f>
        <v>2.7030739303416889</v>
      </c>
      <c r="AN434" s="56">
        <f t="shared" ref="AN434:AN438" si="348">AM434/AL434</f>
        <v>0.37431512067986261</v>
      </c>
      <c r="AO434" s="210"/>
      <c r="AP434" s="74"/>
    </row>
    <row r="435" spans="1:42" s="193" customFormat="1">
      <c r="A435" s="208"/>
      <c r="B435" s="242"/>
      <c r="C435" s="210" t="str">
        <f>Calculations!D64</f>
        <v>U30</v>
      </c>
      <c r="D435" s="210"/>
      <c r="E435" s="210"/>
      <c r="F435" s="106" t="str">
        <f>IF(AND(F$305,F355&lt;&gt;""),F355,"")</f>
        <v/>
      </c>
      <c r="G435" s="106" t="str">
        <f t="shared" ref="G435:AK435" si="349">IF(AND(G$305,G355&lt;&gt;""),G355,"")</f>
        <v/>
      </c>
      <c r="H435" s="106">
        <f t="shared" si="349"/>
        <v>4.3942349297659735</v>
      </c>
      <c r="I435" s="106">
        <f t="shared" si="349"/>
        <v>4.8708977018083841</v>
      </c>
      <c r="J435" s="106" t="str">
        <f t="shared" si="349"/>
        <v/>
      </c>
      <c r="K435" s="106">
        <f t="shared" si="349"/>
        <v>4.4016827855791361</v>
      </c>
      <c r="L435" s="106">
        <f t="shared" si="349"/>
        <v>4.4016827855791361</v>
      </c>
      <c r="M435" s="106" t="str">
        <f t="shared" si="349"/>
        <v/>
      </c>
      <c r="N435" s="106">
        <f t="shared" si="349"/>
        <v>4.4016827855791361</v>
      </c>
      <c r="O435" s="106">
        <f t="shared" si="349"/>
        <v>4.24527781350272</v>
      </c>
      <c r="P435" s="106">
        <f t="shared" si="349"/>
        <v>3.7686150414603099</v>
      </c>
      <c r="Q435" s="106">
        <f t="shared" si="349"/>
        <v>3.9324678693498885</v>
      </c>
      <c r="R435" s="106">
        <f t="shared" si="349"/>
        <v>3.4558050973074779</v>
      </c>
      <c r="S435" s="106">
        <f t="shared" si="349"/>
        <v>3.9324678693498885</v>
      </c>
      <c r="T435" s="106">
        <f t="shared" si="349"/>
        <v>3.9250200135367259</v>
      </c>
      <c r="U435" s="106">
        <f t="shared" si="349"/>
        <v>3.3068479810442244</v>
      </c>
      <c r="V435" s="106">
        <f t="shared" si="349"/>
        <v>4.24527781350272</v>
      </c>
      <c r="W435" s="106">
        <f t="shared" si="349"/>
        <v>4.8708977018083841</v>
      </c>
      <c r="X435" s="106">
        <f t="shared" si="349"/>
        <v>4.4016827855791361</v>
      </c>
      <c r="Y435" s="106">
        <f t="shared" si="349"/>
        <v>5.6529225621904651</v>
      </c>
      <c r="Z435" s="106">
        <f t="shared" si="349"/>
        <v>4.8708977018083841</v>
      </c>
      <c r="AA435" s="106">
        <f t="shared" si="349"/>
        <v>3.9250200135367259</v>
      </c>
      <c r="AB435" s="106">
        <f t="shared" si="349"/>
        <v>4.5580877576555521</v>
      </c>
      <c r="AC435" s="106">
        <f t="shared" si="349"/>
        <v>4.714492729731969</v>
      </c>
      <c r="AD435" s="106">
        <f t="shared" si="349"/>
        <v>4.5655356134687146</v>
      </c>
      <c r="AE435" s="106">
        <f t="shared" si="349"/>
        <v>4.8708977018083841</v>
      </c>
      <c r="AF435" s="106" t="str">
        <f t="shared" si="349"/>
        <v/>
      </c>
      <c r="AG435" s="106">
        <f t="shared" si="349"/>
        <v>3.6122100693838939</v>
      </c>
      <c r="AH435" s="106">
        <f t="shared" si="349"/>
        <v>4.8708977018083841</v>
      </c>
      <c r="AI435" s="106">
        <f t="shared" si="349"/>
        <v>3.1429951531546458</v>
      </c>
      <c r="AJ435" s="106">
        <f t="shared" si="349"/>
        <v>4.5580877576555521</v>
      </c>
      <c r="AK435" s="106">
        <f t="shared" si="349"/>
        <v>3.6122100693838939</v>
      </c>
      <c r="AL435" s="194">
        <f t="shared" si="346"/>
        <v>4.2781035483829557</v>
      </c>
      <c r="AM435" s="194">
        <f t="shared" si="347"/>
        <v>0.57833879285518131</v>
      </c>
      <c r="AN435" s="56">
        <f t="shared" si="348"/>
        <v>0.13518578648564566</v>
      </c>
      <c r="AO435" s="210"/>
      <c r="AP435" s="74"/>
    </row>
    <row r="436" spans="1:42" s="193" customFormat="1">
      <c r="A436" s="208"/>
      <c r="B436" s="242"/>
      <c r="C436" s="210" t="str">
        <f>Calculations!D65</f>
        <v>U35</v>
      </c>
      <c r="D436" s="210"/>
      <c r="E436" s="210"/>
      <c r="F436" s="106" t="str">
        <f>IF(AND(F$305,F377&lt;&gt;""),F377,"")</f>
        <v/>
      </c>
      <c r="G436" s="106" t="str">
        <f t="shared" ref="G436:AK436" si="350">IF(AND(G$305,G377&lt;&gt;""),G377,"")</f>
        <v/>
      </c>
      <c r="H436" s="106">
        <f t="shared" si="350"/>
        <v>4.714492729731969</v>
      </c>
      <c r="I436" s="106">
        <f t="shared" si="350"/>
        <v>5.1911555017743796</v>
      </c>
      <c r="J436" s="106" t="str">
        <f t="shared" si="350"/>
        <v/>
      </c>
      <c r="K436" s="106">
        <f t="shared" si="350"/>
        <v>4.714492729731969</v>
      </c>
      <c r="L436" s="106">
        <f t="shared" si="350"/>
        <v>4.8708977018083841</v>
      </c>
      <c r="M436" s="106" t="str">
        <f t="shared" si="350"/>
        <v/>
      </c>
      <c r="N436" s="106">
        <f t="shared" si="350"/>
        <v>4.714492729731969</v>
      </c>
      <c r="O436" s="106">
        <f t="shared" si="350"/>
        <v>4.5580877576555521</v>
      </c>
      <c r="P436" s="106">
        <f t="shared" si="350"/>
        <v>4.0814249856131415</v>
      </c>
      <c r="Q436" s="106">
        <f t="shared" si="350"/>
        <v>4.24527781350272</v>
      </c>
      <c r="R436" s="106">
        <f t="shared" si="350"/>
        <v>3.7760628972734724</v>
      </c>
      <c r="S436" s="106">
        <f t="shared" si="350"/>
        <v>4.24527781350272</v>
      </c>
      <c r="T436" s="106">
        <f t="shared" si="350"/>
        <v>4.2378299576895575</v>
      </c>
      <c r="U436" s="106">
        <f t="shared" si="350"/>
        <v>3.6122100693838939</v>
      </c>
      <c r="V436" s="106">
        <f t="shared" si="350"/>
        <v>4.5580877576555521</v>
      </c>
      <c r="W436" s="106">
        <f t="shared" si="350"/>
        <v>5.340112618037633</v>
      </c>
      <c r="X436" s="106">
        <f t="shared" si="350"/>
        <v>4.714492729731969</v>
      </c>
      <c r="Y436" s="106">
        <f t="shared" si="350"/>
        <v>5.9731803621564588</v>
      </c>
      <c r="Z436" s="106">
        <f t="shared" si="350"/>
        <v>5.183707645961217</v>
      </c>
      <c r="AA436" s="106">
        <f t="shared" si="350"/>
        <v>4.2378299576895575</v>
      </c>
      <c r="AB436" s="106">
        <f t="shared" si="350"/>
        <v>4.8708977018083841</v>
      </c>
      <c r="AC436" s="106">
        <f t="shared" si="350"/>
        <v>5.027302673884801</v>
      </c>
      <c r="AD436" s="106">
        <f t="shared" si="350"/>
        <v>5.027302673884801</v>
      </c>
      <c r="AE436" s="106">
        <f t="shared" si="350"/>
        <v>5.1911555017743796</v>
      </c>
      <c r="AF436" s="106" t="str">
        <f t="shared" si="350"/>
        <v/>
      </c>
      <c r="AG436" s="106">
        <f t="shared" si="350"/>
        <v>3.7760628972734724</v>
      </c>
      <c r="AH436" s="106">
        <f t="shared" si="350"/>
        <v>5.1911555017743796</v>
      </c>
      <c r="AI436" s="106">
        <f t="shared" si="350"/>
        <v>3.3068479810442244</v>
      </c>
      <c r="AJ436" s="106">
        <f t="shared" si="350"/>
        <v>4.8783455576215475</v>
      </c>
      <c r="AK436" s="106">
        <f t="shared" si="350"/>
        <v>3.9250200135367259</v>
      </c>
      <c r="AL436" s="194">
        <f t="shared" si="346"/>
        <v>4.5986371948605491</v>
      </c>
      <c r="AM436" s="194">
        <f t="shared" si="347"/>
        <v>0.61117930909411244</v>
      </c>
      <c r="AN436" s="56">
        <f t="shared" si="348"/>
        <v>0.13290444172833818</v>
      </c>
      <c r="AO436" s="210"/>
      <c r="AP436" s="74"/>
    </row>
    <row r="437" spans="1:42" s="193" customFormat="1">
      <c r="A437" s="208"/>
      <c r="B437" s="242"/>
      <c r="C437" s="210" t="str">
        <f>Calculations!D66</f>
        <v>CWF</v>
      </c>
      <c r="D437" s="210"/>
      <c r="E437" s="210"/>
      <c r="F437" s="106" t="str">
        <f>IF(AND(F$305,F399&lt;&gt;""),F399,"")</f>
        <v/>
      </c>
      <c r="G437" s="106" t="str">
        <f t="shared" ref="G437:AK437" si="351">IF(AND(G$305,G399&lt;&gt;""),G399,"")</f>
        <v/>
      </c>
      <c r="H437" s="106">
        <f t="shared" si="351"/>
        <v>3.9324678693498885</v>
      </c>
      <c r="I437" s="106">
        <f t="shared" si="351"/>
        <v>4.5580877576555521</v>
      </c>
      <c r="J437" s="106" t="str">
        <f t="shared" si="351"/>
        <v/>
      </c>
      <c r="K437" s="106">
        <f t="shared" si="351"/>
        <v>4.088872841426304</v>
      </c>
      <c r="L437" s="106">
        <f t="shared" si="351"/>
        <v>4.088872841426304</v>
      </c>
      <c r="M437" s="106" t="str">
        <f t="shared" si="351"/>
        <v/>
      </c>
      <c r="N437" s="106">
        <f t="shared" si="351"/>
        <v>4.088872841426304</v>
      </c>
      <c r="O437" s="106">
        <f t="shared" si="351"/>
        <v>3.9324678693498885</v>
      </c>
      <c r="P437" s="106">
        <f t="shared" si="351"/>
        <v>3.6122100693838939</v>
      </c>
      <c r="Q437" s="106">
        <f t="shared" si="351"/>
        <v>3.619657925197056</v>
      </c>
      <c r="R437" s="106">
        <f t="shared" si="351"/>
        <v>3.2994001252310619</v>
      </c>
      <c r="S437" s="106">
        <f t="shared" si="351"/>
        <v>3.7686150414603099</v>
      </c>
      <c r="T437" s="106">
        <f t="shared" si="351"/>
        <v>3.619657925197056</v>
      </c>
      <c r="U437" s="106">
        <f t="shared" si="351"/>
        <v>3.1504430089678084</v>
      </c>
      <c r="V437" s="106">
        <f t="shared" si="351"/>
        <v>3.9324678693498885</v>
      </c>
      <c r="W437" s="106">
        <f t="shared" si="351"/>
        <v>4.5580877576555521</v>
      </c>
      <c r="X437" s="106">
        <f t="shared" si="351"/>
        <v>4.088872841426304</v>
      </c>
      <c r="Y437" s="106">
        <f t="shared" si="351"/>
        <v>5.0347505296979636</v>
      </c>
      <c r="Z437" s="106">
        <f t="shared" si="351"/>
        <v>4.5580877576555521</v>
      </c>
      <c r="AA437" s="106">
        <f t="shared" si="351"/>
        <v>3.619657925197056</v>
      </c>
      <c r="AB437" s="106">
        <f t="shared" si="351"/>
        <v>4.24527781350272</v>
      </c>
      <c r="AC437" s="106">
        <f t="shared" si="351"/>
        <v>4.4016827855791361</v>
      </c>
      <c r="AD437" s="106">
        <f t="shared" si="351"/>
        <v>4.2527256693158835</v>
      </c>
      <c r="AE437" s="106">
        <f t="shared" si="351"/>
        <v>4.5580877576555521</v>
      </c>
      <c r="AF437" s="106" t="str">
        <f t="shared" si="351"/>
        <v/>
      </c>
      <c r="AG437" s="106">
        <f t="shared" si="351"/>
        <v>3.3068479810442244</v>
      </c>
      <c r="AH437" s="106">
        <f t="shared" si="351"/>
        <v>4.5655356134687146</v>
      </c>
      <c r="AI437" s="106">
        <f t="shared" si="351"/>
        <v>2.9865901810782294</v>
      </c>
      <c r="AJ437" s="106">
        <f t="shared" si="351"/>
        <v>4.24527781350272</v>
      </c>
      <c r="AK437" s="106">
        <f t="shared" si="351"/>
        <v>3.4558050973074779</v>
      </c>
      <c r="AL437" s="194">
        <f t="shared" si="346"/>
        <v>3.9840511670188299</v>
      </c>
      <c r="AM437" s="194">
        <f t="shared" si="347"/>
        <v>0.50666446900641504</v>
      </c>
      <c r="AN437" s="56">
        <f t="shared" si="348"/>
        <v>0.12717318321630391</v>
      </c>
      <c r="AO437" s="210"/>
      <c r="AP437" s="74"/>
    </row>
    <row r="438" spans="1:42" s="193" customFormat="1">
      <c r="A438" s="208"/>
      <c r="B438" s="242"/>
      <c r="C438" s="210" t="str">
        <f>Calculations!D67</f>
        <v>D65</v>
      </c>
      <c r="D438" s="210"/>
      <c r="E438" s="210"/>
      <c r="F438" s="106" t="str">
        <f>IF(AND(F$305,F421&lt;&gt;""),F421,"")</f>
        <v/>
      </c>
      <c r="G438" s="106" t="str">
        <f t="shared" ref="G438:AK438" si="352">IF(AND(G$305,G421&lt;&gt;""),G421,"")</f>
        <v/>
      </c>
      <c r="H438" s="106">
        <f t="shared" si="352"/>
        <v>6.5317695708501908</v>
      </c>
      <c r="I438" s="106">
        <f t="shared" si="352"/>
        <v>7.6563957759312222</v>
      </c>
      <c r="J438" s="106" t="str">
        <f t="shared" si="352"/>
        <v/>
      </c>
      <c r="K438" s="106">
        <f t="shared" si="352"/>
        <v>7.6266043526785721</v>
      </c>
      <c r="L438" s="106">
        <f t="shared" si="352"/>
        <v>7.3212422870454343</v>
      </c>
      <c r="M438" s="106" t="str">
        <f t="shared" si="352"/>
        <v/>
      </c>
      <c r="N438" s="106">
        <f t="shared" si="352"/>
        <v>7.4776472364153186</v>
      </c>
      <c r="O438" s="106">
        <f t="shared" si="352"/>
        <v>7.3063465754191084</v>
      </c>
      <c r="P438" s="106">
        <f t="shared" si="352"/>
        <v>7.2765551521664573</v>
      </c>
      <c r="Q438" s="106">
        <f t="shared" si="352"/>
        <v>6.8222359248570035</v>
      </c>
      <c r="R438" s="106">
        <f t="shared" si="352"/>
        <v>6.7998923801240467</v>
      </c>
      <c r="S438" s="106">
        <f t="shared" si="352"/>
        <v>7.5968129294259219</v>
      </c>
      <c r="T438" s="106">
        <f t="shared" si="352"/>
        <v>7.2914508637927824</v>
      </c>
      <c r="U438" s="106">
        <f t="shared" si="352"/>
        <v>7.4031686782836914</v>
      </c>
      <c r="V438" s="106">
        <f t="shared" si="352"/>
        <v>6.9935366312662763</v>
      </c>
      <c r="W438" s="106">
        <f t="shared" si="352"/>
        <v>7.6489479428245906</v>
      </c>
      <c r="X438" s="106">
        <f t="shared" si="352"/>
        <v>6.986088752746582</v>
      </c>
      <c r="Y438" s="106">
        <f t="shared" si="352"/>
        <v>8.6320653642926892</v>
      </c>
      <c r="Z438" s="106">
        <f t="shared" si="352"/>
        <v>8.2745678311302555</v>
      </c>
      <c r="AA438" s="106">
        <f t="shared" si="352"/>
        <v>7.1275980359032038</v>
      </c>
      <c r="AB438" s="106">
        <f t="shared" si="352"/>
        <v>6.688174520220076</v>
      </c>
      <c r="AC438" s="106">
        <f t="shared" si="352"/>
        <v>7.3137944085257391</v>
      </c>
      <c r="AD438" s="106">
        <f t="shared" si="352"/>
        <v>7.3510337102980827</v>
      </c>
      <c r="AE438" s="106">
        <f t="shared" si="352"/>
        <v>7.2244201387677878</v>
      </c>
      <c r="AF438" s="106" t="str">
        <f t="shared" si="352"/>
        <v/>
      </c>
      <c r="AG438" s="106">
        <f t="shared" si="352"/>
        <v>6.956297329493931</v>
      </c>
      <c r="AH438" s="106">
        <f t="shared" si="352"/>
        <v>7.8425921939668193</v>
      </c>
      <c r="AI438" s="106">
        <f t="shared" si="352"/>
        <v>7.3957208451770597</v>
      </c>
      <c r="AJ438" s="106">
        <f t="shared" si="352"/>
        <v>7.6266043526785721</v>
      </c>
      <c r="AK438" s="106">
        <f t="shared" si="352"/>
        <v>7.0978066126505528</v>
      </c>
      <c r="AL438" s="194">
        <f t="shared" si="346"/>
        <v>7.3433100147011849</v>
      </c>
      <c r="AM438" s="194">
        <f t="shared" si="347"/>
        <v>0.45586855472390081</v>
      </c>
      <c r="AN438" s="56">
        <f t="shared" si="348"/>
        <v>6.2079437448679074E-2</v>
      </c>
      <c r="AO438" s="210"/>
      <c r="AP438" s="74"/>
    </row>
    <row r="439" spans="1:42" s="193" customFormat="1">
      <c r="A439" s="208"/>
      <c r="B439" s="242"/>
      <c r="C439" s="210"/>
      <c r="D439" s="210"/>
      <c r="E439" s="210"/>
      <c r="F439" s="100"/>
      <c r="G439" s="100"/>
      <c r="H439" s="100"/>
      <c r="I439" s="100"/>
      <c r="J439" s="100"/>
      <c r="K439" s="100"/>
      <c r="L439" s="100"/>
      <c r="M439" s="100"/>
      <c r="N439" s="100"/>
      <c r="O439" s="100"/>
      <c r="P439" s="100"/>
      <c r="Q439" s="100"/>
      <c r="R439" s="100"/>
      <c r="S439" s="100"/>
      <c r="T439" s="100"/>
      <c r="U439" s="100"/>
      <c r="V439" s="100"/>
      <c r="W439" s="100"/>
      <c r="X439" s="100"/>
      <c r="Y439" s="100"/>
      <c r="Z439" s="100"/>
      <c r="AA439" s="100"/>
      <c r="AB439" s="100"/>
      <c r="AC439" s="100"/>
      <c r="AD439" s="100"/>
      <c r="AE439" s="100"/>
      <c r="AF439" s="100"/>
      <c r="AG439" s="100"/>
      <c r="AH439" s="100"/>
      <c r="AI439" s="100"/>
      <c r="AJ439" s="100"/>
      <c r="AK439" s="100"/>
      <c r="AL439" s="197"/>
      <c r="AM439" s="197"/>
      <c r="AN439" s="56"/>
      <c r="AO439" s="210"/>
      <c r="AP439" s="74"/>
    </row>
    <row r="440" spans="1:42" s="193" customFormat="1">
      <c r="A440" s="208"/>
      <c r="B440" s="210"/>
      <c r="C440" s="210"/>
      <c r="D440" s="210"/>
      <c r="E440" s="210"/>
      <c r="F440" s="100"/>
      <c r="G440" s="100"/>
      <c r="H440" s="100"/>
      <c r="I440" s="100"/>
      <c r="J440" s="100"/>
      <c r="K440" s="100"/>
      <c r="L440" s="100"/>
      <c r="M440" s="100"/>
      <c r="N440" s="100"/>
      <c r="O440" s="100"/>
      <c r="P440" s="100"/>
      <c r="Q440" s="100"/>
      <c r="R440" s="100"/>
      <c r="S440" s="100"/>
      <c r="T440" s="100"/>
      <c r="U440" s="100"/>
      <c r="V440" s="100"/>
      <c r="W440" s="100"/>
      <c r="X440" s="100"/>
      <c r="Y440" s="100"/>
      <c r="Z440" s="100"/>
      <c r="AA440" s="100"/>
      <c r="AB440" s="100"/>
      <c r="AC440" s="100"/>
      <c r="AD440" s="100"/>
      <c r="AE440" s="100"/>
      <c r="AF440" s="100"/>
      <c r="AG440" s="100"/>
      <c r="AH440" s="100"/>
      <c r="AI440" s="100"/>
      <c r="AJ440" s="100"/>
      <c r="AK440" s="100"/>
      <c r="AL440" s="197"/>
      <c r="AM440" s="197"/>
      <c r="AN440" s="56"/>
      <c r="AO440" s="210"/>
      <c r="AP440" s="74"/>
    </row>
    <row r="441" spans="1:42" s="193" customFormat="1">
      <c r="A441" s="208"/>
      <c r="B441" s="210"/>
      <c r="C441" s="210"/>
      <c r="D441" s="210"/>
      <c r="E441" s="210"/>
      <c r="F441" s="100"/>
      <c r="G441" s="100"/>
      <c r="H441" s="100"/>
      <c r="I441" s="100"/>
      <c r="J441" s="100"/>
      <c r="K441" s="100"/>
      <c r="L441" s="100"/>
      <c r="M441" s="100"/>
      <c r="N441" s="100"/>
      <c r="O441" s="100"/>
      <c r="P441" s="100"/>
      <c r="Q441" s="100"/>
      <c r="R441" s="100"/>
      <c r="S441" s="100"/>
      <c r="T441" s="100"/>
      <c r="U441" s="100"/>
      <c r="V441" s="100"/>
      <c r="W441" s="100"/>
      <c r="X441" s="100"/>
      <c r="Y441" s="100"/>
      <c r="Z441" s="100"/>
      <c r="AA441" s="100"/>
      <c r="AB441" s="100"/>
      <c r="AC441" s="100"/>
      <c r="AD441" s="100"/>
      <c r="AE441" s="100"/>
      <c r="AF441" s="100"/>
      <c r="AG441" s="100"/>
      <c r="AH441" s="100"/>
      <c r="AI441" s="100"/>
      <c r="AJ441" s="100"/>
      <c r="AK441" s="100"/>
      <c r="AL441" s="197"/>
      <c r="AM441" s="197"/>
      <c r="AN441" s="56"/>
      <c r="AO441" s="210"/>
      <c r="AP441" s="74"/>
    </row>
    <row r="442" spans="1:42" s="193" customFormat="1">
      <c r="A442" s="208"/>
      <c r="B442" s="210"/>
      <c r="C442" s="210"/>
      <c r="D442" s="210"/>
      <c r="E442" s="210"/>
      <c r="F442" s="100"/>
      <c r="G442" s="100"/>
      <c r="H442" s="100"/>
      <c r="I442" s="100"/>
      <c r="J442" s="100"/>
      <c r="K442" s="100"/>
      <c r="L442" s="100"/>
      <c r="M442" s="100"/>
      <c r="N442" s="100"/>
      <c r="O442" s="100"/>
      <c r="P442" s="100"/>
      <c r="Q442" s="100"/>
      <c r="R442" s="100"/>
      <c r="S442" s="100"/>
      <c r="T442" s="100"/>
      <c r="U442" s="100"/>
      <c r="V442" s="100"/>
      <c r="W442" s="100"/>
      <c r="X442" s="100"/>
      <c r="Y442" s="100"/>
      <c r="Z442" s="100"/>
      <c r="AA442" s="100"/>
      <c r="AB442" s="100"/>
      <c r="AC442" s="100"/>
      <c r="AD442" s="100"/>
      <c r="AE442" s="100"/>
      <c r="AF442" s="100"/>
      <c r="AG442" s="100"/>
      <c r="AH442" s="100"/>
      <c r="AI442" s="100"/>
      <c r="AJ442" s="100"/>
      <c r="AK442" s="100"/>
      <c r="AL442" s="197"/>
      <c r="AM442" s="197"/>
      <c r="AN442" s="56"/>
      <c r="AO442" s="210"/>
      <c r="AP442" s="74"/>
    </row>
    <row r="443" spans="1:42" s="193" customFormat="1">
      <c r="A443" s="208"/>
      <c r="B443" s="210"/>
      <c r="C443" s="210"/>
      <c r="D443" s="210"/>
      <c r="E443" s="210"/>
      <c r="F443" s="100"/>
      <c r="G443" s="100"/>
      <c r="H443" s="100"/>
      <c r="I443" s="100"/>
      <c r="J443" s="100"/>
      <c r="K443" s="100"/>
      <c r="L443" s="100"/>
      <c r="M443" s="100"/>
      <c r="N443" s="100"/>
      <c r="O443" s="100"/>
      <c r="P443" s="100"/>
      <c r="Q443" s="100"/>
      <c r="R443" s="100"/>
      <c r="S443" s="100"/>
      <c r="T443" s="100"/>
      <c r="U443" s="100"/>
      <c r="V443" s="100"/>
      <c r="W443" s="100"/>
      <c r="X443" s="100"/>
      <c r="Y443" s="100"/>
      <c r="Z443" s="100"/>
      <c r="AA443" s="100"/>
      <c r="AB443" s="100"/>
      <c r="AC443" s="100"/>
      <c r="AD443" s="100"/>
      <c r="AE443" s="100"/>
      <c r="AF443" s="100"/>
      <c r="AG443" s="100"/>
      <c r="AH443" s="100"/>
      <c r="AI443" s="100"/>
      <c r="AJ443" s="100"/>
      <c r="AK443" s="100"/>
      <c r="AL443" s="197"/>
      <c r="AM443" s="197"/>
      <c r="AN443" s="56"/>
      <c r="AO443" s="210"/>
      <c r="AP443" s="74"/>
    </row>
    <row r="444" spans="1:42" s="193" customFormat="1">
      <c r="A444" s="208"/>
      <c r="B444" s="210"/>
      <c r="C444" s="210"/>
      <c r="D444" s="210"/>
      <c r="E444" s="210"/>
      <c r="F444" s="100"/>
      <c r="G444" s="100"/>
      <c r="H444" s="100"/>
      <c r="I444" s="100"/>
      <c r="J444" s="100"/>
      <c r="K444" s="100"/>
      <c r="L444" s="100"/>
      <c r="M444" s="100"/>
      <c r="N444" s="100"/>
      <c r="O444" s="100"/>
      <c r="P444" s="100"/>
      <c r="Q444" s="100"/>
      <c r="R444" s="100"/>
      <c r="S444" s="100"/>
      <c r="T444" s="100"/>
      <c r="U444" s="100"/>
      <c r="V444" s="100"/>
      <c r="W444" s="100"/>
      <c r="X444" s="100"/>
      <c r="Y444" s="100"/>
      <c r="Z444" s="100"/>
      <c r="AA444" s="100"/>
      <c r="AB444" s="100"/>
      <c r="AC444" s="100"/>
      <c r="AD444" s="100"/>
      <c r="AE444" s="100"/>
      <c r="AF444" s="100"/>
      <c r="AG444" s="100"/>
      <c r="AH444" s="100"/>
      <c r="AI444" s="100"/>
      <c r="AJ444" s="100"/>
      <c r="AK444" s="100"/>
      <c r="AL444" s="197"/>
      <c r="AM444" s="197"/>
      <c r="AN444" s="56"/>
      <c r="AO444" s="210"/>
      <c r="AP444" s="74"/>
    </row>
    <row r="445" spans="1:42" s="193" customFormat="1">
      <c r="A445" s="208"/>
      <c r="B445" s="210"/>
      <c r="C445" s="210"/>
      <c r="D445" s="210"/>
      <c r="E445" s="210"/>
      <c r="F445" s="100"/>
      <c r="G445" s="100"/>
      <c r="H445" s="100"/>
      <c r="I445" s="100"/>
      <c r="J445" s="100"/>
      <c r="K445" s="100"/>
      <c r="L445" s="100"/>
      <c r="M445" s="100"/>
      <c r="N445" s="100"/>
      <c r="O445" s="100"/>
      <c r="P445" s="100"/>
      <c r="Q445" s="100"/>
      <c r="R445" s="100"/>
      <c r="S445" s="100"/>
      <c r="T445" s="100"/>
      <c r="U445" s="100"/>
      <c r="V445" s="100"/>
      <c r="W445" s="100"/>
      <c r="X445" s="100"/>
      <c r="Y445" s="100"/>
      <c r="Z445" s="100"/>
      <c r="AA445" s="100"/>
      <c r="AB445" s="100"/>
      <c r="AC445" s="100"/>
      <c r="AD445" s="100"/>
      <c r="AE445" s="100"/>
      <c r="AF445" s="100"/>
      <c r="AG445" s="100"/>
      <c r="AH445" s="100"/>
      <c r="AI445" s="100"/>
      <c r="AJ445" s="100"/>
      <c r="AK445" s="100"/>
      <c r="AL445" s="197"/>
      <c r="AM445" s="197"/>
      <c r="AN445" s="56"/>
      <c r="AO445" s="210"/>
      <c r="AP445" s="74"/>
    </row>
    <row r="446" spans="1:42" s="193" customFormat="1">
      <c r="A446" s="208"/>
      <c r="B446" s="210"/>
      <c r="C446" s="210"/>
      <c r="D446" s="210"/>
      <c r="E446" s="210"/>
      <c r="F446" s="100"/>
      <c r="G446" s="100"/>
      <c r="H446" s="100"/>
      <c r="I446" s="100"/>
      <c r="J446" s="100"/>
      <c r="K446" s="100"/>
      <c r="L446" s="100"/>
      <c r="M446" s="100"/>
      <c r="N446" s="100"/>
      <c r="O446" s="100"/>
      <c r="P446" s="100"/>
      <c r="Q446" s="100"/>
      <c r="R446" s="100"/>
      <c r="S446" s="100"/>
      <c r="T446" s="100"/>
      <c r="U446" s="100"/>
      <c r="V446" s="100"/>
      <c r="W446" s="100"/>
      <c r="X446" s="100"/>
      <c r="Y446" s="100"/>
      <c r="Z446" s="100"/>
      <c r="AA446" s="100"/>
      <c r="AB446" s="100"/>
      <c r="AC446" s="100"/>
      <c r="AD446" s="100"/>
      <c r="AE446" s="100"/>
      <c r="AF446" s="100"/>
      <c r="AG446" s="100"/>
      <c r="AH446" s="100"/>
      <c r="AI446" s="100"/>
      <c r="AJ446" s="100"/>
      <c r="AK446" s="100"/>
      <c r="AL446" s="197"/>
      <c r="AM446" s="197"/>
      <c r="AN446" s="56"/>
      <c r="AO446" s="210"/>
      <c r="AP446" s="74"/>
    </row>
    <row r="447" spans="1:42" s="105" customFormat="1">
      <c r="A447" s="159"/>
      <c r="B447" s="172"/>
      <c r="C447" s="172"/>
      <c r="D447" s="172"/>
      <c r="E447" s="172"/>
      <c r="F447" s="100"/>
      <c r="G447" s="100"/>
      <c r="H447" s="100"/>
      <c r="I447" s="100"/>
      <c r="J447" s="100"/>
      <c r="K447" s="100"/>
      <c r="L447" s="100"/>
      <c r="M447" s="100"/>
      <c r="N447" s="100"/>
      <c r="O447" s="100"/>
      <c r="P447" s="100"/>
      <c r="Q447" s="100"/>
      <c r="R447" s="100"/>
      <c r="S447" s="100"/>
      <c r="T447" s="100"/>
      <c r="U447" s="100"/>
      <c r="V447" s="100"/>
      <c r="W447" s="100"/>
      <c r="X447" s="100"/>
      <c r="Y447" s="100"/>
      <c r="Z447" s="100"/>
      <c r="AA447" s="100"/>
      <c r="AB447" s="100"/>
      <c r="AC447" s="100"/>
      <c r="AD447" s="100"/>
      <c r="AE447" s="100"/>
      <c r="AF447" s="100"/>
      <c r="AG447" s="100"/>
      <c r="AH447" s="100"/>
      <c r="AI447" s="100"/>
      <c r="AJ447" s="100"/>
      <c r="AK447" s="100"/>
      <c r="AL447" s="103"/>
      <c r="AM447" s="103"/>
      <c r="AN447" s="56"/>
      <c r="AO447" s="172"/>
      <c r="AP447" s="172"/>
    </row>
    <row r="448" spans="1:42" s="105" customFormat="1">
      <c r="A448" s="159"/>
      <c r="B448" s="172"/>
      <c r="C448" s="172"/>
      <c r="D448" s="172"/>
      <c r="E448" s="172"/>
      <c r="F448" s="100"/>
      <c r="G448" s="100"/>
      <c r="H448" s="100"/>
      <c r="I448" s="100"/>
      <c r="J448" s="100"/>
      <c r="K448" s="100"/>
      <c r="L448" s="100"/>
      <c r="M448" s="100"/>
      <c r="N448" s="100"/>
      <c r="O448" s="100"/>
      <c r="P448" s="100"/>
      <c r="Q448" s="100"/>
      <c r="R448" s="100"/>
      <c r="S448" s="100"/>
      <c r="T448" s="100"/>
      <c r="U448" s="100"/>
      <c r="V448" s="100"/>
      <c r="W448" s="100"/>
      <c r="X448" s="100"/>
      <c r="Y448" s="100"/>
      <c r="Z448" s="100"/>
      <c r="AA448" s="100"/>
      <c r="AB448" s="100"/>
      <c r="AC448" s="100"/>
      <c r="AD448" s="100"/>
      <c r="AE448" s="100"/>
      <c r="AF448" s="100"/>
      <c r="AG448" s="100"/>
      <c r="AH448" s="100"/>
      <c r="AI448" s="100"/>
      <c r="AJ448" s="100"/>
      <c r="AK448" s="100"/>
      <c r="AL448" s="103"/>
      <c r="AM448" s="103"/>
      <c r="AN448" s="56"/>
      <c r="AO448" s="172"/>
      <c r="AP448" s="172"/>
    </row>
    <row r="449" spans="1:42" s="105" customFormat="1">
      <c r="A449" s="159"/>
      <c r="B449" s="172"/>
      <c r="C449" s="172"/>
      <c r="D449" s="172"/>
      <c r="E449" s="172"/>
      <c r="F449" s="100"/>
      <c r="G449" s="100"/>
      <c r="H449" s="100"/>
      <c r="I449" s="100"/>
      <c r="J449" s="100"/>
      <c r="K449" s="100"/>
      <c r="L449" s="100"/>
      <c r="M449" s="100"/>
      <c r="N449" s="100"/>
      <c r="O449" s="100"/>
      <c r="P449" s="100"/>
      <c r="Q449" s="100"/>
      <c r="R449" s="100"/>
      <c r="S449" s="100"/>
      <c r="T449" s="100"/>
      <c r="U449" s="100"/>
      <c r="V449" s="100"/>
      <c r="W449" s="100"/>
      <c r="X449" s="100"/>
      <c r="Y449" s="100"/>
      <c r="Z449" s="100"/>
      <c r="AA449" s="100"/>
      <c r="AB449" s="100"/>
      <c r="AC449" s="100"/>
      <c r="AD449" s="100"/>
      <c r="AE449" s="100"/>
      <c r="AF449" s="100"/>
      <c r="AG449" s="100"/>
      <c r="AH449" s="100"/>
      <c r="AI449" s="100"/>
      <c r="AJ449" s="100"/>
      <c r="AK449" s="100"/>
      <c r="AL449" s="103"/>
      <c r="AM449" s="103"/>
      <c r="AN449" s="56"/>
      <c r="AO449" s="172"/>
      <c r="AP449" s="172"/>
    </row>
    <row r="450" spans="1:42">
      <c r="A450" s="74"/>
    </row>
    <row r="451" spans="1:42">
      <c r="A451" s="74"/>
      <c r="F451" s="304" t="str">
        <f>Calculations!J9</f>
        <v>Range: LO</v>
      </c>
      <c r="G451" s="304"/>
      <c r="H451" s="304"/>
      <c r="J451" s="304" t="str">
        <f>Calculations!N9</f>
        <v>Range: HI</v>
      </c>
      <c r="K451" s="304"/>
      <c r="L451" s="304"/>
    </row>
    <row r="452" spans="1:42">
      <c r="F452" s="111" t="s">
        <v>67</v>
      </c>
      <c r="G452" s="111" t="s">
        <v>68</v>
      </c>
      <c r="H452" s="111" t="s">
        <v>69</v>
      </c>
      <c r="I452" s="172" t="str">
        <f>C423</f>
        <v>ΔIR</v>
      </c>
      <c r="J452" s="111" t="str">
        <f>F452</f>
        <v>R</v>
      </c>
      <c r="K452" s="111" t="str">
        <f>G452</f>
        <v>G</v>
      </c>
      <c r="L452" s="111" t="str">
        <f>H452</f>
        <v>B</v>
      </c>
      <c r="M452" s="159" t="str">
        <f>I452</f>
        <v>ΔIR</v>
      </c>
    </row>
    <row r="453" spans="1:42">
      <c r="D453" s="74"/>
      <c r="E453" s="42" t="str">
        <f>Calculations!B11</f>
        <v>HZ</v>
      </c>
      <c r="F453" s="114">
        <f t="array" ref="F453:I453">TRANSPOSE(AL306:AL309)</f>
        <v>40.97407658894857</v>
      </c>
      <c r="G453" s="114">
        <v>3.9153419088644545</v>
      </c>
      <c r="H453" s="114">
        <v>38.551495022243927</v>
      </c>
      <c r="I453" s="97">
        <v>-1.4613024913371382E-2</v>
      </c>
      <c r="J453" s="114">
        <f t="array" ref="J453:M453">TRANSPOSE(AL310:AL313)</f>
        <v>43.561681535508896</v>
      </c>
      <c r="K453" s="114">
        <v>4.2430711103705088</v>
      </c>
      <c r="L453" s="114">
        <v>41.041823916965058</v>
      </c>
      <c r="M453" s="97">
        <v>-1.458985538094313E-2</v>
      </c>
    </row>
    <row r="454" spans="1:42">
      <c r="D454" s="74"/>
      <c r="E454" s="111" t="str">
        <f>Calculations!B12</f>
        <v>A</v>
      </c>
      <c r="F454" s="114">
        <f t="array" ref="F454:I454">TRANSPOSE(AL328:AL331)</f>
        <v>30.690131575972945</v>
      </c>
      <c r="G454" s="114">
        <v>6.7720386628751399</v>
      </c>
      <c r="H454" s="114">
        <v>31.038757818716544</v>
      </c>
      <c r="I454" s="97">
        <v>-1.2840565948698986E-2</v>
      </c>
      <c r="J454" s="114">
        <f t="array" ref="J454:M454">TRANSPOSE(AL332:AL335)</f>
        <v>32.717603471544052</v>
      </c>
      <c r="K454" s="114">
        <v>7.2213858885319366</v>
      </c>
      <c r="L454" s="114">
        <v>33.117305261117444</v>
      </c>
      <c r="M454" s="97">
        <v>-1.2833317784899092E-2</v>
      </c>
    </row>
    <row r="455" spans="1:42">
      <c r="D455" s="74"/>
      <c r="E455" s="111" t="str">
        <f>Calculations!B13</f>
        <v>U30</v>
      </c>
      <c r="F455" s="114">
        <f t="array" ref="F455:I455">TRANSPOSE(AL350:AL353)</f>
        <v>0.87527444627549911</v>
      </c>
      <c r="G455" s="114">
        <v>3.9443259516721052</v>
      </c>
      <c r="H455" s="114">
        <v>2.6018751638906972</v>
      </c>
      <c r="I455" s="97">
        <v>-1.4939876220156686E-3</v>
      </c>
      <c r="J455" s="114">
        <f t="array" ref="J455:M455">TRANSPOSE(AL354:AL357)</f>
        <v>1.0253214836120605</v>
      </c>
      <c r="K455" s="114">
        <v>4.2781035483829557</v>
      </c>
      <c r="L455" s="114">
        <v>2.8500461578369141</v>
      </c>
      <c r="M455" s="97">
        <v>-1.473061878054308E-3</v>
      </c>
    </row>
    <row r="456" spans="1:42">
      <c r="D456" s="74"/>
      <c r="E456" s="111" t="str">
        <f>Calculations!B14</f>
        <v>U35</v>
      </c>
      <c r="F456" s="114">
        <f t="array" ref="F456:I456">TRANSPOSE(AL372:AL375)</f>
        <v>0.80109864694100841</v>
      </c>
      <c r="G456" s="114">
        <v>4.2560258185001496</v>
      </c>
      <c r="H456" s="114">
        <v>3.1251324900874384</v>
      </c>
      <c r="I456" s="97">
        <v>-1.4729915853562304E-3</v>
      </c>
      <c r="J456" s="114">
        <f t="array" ref="J456:M456">TRANSPOSE(AL376:AL379)</f>
        <v>0.93263705571492517</v>
      </c>
      <c r="K456" s="114">
        <v>4.5986371948605491</v>
      </c>
      <c r="L456" s="114">
        <v>3.4119455019632974</v>
      </c>
      <c r="M456" s="97">
        <v>-1.4736956673901682E-3</v>
      </c>
    </row>
    <row r="457" spans="1:42">
      <c r="D457" s="74"/>
      <c r="E457" s="111" t="str">
        <f>Calculations!B15</f>
        <v>CWF</v>
      </c>
      <c r="F457" s="114">
        <f t="array" ref="F457:I457">TRANSPOSE(AL394:AL397)</f>
        <v>0.67203275583408495</v>
      </c>
      <c r="G457" s="114">
        <v>3.6745177866920593</v>
      </c>
      <c r="H457" s="114">
        <v>3.1933742099338107</v>
      </c>
      <c r="I457" s="97">
        <v>-1.6677033372978203E-3</v>
      </c>
      <c r="J457" s="114">
        <f t="array" ref="J457:M457">TRANSPOSE(AL398:AL401)</f>
        <v>0.787817637125651</v>
      </c>
      <c r="K457" s="114">
        <v>3.9840511670188299</v>
      </c>
      <c r="L457" s="114">
        <v>3.4698732693990073</v>
      </c>
      <c r="M457" s="97">
        <v>-1.6546603149772932E-3</v>
      </c>
    </row>
    <row r="458" spans="1:42">
      <c r="D458" s="74"/>
      <c r="E458" s="111" t="str">
        <f>Calculations!B16</f>
        <v>D65</v>
      </c>
      <c r="F458" s="114">
        <f t="array" ref="F458:I458">TRANSPOSE(AL416:AL419)</f>
        <v>7.7352644425851329</v>
      </c>
      <c r="G458" s="114">
        <v>6.877761898007134</v>
      </c>
      <c r="H458" s="114">
        <v>13.964972072177464</v>
      </c>
      <c r="I458" s="97">
        <v>-7.0079987106840035E-3</v>
      </c>
      <c r="J458" s="114">
        <f t="array" ref="J458:M458">TRANSPOSE(AL420:AL423)</f>
        <v>8.2662924660576707</v>
      </c>
      <c r="K458" s="114">
        <v>7.3433100147011849</v>
      </c>
      <c r="L458" s="114">
        <v>14.922193068045157</v>
      </c>
      <c r="M458" s="97">
        <v>-7.0246432255271288E-3</v>
      </c>
    </row>
    <row r="459" spans="1:42">
      <c r="D459" s="74"/>
      <c r="E459" s="111"/>
    </row>
    <row r="460" spans="1:42">
      <c r="D460" s="74"/>
      <c r="E460" s="111"/>
    </row>
    <row r="461" spans="1:42">
      <c r="D461" s="74"/>
      <c r="E461" s="111"/>
    </row>
    <row r="462" spans="1:42">
      <c r="D462" s="74"/>
      <c r="E462" s="111"/>
    </row>
    <row r="463" spans="1:42">
      <c r="D463" s="74"/>
      <c r="E463" s="111"/>
    </row>
    <row r="464" spans="1:42">
      <c r="D464" s="74"/>
      <c r="E464" s="111"/>
    </row>
  </sheetData>
  <mergeCells count="98">
    <mergeCell ref="A372:A379"/>
    <mergeCell ref="B372:B375"/>
    <mergeCell ref="B376:B379"/>
    <mergeCell ref="A328:A335"/>
    <mergeCell ref="B328:B331"/>
    <mergeCell ref="B332:B335"/>
    <mergeCell ref="A350:A357"/>
    <mergeCell ref="B350:B353"/>
    <mergeCell ref="B354:B357"/>
    <mergeCell ref="A139:A150"/>
    <mergeCell ref="B139:C143"/>
    <mergeCell ref="B144:C148"/>
    <mergeCell ref="B149:C150"/>
    <mergeCell ref="AD184:AK184"/>
    <mergeCell ref="A151:AS152"/>
    <mergeCell ref="A153:D154"/>
    <mergeCell ref="AL153:AL154"/>
    <mergeCell ref="AM153:AM154"/>
    <mergeCell ref="AN153:AN154"/>
    <mergeCell ref="AL1:AL2"/>
    <mergeCell ref="AM1:AM2"/>
    <mergeCell ref="AN1:AN2"/>
    <mergeCell ref="C6:C8"/>
    <mergeCell ref="B3:B8"/>
    <mergeCell ref="A3:A14"/>
    <mergeCell ref="C12:C14"/>
    <mergeCell ref="B15:B20"/>
    <mergeCell ref="B21:B26"/>
    <mergeCell ref="A15:A26"/>
    <mergeCell ref="C18:C20"/>
    <mergeCell ref="C24:C26"/>
    <mergeCell ref="B9:B14"/>
    <mergeCell ref="A27:A38"/>
    <mergeCell ref="B27:B32"/>
    <mergeCell ref="B33:B38"/>
    <mergeCell ref="C30:C32"/>
    <mergeCell ref="C36:C38"/>
    <mergeCell ref="A39:A50"/>
    <mergeCell ref="B39:B44"/>
    <mergeCell ref="B45:B50"/>
    <mergeCell ref="C42:C44"/>
    <mergeCell ref="C48:C50"/>
    <mergeCell ref="A51:A62"/>
    <mergeCell ref="B51:B56"/>
    <mergeCell ref="C54:C56"/>
    <mergeCell ref="B57:B62"/>
    <mergeCell ref="C60:C62"/>
    <mergeCell ref="A79:A90"/>
    <mergeCell ref="B63:B68"/>
    <mergeCell ref="C66:C68"/>
    <mergeCell ref="B69:B74"/>
    <mergeCell ref="C72:C74"/>
    <mergeCell ref="A63:A74"/>
    <mergeCell ref="B89:C90"/>
    <mergeCell ref="B84:C88"/>
    <mergeCell ref="B79:C83"/>
    <mergeCell ref="A75:AS76"/>
    <mergeCell ref="AL77:AL78"/>
    <mergeCell ref="AM77:AM78"/>
    <mergeCell ref="AN77:AN78"/>
    <mergeCell ref="A77:D78"/>
    <mergeCell ref="A91:A102"/>
    <mergeCell ref="B91:C95"/>
    <mergeCell ref="B96:C100"/>
    <mergeCell ref="B101:C102"/>
    <mergeCell ref="A103:A114"/>
    <mergeCell ref="B103:C107"/>
    <mergeCell ref="B108:C112"/>
    <mergeCell ref="B113:C114"/>
    <mergeCell ref="A115:A126"/>
    <mergeCell ref="B115:C119"/>
    <mergeCell ref="B120:C124"/>
    <mergeCell ref="B125:C126"/>
    <mergeCell ref="A127:A138"/>
    <mergeCell ref="B127:C131"/>
    <mergeCell ref="B132:C136"/>
    <mergeCell ref="B137:C138"/>
    <mergeCell ref="D165:D166"/>
    <mergeCell ref="D167:D168"/>
    <mergeCell ref="D169:D170"/>
    <mergeCell ref="A304:B305"/>
    <mergeCell ref="C304:D305"/>
    <mergeCell ref="A306:A313"/>
    <mergeCell ref="AN304:AN305"/>
    <mergeCell ref="F451:H451"/>
    <mergeCell ref="J451:L451"/>
    <mergeCell ref="AL304:AL305"/>
    <mergeCell ref="AM304:AM305"/>
    <mergeCell ref="B306:B309"/>
    <mergeCell ref="B310:B313"/>
    <mergeCell ref="B428:B433"/>
    <mergeCell ref="B434:B439"/>
    <mergeCell ref="A394:A401"/>
    <mergeCell ref="B394:B397"/>
    <mergeCell ref="B398:B401"/>
    <mergeCell ref="A416:A423"/>
    <mergeCell ref="B416:B419"/>
    <mergeCell ref="B420:B423"/>
  </mergeCells>
  <conditionalFormatting sqref="F79:AK79">
    <cfRule type="top10" dxfId="161" priority="387" percent="1" bottom="1" rank="10"/>
    <cfRule type="top10" dxfId="160" priority="388" percent="1" rank="10"/>
  </conditionalFormatting>
  <conditionalFormatting sqref="F80:AK80">
    <cfRule type="top10" dxfId="159" priority="385" percent="1" bottom="1" rank="10"/>
    <cfRule type="top10" dxfId="158" priority="386" percent="1" rank="10"/>
  </conditionalFormatting>
  <conditionalFormatting sqref="F81:AK81">
    <cfRule type="top10" dxfId="157" priority="383" percent="1" bottom="1" rank="10"/>
    <cfRule type="top10" dxfId="156" priority="384" percent="1" rank="10"/>
  </conditionalFormatting>
  <conditionalFormatting sqref="F82:AK82">
    <cfRule type="top10" dxfId="155" priority="381" percent="1" bottom="1" rank="10"/>
    <cfRule type="top10" dxfId="154" priority="382" percent="1" rank="10"/>
  </conditionalFormatting>
  <conditionalFormatting sqref="F83:AL83">
    <cfRule type="top10" dxfId="153" priority="379" percent="1" bottom="1" rank="10"/>
    <cfRule type="top10" dxfId="152" priority="380" percent="1" rank="10"/>
  </conditionalFormatting>
  <conditionalFormatting sqref="F84:AK84">
    <cfRule type="top10" dxfId="151" priority="377" percent="1" bottom="1" rank="10"/>
    <cfRule type="top10" dxfId="150" priority="378" percent="1" rank="10"/>
  </conditionalFormatting>
  <conditionalFormatting sqref="F85:AK85">
    <cfRule type="top10" dxfId="149" priority="375" percent="1" bottom="1" rank="10"/>
    <cfRule type="top10" dxfId="148" priority="376" percent="1" rank="10"/>
  </conditionalFormatting>
  <conditionalFormatting sqref="F86:AK86">
    <cfRule type="top10" dxfId="147" priority="373" percent="1" bottom="1" rank="10"/>
    <cfRule type="top10" dxfId="146" priority="374" percent="1" rank="10"/>
  </conditionalFormatting>
  <conditionalFormatting sqref="F87:AK87">
    <cfRule type="top10" dxfId="145" priority="371" percent="1" bottom="1" rank="10"/>
    <cfRule type="top10" dxfId="144" priority="372" percent="1" rank="10"/>
  </conditionalFormatting>
  <conditionalFormatting sqref="F88:AK88">
    <cfRule type="top10" dxfId="143" priority="369" percent="1" bottom="1" rank="10"/>
    <cfRule type="top10" dxfId="142" priority="370" percent="1" rank="10"/>
  </conditionalFormatting>
  <conditionalFormatting sqref="F89:AK89">
    <cfRule type="top10" dxfId="141" priority="367" percent="1" bottom="1" rank="10"/>
    <cfRule type="top10" dxfId="140" priority="368" percent="1" rank="10"/>
  </conditionalFormatting>
  <conditionalFormatting sqref="F90:AK90">
    <cfRule type="top10" dxfId="139" priority="365" percent="1" bottom="1" rank="10"/>
    <cfRule type="top10" dxfId="138" priority="366" percent="1" rank="10"/>
  </conditionalFormatting>
  <conditionalFormatting sqref="F14:AK14">
    <cfRule type="top10" dxfId="137" priority="363" percent="1" bottom="1" rank="10"/>
    <cfRule type="top10" dxfId="136" priority="364" percent="1" rank="10"/>
  </conditionalFormatting>
  <conditionalFormatting sqref="F127:AK127">
    <cfRule type="top10" dxfId="135" priority="361" percent="1" bottom="1" rank="10"/>
    <cfRule type="top10" dxfId="134" priority="362" percent="1" rank="10"/>
  </conditionalFormatting>
  <conditionalFormatting sqref="F128:AK128">
    <cfRule type="top10" dxfId="133" priority="359" percent="1" bottom="1" rank="10"/>
    <cfRule type="top10" dxfId="132" priority="360" percent="1" rank="10"/>
  </conditionalFormatting>
  <conditionalFormatting sqref="F129:AK129">
    <cfRule type="top10" dxfId="131" priority="357" percent="1" bottom="1" rank="10"/>
    <cfRule type="top10" dxfId="130" priority="358" percent="1" rank="10"/>
  </conditionalFormatting>
  <conditionalFormatting sqref="F130:AK130">
    <cfRule type="top10" dxfId="129" priority="355" percent="1" bottom="1" rank="10"/>
    <cfRule type="top10" dxfId="128" priority="356" percent="1" rank="10"/>
  </conditionalFormatting>
  <conditionalFormatting sqref="F131:AL131">
    <cfRule type="top10" dxfId="127" priority="353" percent="1" bottom="1" rank="10"/>
    <cfRule type="top10" dxfId="126" priority="354" percent="1" rank="10"/>
  </conditionalFormatting>
  <conditionalFormatting sqref="F132:AK132">
    <cfRule type="top10" dxfId="125" priority="351" percent="1" bottom="1" rank="10"/>
    <cfRule type="top10" dxfId="124" priority="352" percent="1" rank="10"/>
  </conditionalFormatting>
  <conditionalFormatting sqref="F133:AK133">
    <cfRule type="top10" dxfId="123" priority="349" percent="1" bottom="1" rank="10"/>
    <cfRule type="top10" dxfId="122" priority="350" percent="1" rank="10"/>
  </conditionalFormatting>
  <conditionalFormatting sqref="F134:AK134">
    <cfRule type="top10" dxfId="121" priority="347" percent="1" bottom="1" rank="10"/>
    <cfRule type="top10" dxfId="120" priority="348" percent="1" rank="10"/>
  </conditionalFormatting>
  <conditionalFormatting sqref="F135:AK135">
    <cfRule type="top10" dxfId="119" priority="345" percent="1" bottom="1" rank="10"/>
    <cfRule type="top10" dxfId="118" priority="346" percent="1" rank="10"/>
  </conditionalFormatting>
  <conditionalFormatting sqref="F136:AK136">
    <cfRule type="top10" dxfId="117" priority="343" percent="1" bottom="1" rank="10"/>
    <cfRule type="top10" dxfId="116" priority="344" percent="1" rank="10"/>
  </conditionalFormatting>
  <conditionalFormatting sqref="F137:AK137">
    <cfRule type="top10" dxfId="115" priority="341" percent="1" bottom="1" rank="10"/>
    <cfRule type="top10" dxfId="114" priority="342" percent="1" rank="10"/>
  </conditionalFormatting>
  <conditionalFormatting sqref="F138:AK138">
    <cfRule type="top10" dxfId="113" priority="339" percent="1" bottom="1" rank="10"/>
    <cfRule type="top10" dxfId="112" priority="340" percent="1" rank="10"/>
  </conditionalFormatting>
  <conditionalFormatting sqref="F91:AK91">
    <cfRule type="top10" dxfId="111" priority="337" percent="1" bottom="1" rank="10"/>
    <cfRule type="top10" dxfId="110" priority="338" percent="1" rank="10"/>
  </conditionalFormatting>
  <conditionalFormatting sqref="F92:AK92">
    <cfRule type="top10" dxfId="109" priority="335" percent="1" bottom="1" rank="10"/>
    <cfRule type="top10" dxfId="108" priority="336" percent="1" rank="10"/>
  </conditionalFormatting>
  <conditionalFormatting sqref="F93:AK93">
    <cfRule type="top10" dxfId="107" priority="333" percent="1" bottom="1" rank="10"/>
    <cfRule type="top10" dxfId="106" priority="334" percent="1" rank="10"/>
  </conditionalFormatting>
  <conditionalFormatting sqref="F94:AK94">
    <cfRule type="top10" dxfId="105" priority="331" percent="1" bottom="1" rank="10"/>
    <cfRule type="top10" dxfId="104" priority="332" percent="1" rank="10"/>
  </conditionalFormatting>
  <conditionalFormatting sqref="F95:AL95">
    <cfRule type="top10" dxfId="103" priority="329" percent="1" bottom="1" rank="10"/>
    <cfRule type="top10" dxfId="102" priority="330" percent="1" rank="10"/>
  </conditionalFormatting>
  <conditionalFormatting sqref="F96:AK96">
    <cfRule type="top10" dxfId="101" priority="327" percent="1" bottom="1" rank="10"/>
    <cfRule type="top10" dxfId="100" priority="328" percent="1" rank="10"/>
  </conditionalFormatting>
  <conditionalFormatting sqref="F97:AK97">
    <cfRule type="top10" dxfId="99" priority="325" percent="1" bottom="1" rank="10"/>
    <cfRule type="top10" dxfId="98" priority="326" percent="1" rank="10"/>
  </conditionalFormatting>
  <conditionalFormatting sqref="F98:AK98">
    <cfRule type="top10" dxfId="97" priority="323" percent="1" bottom="1" rank="10"/>
    <cfRule type="top10" dxfId="96" priority="324" percent="1" rank="10"/>
  </conditionalFormatting>
  <conditionalFormatting sqref="F99:AK99">
    <cfRule type="top10" dxfId="95" priority="321" percent="1" bottom="1" rank="10"/>
    <cfRule type="top10" dxfId="94" priority="322" percent="1" rank="10"/>
  </conditionalFormatting>
  <conditionalFormatting sqref="F100:AK100">
    <cfRule type="top10" dxfId="93" priority="319" percent="1" bottom="1" rank="10"/>
    <cfRule type="top10" dxfId="92" priority="320" percent="1" rank="10"/>
  </conditionalFormatting>
  <conditionalFormatting sqref="F101:AK101">
    <cfRule type="top10" dxfId="91" priority="317" percent="1" bottom="1" rank="10"/>
    <cfRule type="top10" dxfId="90" priority="318" percent="1" rank="10"/>
  </conditionalFormatting>
  <conditionalFormatting sqref="F102:AK102">
    <cfRule type="top10" dxfId="89" priority="315" percent="1" bottom="1" rank="10"/>
    <cfRule type="top10" dxfId="88" priority="316" percent="1" rank="10"/>
  </conditionalFormatting>
  <conditionalFormatting sqref="F103:AK103">
    <cfRule type="top10" dxfId="87" priority="313" percent="1" bottom="1" rank="10"/>
    <cfRule type="top10" dxfId="86" priority="314" percent="1" rank="10"/>
  </conditionalFormatting>
  <conditionalFormatting sqref="F104:AK104">
    <cfRule type="top10" dxfId="85" priority="311" percent="1" bottom="1" rank="10"/>
    <cfRule type="top10" dxfId="84" priority="312" percent="1" rank="10"/>
  </conditionalFormatting>
  <conditionalFormatting sqref="F105:AK105">
    <cfRule type="top10" dxfId="83" priority="309" percent="1" bottom="1" rank="10"/>
    <cfRule type="top10" dxfId="82" priority="310" percent="1" rank="10"/>
  </conditionalFormatting>
  <conditionalFormatting sqref="F106:AK106">
    <cfRule type="top10" dxfId="81" priority="307" percent="1" bottom="1" rank="10"/>
    <cfRule type="top10" dxfId="80" priority="308" percent="1" rank="10"/>
  </conditionalFormatting>
  <conditionalFormatting sqref="F107:AL107">
    <cfRule type="top10" dxfId="79" priority="305" percent="1" bottom="1" rank="10"/>
    <cfRule type="top10" dxfId="78" priority="306" percent="1" rank="10"/>
  </conditionalFormatting>
  <conditionalFormatting sqref="F108:AK108">
    <cfRule type="top10" dxfId="77" priority="303" percent="1" bottom="1" rank="10"/>
    <cfRule type="top10" dxfId="76" priority="304" percent="1" rank="10"/>
  </conditionalFormatting>
  <conditionalFormatting sqref="F109:AK109">
    <cfRule type="top10" dxfId="75" priority="301" percent="1" bottom="1" rank="10"/>
    <cfRule type="top10" dxfId="74" priority="302" percent="1" rank="10"/>
  </conditionalFormatting>
  <conditionalFormatting sqref="F110:AK110">
    <cfRule type="top10" dxfId="73" priority="299" percent="1" bottom="1" rank="10"/>
    <cfRule type="top10" dxfId="72" priority="300" percent="1" rank="10"/>
  </conditionalFormatting>
  <conditionalFormatting sqref="F111:AK111">
    <cfRule type="top10" dxfId="71" priority="297" percent="1" bottom="1" rank="10"/>
    <cfRule type="top10" dxfId="70" priority="298" percent="1" rank="10"/>
  </conditionalFormatting>
  <conditionalFormatting sqref="F112:AK112">
    <cfRule type="top10" dxfId="69" priority="295" percent="1" bottom="1" rank="10"/>
    <cfRule type="top10" dxfId="68" priority="296" percent="1" rank="10"/>
  </conditionalFormatting>
  <conditionalFormatting sqref="F113:AK113">
    <cfRule type="top10" dxfId="67" priority="293" percent="1" bottom="1" rank="10"/>
    <cfRule type="top10" dxfId="66" priority="294" percent="1" rank="10"/>
  </conditionalFormatting>
  <conditionalFormatting sqref="F114:AK114">
    <cfRule type="top10" dxfId="65" priority="291" percent="1" bottom="1" rank="10"/>
    <cfRule type="top10" dxfId="64" priority="292" percent="1" rank="10"/>
  </conditionalFormatting>
  <conditionalFormatting sqref="F115:AK115">
    <cfRule type="top10" dxfId="63" priority="289" percent="1" bottom="1" rank="10"/>
    <cfRule type="top10" dxfId="62" priority="290" percent="1" rank="10"/>
  </conditionalFormatting>
  <conditionalFormatting sqref="F116:AK116">
    <cfRule type="top10" dxfId="61" priority="287" percent="1" bottom="1" rank="10"/>
    <cfRule type="top10" dxfId="60" priority="288" percent="1" rank="10"/>
  </conditionalFormatting>
  <conditionalFormatting sqref="F117:AK117">
    <cfRule type="top10" dxfId="59" priority="285" percent="1" bottom="1" rank="10"/>
    <cfRule type="top10" dxfId="58" priority="286" percent="1" rank="10"/>
  </conditionalFormatting>
  <conditionalFormatting sqref="F118:AK118">
    <cfRule type="top10" dxfId="57" priority="283" percent="1" bottom="1" rank="10"/>
    <cfRule type="top10" dxfId="56" priority="284" percent="1" rank="10"/>
  </conditionalFormatting>
  <conditionalFormatting sqref="F119:AL119">
    <cfRule type="top10" dxfId="55" priority="281" percent="1" bottom="1" rank="10"/>
    <cfRule type="top10" dxfId="54" priority="282" percent="1" rank="10"/>
  </conditionalFormatting>
  <conditionalFormatting sqref="F120:AK120">
    <cfRule type="top10" dxfId="53" priority="279" percent="1" bottom="1" rank="10"/>
    <cfRule type="top10" dxfId="52" priority="280" percent="1" rank="10"/>
  </conditionalFormatting>
  <conditionalFormatting sqref="F121:AK121">
    <cfRule type="top10" dxfId="51" priority="277" percent="1" bottom="1" rank="10"/>
    <cfRule type="top10" dxfId="50" priority="278" percent="1" rank="10"/>
  </conditionalFormatting>
  <conditionalFormatting sqref="F122:AK122">
    <cfRule type="top10" dxfId="49" priority="275" percent="1" bottom="1" rank="10"/>
    <cfRule type="top10" dxfId="48" priority="276" percent="1" rank="10"/>
  </conditionalFormatting>
  <conditionalFormatting sqref="F123:AK123">
    <cfRule type="top10" dxfId="47" priority="273" percent="1" bottom="1" rank="10"/>
    <cfRule type="top10" dxfId="46" priority="274" percent="1" rank="10"/>
  </conditionalFormatting>
  <conditionalFormatting sqref="F124:AK124">
    <cfRule type="top10" dxfId="45" priority="271" percent="1" bottom="1" rank="10"/>
    <cfRule type="top10" dxfId="44" priority="272" percent="1" rank="10"/>
  </conditionalFormatting>
  <conditionalFormatting sqref="F125:AK125">
    <cfRule type="top10" dxfId="43" priority="269" percent="1" bottom="1" rank="10"/>
    <cfRule type="top10" dxfId="42" priority="270" percent="1" rank="10"/>
  </conditionalFormatting>
  <conditionalFormatting sqref="F126:AK126">
    <cfRule type="top10" dxfId="41" priority="267" percent="1" bottom="1" rank="10"/>
    <cfRule type="top10" dxfId="40" priority="268" percent="1" rank="10"/>
  </conditionalFormatting>
  <conditionalFormatting sqref="F139:AK139">
    <cfRule type="top10" dxfId="39" priority="265" percent="1" bottom="1" rank="10"/>
    <cfRule type="top10" dxfId="38" priority="266" percent="1" rank="10"/>
  </conditionalFormatting>
  <conditionalFormatting sqref="F140:AK140">
    <cfRule type="top10" dxfId="37" priority="263" percent="1" bottom="1" rank="10"/>
    <cfRule type="top10" dxfId="36" priority="264" percent="1" rank="10"/>
  </conditionalFormatting>
  <conditionalFormatting sqref="F141:AK141">
    <cfRule type="top10" dxfId="35" priority="261" percent="1" bottom="1" rank="10"/>
    <cfRule type="top10" dxfId="34" priority="262" percent="1" rank="10"/>
  </conditionalFormatting>
  <conditionalFormatting sqref="F142:AK142">
    <cfRule type="top10" dxfId="33" priority="259" percent="1" bottom="1" rank="10"/>
    <cfRule type="top10" dxfId="32" priority="260" percent="1" rank="10"/>
  </conditionalFormatting>
  <conditionalFormatting sqref="F143:AL143">
    <cfRule type="top10" dxfId="31" priority="257" percent="1" bottom="1" rank="10"/>
    <cfRule type="top10" dxfId="30" priority="258" percent="1" rank="10"/>
  </conditionalFormatting>
  <conditionalFormatting sqref="F144:AK144">
    <cfRule type="top10" dxfId="29" priority="255" percent="1" bottom="1" rank="10"/>
    <cfRule type="top10" dxfId="28" priority="256" percent="1" rank="10"/>
  </conditionalFormatting>
  <conditionalFormatting sqref="F145:AK145">
    <cfRule type="top10" dxfId="27" priority="253" percent="1" bottom="1" rank="10"/>
    <cfRule type="top10" dxfId="26" priority="254" percent="1" rank="10"/>
  </conditionalFormatting>
  <conditionalFormatting sqref="F146:AK146">
    <cfRule type="top10" dxfId="25" priority="251" percent="1" bottom="1" rank="10"/>
    <cfRule type="top10" dxfId="24" priority="252" percent="1" rank="10"/>
  </conditionalFormatting>
  <conditionalFormatting sqref="F147:AK147">
    <cfRule type="top10" dxfId="23" priority="249" percent="1" bottom="1" rank="10"/>
    <cfRule type="top10" dxfId="22" priority="250" percent="1" rank="10"/>
  </conditionalFormatting>
  <conditionalFormatting sqref="F148:AK148">
    <cfRule type="top10" dxfId="21" priority="247" percent="1" bottom="1" rank="10"/>
    <cfRule type="top10" dxfId="20" priority="248" percent="1" rank="10"/>
  </conditionalFormatting>
  <conditionalFormatting sqref="F149:AK149">
    <cfRule type="top10" dxfId="19" priority="245" percent="1" bottom="1" rank="10"/>
    <cfRule type="top10" dxfId="18" priority="246" percent="1" rank="10"/>
  </conditionalFormatting>
  <conditionalFormatting sqref="F150:AK150">
    <cfRule type="top10" dxfId="17" priority="243" percent="1" bottom="1" rank="10"/>
    <cfRule type="top10" dxfId="16" priority="244" percent="1" rank="10"/>
  </conditionalFormatting>
  <conditionalFormatting sqref="F155:AK155">
    <cfRule type="top10" dxfId="15" priority="241" percent="1" bottom="1" rank="10"/>
    <cfRule type="top10" dxfId="14" priority="242" percent="1" rank="10"/>
  </conditionalFormatting>
  <conditionalFormatting sqref="F95:AK95">
    <cfRule type="top10" dxfId="13" priority="231" percent="1" bottom="1" rank="10"/>
    <cfRule type="top10" dxfId="12" priority="232" percent="1" rank="10"/>
  </conditionalFormatting>
  <conditionalFormatting sqref="F107:AK107">
    <cfRule type="top10" dxfId="11" priority="207" percent="1" bottom="1" rank="10"/>
    <cfRule type="top10" dxfId="10" priority="208" percent="1" rank="10"/>
  </conditionalFormatting>
  <conditionalFormatting sqref="F119:AK119">
    <cfRule type="top10" dxfId="9" priority="183" percent="1" bottom="1" rank="10"/>
    <cfRule type="top10" dxfId="8" priority="184" percent="1" rank="10"/>
  </conditionalFormatting>
  <conditionalFormatting sqref="F131:AK131">
    <cfRule type="top10" dxfId="7" priority="159" percent="1" bottom="1" rank="10"/>
    <cfRule type="top10" dxfId="6" priority="160" percent="1" rank="10"/>
  </conditionalFormatting>
  <conditionalFormatting sqref="F143:AK143">
    <cfRule type="top10" dxfId="5" priority="135" percent="1" bottom="1" rank="10"/>
    <cfRule type="top10" dxfId="4" priority="136" percent="1" rank="10"/>
  </conditionalFormatting>
  <pageMargins left="0.7" right="0.7" top="0.75" bottom="0.75" header="0.3" footer="0.3"/>
  <pageSetup paperSize="3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B10:I32"/>
  <sheetViews>
    <sheetView topLeftCell="A10" zoomScale="80" zoomScaleNormal="80" workbookViewId="0">
      <selection activeCell="G21" sqref="G21"/>
    </sheetView>
  </sheetViews>
  <sheetFormatPr defaultRowHeight="15"/>
  <cols>
    <col min="1" max="16384" width="9.140625" style="77"/>
  </cols>
  <sheetData>
    <row r="10" spans="2:9">
      <c r="D10" s="78" t="s">
        <v>46</v>
      </c>
      <c r="E10" s="78" t="s">
        <v>47</v>
      </c>
      <c r="F10" s="78" t="s">
        <v>48</v>
      </c>
      <c r="G10" s="78" t="s">
        <v>57</v>
      </c>
      <c r="H10" s="78" t="s">
        <v>58</v>
      </c>
      <c r="I10" s="94" t="s">
        <v>91</v>
      </c>
    </row>
    <row r="11" spans="2:9">
      <c r="B11" s="242" t="str">
        <f>B27</f>
        <v>HZ</v>
      </c>
      <c r="C11" s="78" t="s">
        <v>88</v>
      </c>
      <c r="D11" s="223">
        <v>1005</v>
      </c>
      <c r="E11" s="223">
        <v>845</v>
      </c>
      <c r="F11" s="223">
        <v>175</v>
      </c>
      <c r="G11" s="60">
        <f t="shared" ref="G11:G22" si="0">D11/SUM(D11:F11)</f>
        <v>0.49629629629629629</v>
      </c>
      <c r="H11" s="60">
        <f t="shared" ref="H11:H22" si="1">E11/SUM(D11:F11)</f>
        <v>0.41728395061728396</v>
      </c>
      <c r="I11" s="319">
        <f>((G11-G12)^2+(H11-H12)^2)^0.5</f>
        <v>7.4119793212749983E-4</v>
      </c>
    </row>
    <row r="12" spans="2:9">
      <c r="B12" s="242"/>
      <c r="C12" s="78" t="s">
        <v>89</v>
      </c>
      <c r="D12" s="223">
        <v>1005</v>
      </c>
      <c r="E12" s="223">
        <v>844</v>
      </c>
      <c r="F12" s="223">
        <v>177</v>
      </c>
      <c r="G12" s="60">
        <f t="shared" si="0"/>
        <v>0.49605133267522211</v>
      </c>
      <c r="H12" s="60">
        <f t="shared" si="1"/>
        <v>0.41658440276406711</v>
      </c>
      <c r="I12" s="319"/>
    </row>
    <row r="13" spans="2:9">
      <c r="B13" s="242" t="str">
        <f>B28</f>
        <v>A</v>
      </c>
      <c r="C13" s="77" t="str">
        <f>C11</f>
        <v>Start</v>
      </c>
      <c r="D13" s="223">
        <v>1505</v>
      </c>
      <c r="E13" s="223">
        <v>1373</v>
      </c>
      <c r="F13" s="223">
        <v>457</v>
      </c>
      <c r="G13" s="60">
        <f t="shared" si="0"/>
        <v>0.45127436281859068</v>
      </c>
      <c r="H13" s="60">
        <f t="shared" si="1"/>
        <v>0.41169415292353823</v>
      </c>
      <c r="I13" s="319">
        <f>((G13-G14)^2+(H13-H14)^2)^0.5</f>
        <v>0</v>
      </c>
    </row>
    <row r="14" spans="2:9">
      <c r="B14" s="242"/>
      <c r="C14" s="78" t="str">
        <f t="shared" ref="C14:C22" si="2">C12</f>
        <v>Finish</v>
      </c>
      <c r="D14" s="223">
        <v>1505</v>
      </c>
      <c r="E14" s="223">
        <v>1373</v>
      </c>
      <c r="F14" s="223">
        <v>457</v>
      </c>
      <c r="G14" s="60">
        <f t="shared" si="0"/>
        <v>0.45127436281859068</v>
      </c>
      <c r="H14" s="60">
        <f t="shared" si="1"/>
        <v>0.41169415292353823</v>
      </c>
      <c r="I14" s="319"/>
    </row>
    <row r="15" spans="2:9">
      <c r="B15" s="242" t="str">
        <f>B29</f>
        <v>U30</v>
      </c>
      <c r="C15" s="78" t="str">
        <f t="shared" si="2"/>
        <v>Start</v>
      </c>
      <c r="D15" s="223">
        <v>925</v>
      </c>
      <c r="E15" s="223">
        <v>850</v>
      </c>
      <c r="F15" s="223">
        <v>251</v>
      </c>
      <c r="G15" s="60">
        <f t="shared" si="0"/>
        <v>0.45656465942744323</v>
      </c>
      <c r="H15" s="60">
        <f t="shared" si="1"/>
        <v>0.41954590325765057</v>
      </c>
      <c r="I15" s="319">
        <f>((G15-G16)^2+(H15-H16)^2)^0.5</f>
        <v>6.3794027268583055E-4</v>
      </c>
    </row>
    <row r="16" spans="2:9">
      <c r="B16" s="242"/>
      <c r="C16" s="78" t="str">
        <f t="shared" si="2"/>
        <v>Finish</v>
      </c>
      <c r="D16" s="223">
        <v>932</v>
      </c>
      <c r="E16" s="223">
        <v>855</v>
      </c>
      <c r="F16" s="223">
        <v>254</v>
      </c>
      <c r="G16" s="60">
        <f t="shared" si="0"/>
        <v>0.45663890249877509</v>
      </c>
      <c r="H16" s="60">
        <f t="shared" si="1"/>
        <v>0.41891229789318962</v>
      </c>
      <c r="I16" s="319"/>
    </row>
    <row r="17" spans="2:9">
      <c r="B17" s="242" t="str">
        <f>B30</f>
        <v>U35</v>
      </c>
      <c r="C17" s="78" t="str">
        <f t="shared" si="2"/>
        <v>Start</v>
      </c>
      <c r="D17" s="223">
        <v>862.5</v>
      </c>
      <c r="E17" s="223">
        <v>824</v>
      </c>
      <c r="F17" s="223">
        <v>330</v>
      </c>
      <c r="G17" s="60">
        <f t="shared" si="0"/>
        <v>0.42772129928093233</v>
      </c>
      <c r="H17" s="60">
        <f t="shared" si="1"/>
        <v>0.40862881229853709</v>
      </c>
      <c r="I17" s="319">
        <f>((G17-G18)^2+(H17-H18)^2)^0.5</f>
        <v>1.3944315277282843E-3</v>
      </c>
    </row>
    <row r="18" spans="2:9">
      <c r="B18" s="242"/>
      <c r="C18" s="78" t="str">
        <f t="shared" si="2"/>
        <v>Finish</v>
      </c>
      <c r="D18" s="223">
        <v>864.5</v>
      </c>
      <c r="E18" s="223">
        <v>826.3</v>
      </c>
      <c r="F18" s="223">
        <v>326.10000000000002</v>
      </c>
      <c r="G18" s="60">
        <f t="shared" si="0"/>
        <v>0.42862809261738311</v>
      </c>
      <c r="H18" s="60">
        <f t="shared" si="1"/>
        <v>0.40968813525707765</v>
      </c>
      <c r="I18" s="319"/>
    </row>
    <row r="19" spans="2:9">
      <c r="B19" s="242" t="str">
        <f>B31</f>
        <v>CWF</v>
      </c>
      <c r="C19" s="78" t="str">
        <f t="shared" si="2"/>
        <v>Start</v>
      </c>
      <c r="D19" s="223">
        <v>754</v>
      </c>
      <c r="E19" s="223">
        <v>788</v>
      </c>
      <c r="F19" s="223">
        <v>393</v>
      </c>
      <c r="G19" s="60">
        <f t="shared" si="0"/>
        <v>0.38966408268733849</v>
      </c>
      <c r="H19" s="60">
        <f t="shared" si="1"/>
        <v>0.40723514211886302</v>
      </c>
      <c r="I19" s="319">
        <f>((G19-G20)^2+(H19-H20)^2)^0.5</f>
        <v>2.1718970836452993E-3</v>
      </c>
    </row>
    <row r="20" spans="2:9">
      <c r="B20" s="242"/>
      <c r="C20" s="78" t="str">
        <f t="shared" si="2"/>
        <v>Finish</v>
      </c>
      <c r="D20" s="223">
        <v>756</v>
      </c>
      <c r="E20" s="223">
        <v>792</v>
      </c>
      <c r="F20" s="223">
        <v>387.5</v>
      </c>
      <c r="G20" s="60">
        <f t="shared" si="0"/>
        <v>0.39059674502712477</v>
      </c>
      <c r="H20" s="60">
        <f t="shared" si="1"/>
        <v>0.40919659002841641</v>
      </c>
      <c r="I20" s="319"/>
    </row>
    <row r="21" spans="2:9">
      <c r="B21" s="242" t="str">
        <f>B32</f>
        <v>D65</v>
      </c>
      <c r="C21" s="78" t="str">
        <f t="shared" si="2"/>
        <v>Start</v>
      </c>
      <c r="D21" s="223">
        <v>808</v>
      </c>
      <c r="E21" s="223">
        <v>847</v>
      </c>
      <c r="F21" s="223">
        <v>906</v>
      </c>
      <c r="G21" s="60">
        <f t="shared" si="0"/>
        <v>0.31550175712612261</v>
      </c>
      <c r="H21" s="60">
        <f t="shared" si="1"/>
        <v>0.33073018352206168</v>
      </c>
      <c r="I21" s="319">
        <f>((G21-G22)^2+(H21-H22)^2)^0.5</f>
        <v>3.2678702634113645E-4</v>
      </c>
    </row>
    <row r="22" spans="2:9">
      <c r="B22" s="242"/>
      <c r="C22" s="78" t="str">
        <f t="shared" si="2"/>
        <v>Finish</v>
      </c>
      <c r="D22" s="223">
        <v>810</v>
      </c>
      <c r="E22" s="223">
        <v>850</v>
      </c>
      <c r="F22" s="223">
        <v>910</v>
      </c>
      <c r="G22" s="60">
        <f t="shared" si="0"/>
        <v>0.31517509727626458</v>
      </c>
      <c r="H22" s="60">
        <f t="shared" si="1"/>
        <v>0.33073929961089493</v>
      </c>
      <c r="I22" s="319"/>
    </row>
    <row r="25" spans="2:9">
      <c r="B25" s="242" t="s">
        <v>90</v>
      </c>
      <c r="C25" s="242"/>
      <c r="D25" s="242"/>
      <c r="E25" s="242"/>
      <c r="F25" s="242"/>
      <c r="G25" s="242"/>
      <c r="H25" s="242"/>
      <c r="I25" s="242"/>
    </row>
    <row r="26" spans="2:9">
      <c r="D26" s="77" t="str">
        <f>D10</f>
        <v>X</v>
      </c>
      <c r="E26" s="78" t="str">
        <f t="shared" ref="E26:H26" si="3">E10</f>
        <v>Y</v>
      </c>
      <c r="F26" s="78" t="str">
        <f t="shared" si="3"/>
        <v>Z</v>
      </c>
      <c r="G26" s="78" t="str">
        <f t="shared" si="3"/>
        <v>x</v>
      </c>
      <c r="H26" s="78" t="str">
        <f t="shared" si="3"/>
        <v>y</v>
      </c>
      <c r="I26" s="77" t="s">
        <v>56</v>
      </c>
    </row>
    <row r="27" spans="2:9">
      <c r="B27" s="77" t="str">
        <f>data0!A3</f>
        <v>HZ</v>
      </c>
      <c r="D27" s="77">
        <f>AVERAGE(D11:D12)</f>
        <v>1005</v>
      </c>
      <c r="E27" s="78">
        <f t="shared" ref="E27:F27" si="4">AVERAGE(E11:E12)</f>
        <v>844.5</v>
      </c>
      <c r="F27" s="78">
        <f t="shared" si="4"/>
        <v>176</v>
      </c>
      <c r="G27" s="60">
        <f>D27/SUM(D27:F27)</f>
        <v>0.49617378425080227</v>
      </c>
      <c r="H27" s="60">
        <f>E27/SUM(D27:F27)</f>
        <v>0.41693409034806223</v>
      </c>
      <c r="I27" s="77">
        <f>getCCTfromXY(G27,H27,0)</f>
        <v>2308</v>
      </c>
    </row>
    <row r="28" spans="2:9">
      <c r="B28" s="77" t="str">
        <f>data0!A15</f>
        <v>A</v>
      </c>
      <c r="D28" s="78">
        <f>AVERAGE(D13:D14)</f>
        <v>1505</v>
      </c>
      <c r="E28" s="78">
        <f t="shared" ref="E28:F28" si="5">AVERAGE(E13:E14)</f>
        <v>1373</v>
      </c>
      <c r="F28" s="78">
        <f t="shared" si="5"/>
        <v>457</v>
      </c>
      <c r="G28" s="60">
        <f t="shared" ref="G28:G32" si="6">D28/SUM(D28:F28)</f>
        <v>0.45127436281859068</v>
      </c>
      <c r="H28" s="60">
        <f t="shared" ref="H28:H32" si="7">E28/SUM(D28:F28)</f>
        <v>0.41169415292353823</v>
      </c>
      <c r="I28" s="77">
        <f t="shared" ref="I28:I32" si="8">getCCTfromXY(G28,H28,0)</f>
        <v>2838</v>
      </c>
    </row>
    <row r="29" spans="2:9">
      <c r="B29" s="77" t="str">
        <f>data0!A27</f>
        <v>U30</v>
      </c>
      <c r="D29" s="78">
        <f>AVERAGE(D15:D16)</f>
        <v>928.5</v>
      </c>
      <c r="E29" s="78">
        <f t="shared" ref="E29:F29" si="9">AVERAGE(E15:E16)</f>
        <v>852.5</v>
      </c>
      <c r="F29" s="78">
        <f t="shared" si="9"/>
        <v>252.5</v>
      </c>
      <c r="G29" s="60">
        <f t="shared" si="6"/>
        <v>0.45660191787558396</v>
      </c>
      <c r="H29" s="60">
        <f t="shared" si="7"/>
        <v>0.41922793213671011</v>
      </c>
      <c r="I29" s="77">
        <f t="shared" si="8"/>
        <v>2818</v>
      </c>
    </row>
    <row r="30" spans="2:9">
      <c r="B30" s="77" t="str">
        <f>data0!A39</f>
        <v>U35</v>
      </c>
      <c r="D30" s="78">
        <f>AVERAGE(D17:D18)</f>
        <v>863.5</v>
      </c>
      <c r="E30" s="78">
        <f t="shared" ref="E30:F30" si="10">AVERAGE(E17:E18)</f>
        <v>825.15</v>
      </c>
      <c r="F30" s="78">
        <f t="shared" si="10"/>
        <v>328.05</v>
      </c>
      <c r="G30" s="60">
        <f t="shared" si="6"/>
        <v>0.42817474091337332</v>
      </c>
      <c r="H30" s="60">
        <f t="shared" si="7"/>
        <v>0.40915852630535032</v>
      </c>
      <c r="I30" s="77">
        <f t="shared" si="8"/>
        <v>3205</v>
      </c>
    </row>
    <row r="31" spans="2:9">
      <c r="B31" s="77" t="str">
        <f>data0!A51</f>
        <v>CWF</v>
      </c>
      <c r="D31" s="78">
        <f>AVERAGE(D19:D20)</f>
        <v>755</v>
      </c>
      <c r="E31" s="78">
        <f t="shared" ref="E31:F31" si="11">AVERAGE(E19:E20)</f>
        <v>790</v>
      </c>
      <c r="F31" s="78">
        <f t="shared" si="11"/>
        <v>390.25</v>
      </c>
      <c r="G31" s="60">
        <f t="shared" si="6"/>
        <v>0.39013047409895363</v>
      </c>
      <c r="H31" s="60">
        <f t="shared" si="7"/>
        <v>0.40821599276579251</v>
      </c>
      <c r="I31" s="77">
        <f t="shared" si="8"/>
        <v>3998</v>
      </c>
    </row>
    <row r="32" spans="2:9">
      <c r="B32" s="77" t="str">
        <f>data0!A63</f>
        <v>D65</v>
      </c>
      <c r="D32" s="78">
        <f>AVERAGE(D21:D22)</f>
        <v>809</v>
      </c>
      <c r="E32" s="78">
        <f t="shared" ref="E32:F32" si="12">AVERAGE(E21:E22)</f>
        <v>848.5</v>
      </c>
      <c r="F32" s="78">
        <f t="shared" si="12"/>
        <v>908</v>
      </c>
      <c r="G32" s="60">
        <f t="shared" si="6"/>
        <v>0.31533814071331123</v>
      </c>
      <c r="H32" s="60">
        <f t="shared" si="7"/>
        <v>0.33073474956148896</v>
      </c>
      <c r="I32" s="77">
        <f t="shared" si="8"/>
        <v>6466</v>
      </c>
    </row>
  </sheetData>
  <mergeCells count="13">
    <mergeCell ref="B25:I25"/>
    <mergeCell ref="I11:I12"/>
    <mergeCell ref="I13:I14"/>
    <mergeCell ref="I15:I16"/>
    <mergeCell ref="I17:I18"/>
    <mergeCell ref="I19:I20"/>
    <mergeCell ref="I21:I22"/>
    <mergeCell ref="B11:B12"/>
    <mergeCell ref="B13:B14"/>
    <mergeCell ref="B15:B16"/>
    <mergeCell ref="B17:B18"/>
    <mergeCell ref="B19:B20"/>
    <mergeCell ref="B21:B22"/>
  </mergeCells>
  <pageMargins left="0.7" right="0.7" top="0.75" bottom="0.75" header="0.3" footer="0.3"/>
  <pageSetup orientation="portrait" r:id="rId1"/>
  <ignoredErrors>
    <ignoredError sqref="D27:F32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B1:AG16"/>
  <sheetViews>
    <sheetView workbookViewId="0"/>
  </sheetViews>
  <sheetFormatPr defaultRowHeight="15"/>
  <cols>
    <col min="1" max="1" width="9.140625" style="105" customWidth="1"/>
    <col min="2" max="9" width="3" style="111" customWidth="1"/>
    <col min="10" max="33" width="3" style="105" customWidth="1"/>
    <col min="34" max="16384" width="9.140625" style="105"/>
  </cols>
  <sheetData>
    <row r="1" spans="2:33" ht="15.75" thickBot="1"/>
    <row r="2" spans="2:33">
      <c r="B2" s="120">
        <v>0</v>
      </c>
      <c r="C2" s="113">
        <v>0</v>
      </c>
      <c r="D2" s="123">
        <f t="shared" ref="D2:D9" si="0">B2+8</f>
        <v>8</v>
      </c>
      <c r="E2" s="113">
        <v>1</v>
      </c>
      <c r="F2" s="123">
        <f t="shared" ref="F2:F9" si="1">D2+8</f>
        <v>16</v>
      </c>
      <c r="G2" s="113">
        <v>1</v>
      </c>
      <c r="H2" s="123">
        <f t="shared" ref="H2:H9" si="2">F2+8</f>
        <v>24</v>
      </c>
      <c r="I2" s="115">
        <v>1</v>
      </c>
    </row>
    <row r="3" spans="2:33">
      <c r="B3" s="121">
        <f t="shared" ref="B3:B9" si="3">B2+1</f>
        <v>1</v>
      </c>
      <c r="C3" s="116">
        <v>0</v>
      </c>
      <c r="D3" s="124">
        <f t="shared" si="0"/>
        <v>9</v>
      </c>
      <c r="E3" s="116">
        <v>1</v>
      </c>
      <c r="F3" s="124">
        <f t="shared" si="1"/>
        <v>17</v>
      </c>
      <c r="G3" s="116">
        <v>1</v>
      </c>
      <c r="H3" s="124">
        <f t="shared" si="2"/>
        <v>25</v>
      </c>
      <c r="I3" s="117">
        <v>1</v>
      </c>
    </row>
    <row r="4" spans="2:33">
      <c r="B4" s="121">
        <f t="shared" si="3"/>
        <v>2</v>
      </c>
      <c r="C4" s="116">
        <v>1</v>
      </c>
      <c r="D4" s="124">
        <f t="shared" si="0"/>
        <v>10</v>
      </c>
      <c r="E4" s="116">
        <v>1</v>
      </c>
      <c r="F4" s="124">
        <f t="shared" si="1"/>
        <v>18</v>
      </c>
      <c r="G4" s="116">
        <v>1</v>
      </c>
      <c r="H4" s="124">
        <f t="shared" si="2"/>
        <v>26</v>
      </c>
      <c r="I4" s="117">
        <v>0</v>
      </c>
    </row>
    <row r="5" spans="2:33">
      <c r="B5" s="121">
        <f t="shared" si="3"/>
        <v>3</v>
      </c>
      <c r="C5" s="116">
        <v>1</v>
      </c>
      <c r="D5" s="124">
        <f t="shared" si="0"/>
        <v>11</v>
      </c>
      <c r="E5" s="116">
        <v>1</v>
      </c>
      <c r="F5" s="124">
        <f t="shared" si="1"/>
        <v>19</v>
      </c>
      <c r="G5" s="116">
        <v>1</v>
      </c>
      <c r="H5" s="124">
        <f t="shared" si="2"/>
        <v>27</v>
      </c>
      <c r="I5" s="117">
        <v>1</v>
      </c>
    </row>
    <row r="6" spans="2:33">
      <c r="B6" s="121">
        <f t="shared" si="3"/>
        <v>4</v>
      </c>
      <c r="C6" s="116">
        <v>0</v>
      </c>
      <c r="D6" s="124">
        <f t="shared" si="0"/>
        <v>12</v>
      </c>
      <c r="E6" s="116">
        <v>1</v>
      </c>
      <c r="F6" s="124">
        <f t="shared" si="1"/>
        <v>20</v>
      </c>
      <c r="G6" s="116">
        <v>1</v>
      </c>
      <c r="H6" s="124">
        <f t="shared" si="2"/>
        <v>28</v>
      </c>
      <c r="I6" s="117">
        <v>1</v>
      </c>
    </row>
    <row r="7" spans="2:33">
      <c r="B7" s="121">
        <f t="shared" si="3"/>
        <v>5</v>
      </c>
      <c r="C7" s="116">
        <v>1</v>
      </c>
      <c r="D7" s="124">
        <f t="shared" si="0"/>
        <v>13</v>
      </c>
      <c r="E7" s="116">
        <v>1</v>
      </c>
      <c r="F7" s="124">
        <f t="shared" si="1"/>
        <v>21</v>
      </c>
      <c r="G7" s="116">
        <v>1</v>
      </c>
      <c r="H7" s="124">
        <f t="shared" si="2"/>
        <v>29</v>
      </c>
      <c r="I7" s="117">
        <v>1</v>
      </c>
    </row>
    <row r="8" spans="2:33">
      <c r="B8" s="121">
        <f t="shared" si="3"/>
        <v>6</v>
      </c>
      <c r="C8" s="116">
        <v>1</v>
      </c>
      <c r="D8" s="124">
        <f t="shared" si="0"/>
        <v>14</v>
      </c>
      <c r="E8" s="116">
        <v>1</v>
      </c>
      <c r="F8" s="124">
        <f t="shared" si="1"/>
        <v>22</v>
      </c>
      <c r="G8" s="116">
        <v>1</v>
      </c>
      <c r="H8" s="124">
        <f t="shared" si="2"/>
        <v>30</v>
      </c>
      <c r="I8" s="117">
        <v>1</v>
      </c>
    </row>
    <row r="9" spans="2:33" ht="15.75" thickBot="1">
      <c r="B9" s="122">
        <f t="shared" si="3"/>
        <v>7</v>
      </c>
      <c r="C9" s="118">
        <v>0</v>
      </c>
      <c r="D9" s="125">
        <f t="shared" si="0"/>
        <v>15</v>
      </c>
      <c r="E9" s="118">
        <v>1</v>
      </c>
      <c r="F9" s="125">
        <f t="shared" si="1"/>
        <v>23</v>
      </c>
      <c r="G9" s="118">
        <v>1</v>
      </c>
      <c r="H9" s="125">
        <f t="shared" si="2"/>
        <v>31</v>
      </c>
      <c r="I9" s="119">
        <v>1</v>
      </c>
    </row>
    <row r="11" spans="2:33">
      <c r="B11" s="304" t="s">
        <v>98</v>
      </c>
      <c r="C11" s="304"/>
      <c r="D11" s="304"/>
      <c r="E11" s="304"/>
      <c r="F11" s="304"/>
      <c r="G11" s="116">
        <v>1</v>
      </c>
    </row>
    <row r="12" spans="2:33">
      <c r="B12" s="304" t="s">
        <v>99</v>
      </c>
      <c r="C12" s="304"/>
      <c r="D12" s="304"/>
      <c r="E12" s="304"/>
      <c r="F12" s="320">
        <f ca="1">COUNT(Calculations!I57:AN57)/COUNT(data0!F3:AK3)</f>
        <v>0.84375</v>
      </c>
      <c r="G12" s="320"/>
      <c r="H12" s="320"/>
    </row>
    <row r="14" spans="2:33">
      <c r="B14" s="111">
        <v>1</v>
      </c>
      <c r="C14" s="111">
        <f t="shared" ref="C14:I14" si="4">B14+1</f>
        <v>2</v>
      </c>
      <c r="D14" s="111">
        <f t="shared" si="4"/>
        <v>3</v>
      </c>
      <c r="E14" s="111">
        <f t="shared" si="4"/>
        <v>4</v>
      </c>
      <c r="F14" s="111">
        <f t="shared" si="4"/>
        <v>5</v>
      </c>
      <c r="G14" s="111">
        <f t="shared" si="4"/>
        <v>6</v>
      </c>
      <c r="H14" s="111">
        <f t="shared" si="4"/>
        <v>7</v>
      </c>
      <c r="I14" s="111">
        <f t="shared" si="4"/>
        <v>8</v>
      </c>
      <c r="J14" s="111">
        <f t="shared" ref="J14:AG14" si="5">B14</f>
        <v>1</v>
      </c>
      <c r="K14" s="111">
        <f t="shared" si="5"/>
        <v>2</v>
      </c>
      <c r="L14" s="111">
        <f t="shared" si="5"/>
        <v>3</v>
      </c>
      <c r="M14" s="111">
        <f t="shared" si="5"/>
        <v>4</v>
      </c>
      <c r="N14" s="111">
        <f t="shared" si="5"/>
        <v>5</v>
      </c>
      <c r="O14" s="111">
        <f t="shared" si="5"/>
        <v>6</v>
      </c>
      <c r="P14" s="111">
        <f t="shared" si="5"/>
        <v>7</v>
      </c>
      <c r="Q14" s="111">
        <f t="shared" si="5"/>
        <v>8</v>
      </c>
      <c r="R14" s="111">
        <f t="shared" si="5"/>
        <v>1</v>
      </c>
      <c r="S14" s="111">
        <f t="shared" si="5"/>
        <v>2</v>
      </c>
      <c r="T14" s="111">
        <f t="shared" si="5"/>
        <v>3</v>
      </c>
      <c r="U14" s="111">
        <f t="shared" si="5"/>
        <v>4</v>
      </c>
      <c r="V14" s="111">
        <f t="shared" si="5"/>
        <v>5</v>
      </c>
      <c r="W14" s="111">
        <f t="shared" si="5"/>
        <v>6</v>
      </c>
      <c r="X14" s="111">
        <f t="shared" si="5"/>
        <v>7</v>
      </c>
      <c r="Y14" s="111">
        <f t="shared" si="5"/>
        <v>8</v>
      </c>
      <c r="Z14" s="111">
        <f t="shared" si="5"/>
        <v>1</v>
      </c>
      <c r="AA14" s="111">
        <f t="shared" si="5"/>
        <v>2</v>
      </c>
      <c r="AB14" s="111">
        <f t="shared" si="5"/>
        <v>3</v>
      </c>
      <c r="AC14" s="111">
        <f t="shared" si="5"/>
        <v>4</v>
      </c>
      <c r="AD14" s="111">
        <f t="shared" si="5"/>
        <v>5</v>
      </c>
      <c r="AE14" s="111">
        <f t="shared" si="5"/>
        <v>6</v>
      </c>
      <c r="AF14" s="111">
        <f t="shared" si="5"/>
        <v>7</v>
      </c>
      <c r="AG14" s="111">
        <f t="shared" si="5"/>
        <v>8</v>
      </c>
    </row>
    <row r="15" spans="2:33">
      <c r="B15" s="111">
        <v>1</v>
      </c>
      <c r="C15" s="111">
        <f t="shared" ref="C15:I15" si="6">B15</f>
        <v>1</v>
      </c>
      <c r="D15" s="111">
        <f t="shared" si="6"/>
        <v>1</v>
      </c>
      <c r="E15" s="111">
        <f t="shared" si="6"/>
        <v>1</v>
      </c>
      <c r="F15" s="111">
        <f t="shared" si="6"/>
        <v>1</v>
      </c>
      <c r="G15" s="111">
        <f t="shared" si="6"/>
        <v>1</v>
      </c>
      <c r="H15" s="111">
        <f t="shared" si="6"/>
        <v>1</v>
      </c>
      <c r="I15" s="111">
        <f t="shared" si="6"/>
        <v>1</v>
      </c>
      <c r="J15" s="111">
        <f t="shared" ref="J15:AG15" si="7">B15+1</f>
        <v>2</v>
      </c>
      <c r="K15" s="111">
        <f t="shared" si="7"/>
        <v>2</v>
      </c>
      <c r="L15" s="111">
        <f t="shared" si="7"/>
        <v>2</v>
      </c>
      <c r="M15" s="111">
        <f t="shared" si="7"/>
        <v>2</v>
      </c>
      <c r="N15" s="111">
        <f t="shared" si="7"/>
        <v>2</v>
      </c>
      <c r="O15" s="111">
        <f t="shared" si="7"/>
        <v>2</v>
      </c>
      <c r="P15" s="111">
        <f t="shared" si="7"/>
        <v>2</v>
      </c>
      <c r="Q15" s="111">
        <f t="shared" si="7"/>
        <v>2</v>
      </c>
      <c r="R15" s="111">
        <f t="shared" si="7"/>
        <v>3</v>
      </c>
      <c r="S15" s="111">
        <f t="shared" si="7"/>
        <v>3</v>
      </c>
      <c r="T15" s="111">
        <f t="shared" si="7"/>
        <v>3</v>
      </c>
      <c r="U15" s="111">
        <f t="shared" si="7"/>
        <v>3</v>
      </c>
      <c r="V15" s="111">
        <f t="shared" si="7"/>
        <v>3</v>
      </c>
      <c r="W15" s="111">
        <f t="shared" si="7"/>
        <v>3</v>
      </c>
      <c r="X15" s="111">
        <f t="shared" si="7"/>
        <v>3</v>
      </c>
      <c r="Y15" s="111">
        <f t="shared" si="7"/>
        <v>3</v>
      </c>
      <c r="Z15" s="111">
        <f t="shared" si="7"/>
        <v>4</v>
      </c>
      <c r="AA15" s="111">
        <f t="shared" si="7"/>
        <v>4</v>
      </c>
      <c r="AB15" s="111">
        <f t="shared" si="7"/>
        <v>4</v>
      </c>
      <c r="AC15" s="111">
        <f t="shared" si="7"/>
        <v>4</v>
      </c>
      <c r="AD15" s="111">
        <f t="shared" si="7"/>
        <v>4</v>
      </c>
      <c r="AE15" s="111">
        <f t="shared" si="7"/>
        <v>4</v>
      </c>
      <c r="AF15" s="111">
        <f t="shared" si="7"/>
        <v>4</v>
      </c>
      <c r="AG15" s="111">
        <f t="shared" si="7"/>
        <v>4</v>
      </c>
    </row>
    <row r="16" spans="2:33">
      <c r="B16" s="131">
        <f t="shared" ref="B16:AG16" si="8">ABS(OR(NOT(UseEnableMask),INDEX(Enable,B14,1,B15)))</f>
        <v>0</v>
      </c>
      <c r="C16" s="131">
        <f t="shared" si="8"/>
        <v>0</v>
      </c>
      <c r="D16" s="131">
        <f t="shared" si="8"/>
        <v>1</v>
      </c>
      <c r="E16" s="131">
        <f t="shared" si="8"/>
        <v>1</v>
      </c>
      <c r="F16" s="131">
        <f t="shared" si="8"/>
        <v>0</v>
      </c>
      <c r="G16" s="131">
        <f t="shared" si="8"/>
        <v>1</v>
      </c>
      <c r="H16" s="131">
        <f t="shared" si="8"/>
        <v>1</v>
      </c>
      <c r="I16" s="131">
        <f t="shared" si="8"/>
        <v>0</v>
      </c>
      <c r="J16" s="131">
        <f t="shared" si="8"/>
        <v>1</v>
      </c>
      <c r="K16" s="131">
        <f t="shared" si="8"/>
        <v>1</v>
      </c>
      <c r="L16" s="131">
        <f t="shared" si="8"/>
        <v>1</v>
      </c>
      <c r="M16" s="131">
        <f t="shared" si="8"/>
        <v>1</v>
      </c>
      <c r="N16" s="131">
        <f t="shared" si="8"/>
        <v>1</v>
      </c>
      <c r="O16" s="131">
        <f t="shared" si="8"/>
        <v>1</v>
      </c>
      <c r="P16" s="131">
        <f t="shared" si="8"/>
        <v>1</v>
      </c>
      <c r="Q16" s="131">
        <f t="shared" si="8"/>
        <v>1</v>
      </c>
      <c r="R16" s="131">
        <f t="shared" si="8"/>
        <v>1</v>
      </c>
      <c r="S16" s="131">
        <f t="shared" si="8"/>
        <v>1</v>
      </c>
      <c r="T16" s="131">
        <f t="shared" si="8"/>
        <v>1</v>
      </c>
      <c r="U16" s="131">
        <f t="shared" si="8"/>
        <v>1</v>
      </c>
      <c r="V16" s="131">
        <f t="shared" si="8"/>
        <v>1</v>
      </c>
      <c r="W16" s="131">
        <f t="shared" si="8"/>
        <v>1</v>
      </c>
      <c r="X16" s="131">
        <f t="shared" si="8"/>
        <v>1</v>
      </c>
      <c r="Y16" s="131">
        <f t="shared" si="8"/>
        <v>1</v>
      </c>
      <c r="Z16" s="131">
        <f t="shared" si="8"/>
        <v>1</v>
      </c>
      <c r="AA16" s="131">
        <f t="shared" si="8"/>
        <v>1</v>
      </c>
      <c r="AB16" s="131">
        <f t="shared" si="8"/>
        <v>0</v>
      </c>
      <c r="AC16" s="131">
        <f t="shared" si="8"/>
        <v>1</v>
      </c>
      <c r="AD16" s="131">
        <f t="shared" si="8"/>
        <v>1</v>
      </c>
      <c r="AE16" s="131">
        <f t="shared" si="8"/>
        <v>1</v>
      </c>
      <c r="AF16" s="131">
        <f t="shared" si="8"/>
        <v>1</v>
      </c>
      <c r="AG16" s="131">
        <f t="shared" si="8"/>
        <v>1</v>
      </c>
    </row>
  </sheetData>
  <mergeCells count="3">
    <mergeCell ref="B11:F11"/>
    <mergeCell ref="B12:E12"/>
    <mergeCell ref="F12:H12"/>
  </mergeCells>
  <conditionalFormatting sqref="E2:E9 G2:G9 I2:I9 C2:C9">
    <cfRule type="cellIs" dxfId="3" priority="3" operator="equal">
      <formula>0</formula>
    </cfRule>
    <cfRule type="cellIs" dxfId="2" priority="4" operator="equal">
      <formula>1</formula>
    </cfRule>
  </conditionalFormatting>
  <conditionalFormatting sqref="G11">
    <cfRule type="cellIs" dxfId="1" priority="1" operator="equal">
      <formula>0</formula>
    </cfRule>
    <cfRule type="cellIs" dxfId="0" priority="2" operator="equal">
      <formula>1</formula>
    </cfRule>
  </conditionalFormatting>
  <dataValidations count="1">
    <dataValidation type="list" allowBlank="1" showInputMessage="1" showErrorMessage="1" sqref="I2:I9 G2:G9 E2:E9 G11 C2:C9">
      <formula1>$B$2:$B$3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B2:Q195"/>
  <sheetViews>
    <sheetView zoomScale="90" zoomScaleNormal="90" workbookViewId="0"/>
  </sheetViews>
  <sheetFormatPr defaultRowHeight="15"/>
  <cols>
    <col min="1" max="1" width="9.140625" style="111"/>
    <col min="2" max="2" width="17.42578125" style="111" bestFit="1" customWidth="1"/>
    <col min="3" max="3" width="3.42578125" style="111" bestFit="1" customWidth="1"/>
    <col min="4" max="7" width="7.140625" style="110" bestFit="1" customWidth="1"/>
    <col min="8" max="10" width="9.140625" style="111"/>
    <col min="11" max="11" width="11" style="111" bestFit="1" customWidth="1"/>
    <col min="12" max="16384" width="9.140625" style="111"/>
  </cols>
  <sheetData>
    <row r="2" spans="2:17">
      <c r="N2" s="304" t="s">
        <v>112</v>
      </c>
      <c r="O2" s="304"/>
      <c r="P2" s="304"/>
      <c r="Q2" s="304"/>
    </row>
    <row r="3" spans="2:17">
      <c r="D3" s="110" t="s">
        <v>57</v>
      </c>
      <c r="E3" s="110" t="s">
        <v>58</v>
      </c>
      <c r="F3" s="110" t="s">
        <v>109</v>
      </c>
      <c r="G3" s="110" t="s">
        <v>110</v>
      </c>
      <c r="H3" s="111" t="s">
        <v>56</v>
      </c>
      <c r="I3" s="111" t="s">
        <v>111</v>
      </c>
      <c r="K3" s="111" t="s">
        <v>46</v>
      </c>
      <c r="L3" s="111" t="s">
        <v>47</v>
      </c>
      <c r="M3" s="111" t="s">
        <v>48</v>
      </c>
      <c r="N3" s="110" t="str">
        <f>D3</f>
        <v>x</v>
      </c>
      <c r="O3" s="110" t="str">
        <f t="shared" ref="O3:Q3" si="0">E3</f>
        <v>y</v>
      </c>
      <c r="P3" s="110" t="str">
        <f t="shared" si="0"/>
        <v>u</v>
      </c>
      <c r="Q3" s="110" t="str">
        <f t="shared" si="0"/>
        <v>v</v>
      </c>
    </row>
    <row r="4" spans="2:17">
      <c r="B4" s="326" t="str">
        <f>Calculations!B81</f>
        <v>HZ</v>
      </c>
      <c r="C4" s="111">
        <v>0</v>
      </c>
      <c r="D4" s="110" t="str">
        <f t="array" ref="D4:E35">TRANSPOSE(Calculations!I87:AN88)</f>
        <v/>
      </c>
      <c r="E4" s="110" t="str">
        <v/>
      </c>
      <c r="F4" s="110">
        <f>IF(D4&lt;&gt;"",getUVfromXY(D4,E4,0),0)</f>
        <v>0</v>
      </c>
      <c r="G4" s="110">
        <f>IF(D4&lt;&gt;"",getUVfromXY(D4,E4,1),0)</f>
        <v>0</v>
      </c>
      <c r="H4" s="111" t="str">
        <f>IF(D4&lt;&gt;"",getCCTfromXY(D4,E4,0),"")</f>
        <v/>
      </c>
      <c r="I4" s="134" t="str">
        <f>IF(D4&lt;&gt;"",getCCTfromXY(D4,E4,1),"")</f>
        <v/>
      </c>
      <c r="J4" s="134" t="str">
        <f>B4</f>
        <v>HZ</v>
      </c>
      <c r="K4" s="106">
        <f>Calibration!D27</f>
        <v>1005</v>
      </c>
      <c r="L4" s="106">
        <f>Calibration!E27</f>
        <v>844.5</v>
      </c>
      <c r="M4" s="106">
        <f>Calibration!F27</f>
        <v>176</v>
      </c>
      <c r="N4" s="110">
        <f>K4/SUM(K4:M4)</f>
        <v>0.49617378425080227</v>
      </c>
      <c r="O4" s="110">
        <f>L4/SUM(K4:M4)</f>
        <v>0.41693409034806223</v>
      </c>
      <c r="P4" s="110">
        <f>IF(N4&lt;&gt;"",getUVfromXY(N4,O4,0),0)</f>
        <v>0.28308862364001269</v>
      </c>
      <c r="Q4" s="110">
        <f>IF(N4&lt;&gt;"",getUVfromXY(N4,O4,1),0)</f>
        <v>0.35681842188655327</v>
      </c>
    </row>
    <row r="5" spans="2:17">
      <c r="B5" s="326"/>
      <c r="C5" s="111">
        <f>C4+1</f>
        <v>1</v>
      </c>
      <c r="D5" s="110" t="str">
        <v/>
      </c>
      <c r="E5" s="110" t="str">
        <v/>
      </c>
      <c r="F5" s="110">
        <f t="shared" ref="F5:F68" si="1">IF(D5&lt;&gt;"",getUVfromXY(D5,E5,0),0)</f>
        <v>0</v>
      </c>
      <c r="G5" s="110">
        <f t="shared" ref="G5:G68" si="2">IF(D5&lt;&gt;"",getUVfromXY(D5,E5,1),0)</f>
        <v>0</v>
      </c>
      <c r="H5" s="111" t="str">
        <f t="shared" ref="H5:H68" si="3">IF(D5&lt;&gt;"",getCCTfromXY(D5,E5,0),"")</f>
        <v/>
      </c>
      <c r="I5" s="134" t="str">
        <f t="shared" ref="I5:I68" si="4">IF(D5&lt;&gt;"",getCCTfromXY(D5,E5,1),"")</f>
        <v/>
      </c>
      <c r="J5" s="134" t="str">
        <f>B36</f>
        <v>A</v>
      </c>
      <c r="K5" s="106">
        <f>Calibration!D28</f>
        <v>1505</v>
      </c>
      <c r="L5" s="106">
        <f>Calibration!E28</f>
        <v>1373</v>
      </c>
      <c r="M5" s="106">
        <f>Calibration!F28</f>
        <v>457</v>
      </c>
      <c r="N5" s="110">
        <f t="shared" ref="N5:N9" si="5">K5/SUM(K5:M5)</f>
        <v>0.45127436281859068</v>
      </c>
      <c r="O5" s="110">
        <f t="shared" ref="O5:O9" si="6">L5/SUM(K5:M5)</f>
        <v>0.41169415292353823</v>
      </c>
      <c r="P5" s="110">
        <f t="shared" ref="P5:P9" si="7">IF(N5&lt;&gt;"",getUVfromXY(N5,O5,0),0)</f>
        <v>0.25648672830301222</v>
      </c>
      <c r="Q5" s="110">
        <f t="shared" ref="Q5:Q9" si="8">IF(N5&lt;&gt;"",getUVfromXY(N5,O5,1),0)</f>
        <v>0.35098632354820841</v>
      </c>
    </row>
    <row r="6" spans="2:17">
      <c r="B6" s="326"/>
      <c r="C6" s="111">
        <f t="shared" ref="C6:C35" si="9">C5+1</f>
        <v>2</v>
      </c>
      <c r="D6" s="110">
        <v>0.3652564226460992</v>
      </c>
      <c r="E6" s="110">
        <v>0.19344672333157342</v>
      </c>
      <c r="F6" s="110">
        <f t="shared" si="1"/>
        <v>0.31824746608795174</v>
      </c>
      <c r="G6" s="110">
        <f t="shared" si="2"/>
        <v>0.25282483362218755</v>
      </c>
      <c r="H6" s="111">
        <f t="shared" si="3"/>
        <v>1921</v>
      </c>
      <c r="I6" s="134">
        <f t="shared" si="4"/>
        <v>-0.10749583811256884</v>
      </c>
      <c r="J6" s="134" t="str">
        <f>B68</f>
        <v>U30</v>
      </c>
      <c r="K6" s="106">
        <f>Calibration!D29</f>
        <v>928.5</v>
      </c>
      <c r="L6" s="106">
        <f>Calibration!E29</f>
        <v>852.5</v>
      </c>
      <c r="M6" s="106">
        <f>Calibration!F29</f>
        <v>252.5</v>
      </c>
      <c r="N6" s="110">
        <f t="shared" si="5"/>
        <v>0.45660191787558396</v>
      </c>
      <c r="O6" s="110">
        <f t="shared" si="6"/>
        <v>0.41922793213671011</v>
      </c>
      <c r="P6" s="110">
        <f t="shared" si="7"/>
        <v>0.25660690226966526</v>
      </c>
      <c r="Q6" s="110">
        <f t="shared" si="8"/>
        <v>0.35340449787542749</v>
      </c>
    </row>
    <row r="7" spans="2:17">
      <c r="B7" s="326"/>
      <c r="C7" s="111">
        <f t="shared" si="9"/>
        <v>3</v>
      </c>
      <c r="D7" s="110">
        <v>0.17819074604005444</v>
      </c>
      <c r="E7" s="110">
        <v>-1.2358509955389802E-2</v>
      </c>
      <c r="F7" s="110">
        <f t="shared" si="1"/>
        <v>0.28564032499360575</v>
      </c>
      <c r="G7" s="110">
        <f t="shared" si="2"/>
        <v>-2.9716095351837862E-2</v>
      </c>
      <c r="H7" s="111">
        <f t="shared" si="3"/>
        <v>-15000</v>
      </c>
      <c r="I7" s="134">
        <f t="shared" si="4"/>
        <v>-0.32892558357655344</v>
      </c>
      <c r="J7" s="134" t="str">
        <f>B100</f>
        <v>U35</v>
      </c>
      <c r="K7" s="106">
        <f>Calibration!D30</f>
        <v>863.5</v>
      </c>
      <c r="L7" s="106">
        <f>Calibration!E30</f>
        <v>825.15</v>
      </c>
      <c r="M7" s="106">
        <f>Calibration!F30</f>
        <v>328.05</v>
      </c>
      <c r="N7" s="110">
        <f t="shared" si="5"/>
        <v>0.42817474091337332</v>
      </c>
      <c r="O7" s="110">
        <f t="shared" si="6"/>
        <v>0.40915852630535032</v>
      </c>
      <c r="P7" s="110">
        <f t="shared" si="7"/>
        <v>0.24281365774100344</v>
      </c>
      <c r="Q7" s="110">
        <f t="shared" si="8"/>
        <v>0.34804462597276609</v>
      </c>
    </row>
    <row r="8" spans="2:17">
      <c r="B8" s="326"/>
      <c r="C8" s="111">
        <f t="shared" si="9"/>
        <v>4</v>
      </c>
      <c r="D8" s="110" t="str">
        <v/>
      </c>
      <c r="E8" s="110" t="str">
        <v/>
      </c>
      <c r="F8" s="110">
        <f t="shared" si="1"/>
        <v>0</v>
      </c>
      <c r="G8" s="110">
        <f t="shared" si="2"/>
        <v>0</v>
      </c>
      <c r="H8" s="111" t="str">
        <f t="shared" si="3"/>
        <v/>
      </c>
      <c r="I8" s="134" t="str">
        <f t="shared" si="4"/>
        <v/>
      </c>
      <c r="J8" s="134" t="str">
        <f>B132</f>
        <v>CWF</v>
      </c>
      <c r="K8" s="106">
        <f>Calibration!D31</f>
        <v>755</v>
      </c>
      <c r="L8" s="106">
        <f>Calibration!E31</f>
        <v>790</v>
      </c>
      <c r="M8" s="106">
        <f>Calibration!F31</f>
        <v>390.25</v>
      </c>
      <c r="N8" s="110">
        <f t="shared" si="5"/>
        <v>0.39013047409895363</v>
      </c>
      <c r="O8" s="110">
        <f t="shared" si="6"/>
        <v>0.40821599276579251</v>
      </c>
      <c r="P8" s="110">
        <f t="shared" si="7"/>
        <v>0.21922581347658024</v>
      </c>
      <c r="Q8" s="110">
        <f t="shared" si="8"/>
        <v>0.34408289929767888</v>
      </c>
    </row>
    <row r="9" spans="2:17">
      <c r="B9" s="326"/>
      <c r="C9" s="111">
        <f t="shared" si="9"/>
        <v>5</v>
      </c>
      <c r="D9" s="110">
        <v>0.4926005509780032</v>
      </c>
      <c r="E9" s="110">
        <v>0.425564209238737</v>
      </c>
      <c r="F9" s="110">
        <f t="shared" si="1"/>
        <v>0.27668089584960132</v>
      </c>
      <c r="G9" s="110">
        <f t="shared" si="2"/>
        <v>0.3585424937708569</v>
      </c>
      <c r="H9" s="111">
        <f t="shared" si="3"/>
        <v>2407</v>
      </c>
      <c r="I9" s="134">
        <f t="shared" si="4"/>
        <v>2.6186780026402723E-3</v>
      </c>
      <c r="J9" s="134" t="str">
        <f>B164</f>
        <v>D65</v>
      </c>
      <c r="K9" s="106">
        <f>Calibration!D32</f>
        <v>809</v>
      </c>
      <c r="L9" s="106">
        <f>Calibration!E32</f>
        <v>848.5</v>
      </c>
      <c r="M9" s="106">
        <f>Calibration!F32</f>
        <v>908</v>
      </c>
      <c r="N9" s="110">
        <f t="shared" si="5"/>
        <v>0.31533814071331123</v>
      </c>
      <c r="O9" s="110">
        <f t="shared" si="6"/>
        <v>0.33073474956148896</v>
      </c>
      <c r="P9" s="110">
        <f t="shared" si="7"/>
        <v>0.19900987054518618</v>
      </c>
      <c r="Q9" s="110">
        <f t="shared" si="8"/>
        <v>0.31309000338242982</v>
      </c>
    </row>
    <row r="10" spans="2:17">
      <c r="B10" s="326"/>
      <c r="C10" s="111">
        <f t="shared" si="9"/>
        <v>6</v>
      </c>
      <c r="D10" s="110">
        <v>0.44924945287800705</v>
      </c>
      <c r="E10" s="110">
        <v>0.34066731900113134</v>
      </c>
      <c r="F10" s="110">
        <f t="shared" si="1"/>
        <v>0.29032962615983937</v>
      </c>
      <c r="G10" s="110">
        <f t="shared" si="2"/>
        <v>0.33023684749149013</v>
      </c>
      <c r="H10" s="111">
        <f t="shared" si="3"/>
        <v>2258</v>
      </c>
      <c r="I10" s="134">
        <f t="shared" si="4"/>
        <v>-2.7592873415370832E-2</v>
      </c>
      <c r="J10" s="325" t="str">
        <f>Calculations!C81</f>
        <v>LO</v>
      </c>
      <c r="K10" s="325"/>
      <c r="L10" s="325"/>
      <c r="M10" s="325"/>
      <c r="N10" s="110" t="str">
        <f>N3</f>
        <v>x</v>
      </c>
      <c r="O10" s="110" t="str">
        <f t="shared" ref="O10:Q10" si="10">O3</f>
        <v>y</v>
      </c>
      <c r="P10" s="110" t="str">
        <f t="shared" si="10"/>
        <v>u</v>
      </c>
      <c r="Q10" s="110" t="str">
        <f t="shared" si="10"/>
        <v>v</v>
      </c>
    </row>
    <row r="11" spans="2:17">
      <c r="B11" s="326"/>
      <c r="C11" s="111">
        <f t="shared" si="9"/>
        <v>7</v>
      </c>
      <c r="D11" s="110" t="str">
        <v/>
      </c>
      <c r="E11" s="110" t="str">
        <v/>
      </c>
      <c r="F11" s="110">
        <f t="shared" si="1"/>
        <v>0</v>
      </c>
      <c r="G11" s="110">
        <f t="shared" si="2"/>
        <v>0</v>
      </c>
      <c r="H11" s="111" t="str">
        <f t="shared" si="3"/>
        <v/>
      </c>
      <c r="I11" s="134" t="str">
        <f t="shared" si="4"/>
        <v/>
      </c>
      <c r="J11" s="134" t="str">
        <f>J4</f>
        <v>HZ</v>
      </c>
      <c r="K11" s="134"/>
      <c r="L11" s="134"/>
      <c r="M11" s="134"/>
      <c r="N11" s="110">
        <f>Calculations!F87</f>
        <v>0.42468821258429118</v>
      </c>
      <c r="O11" s="110">
        <f>Calculations!F88</f>
        <v>0.30555627314436568</v>
      </c>
      <c r="P11" s="110">
        <f>IF(N11&lt;&gt;"",getUVfromXY(N11,O11,0),0)</f>
        <v>0.29201746263877926</v>
      </c>
      <c r="Q11" s="110">
        <f>IF(N11&lt;&gt;"",getUVfromXY(N11,O11,1),0)</f>
        <v>0.3151527341694339</v>
      </c>
    </row>
    <row r="12" spans="2:17">
      <c r="B12" s="326"/>
      <c r="C12" s="111">
        <f t="shared" si="9"/>
        <v>8</v>
      </c>
      <c r="D12" s="110">
        <v>0.3906767343975257</v>
      </c>
      <c r="E12" s="110">
        <v>0.21128888773036958</v>
      </c>
      <c r="F12" s="110">
        <f t="shared" si="1"/>
        <v>0.32870629644651023</v>
      </c>
      <c r="G12" s="110">
        <f t="shared" si="2"/>
        <v>0.26666031651432842</v>
      </c>
      <c r="H12" s="111">
        <f t="shared" si="3"/>
        <v>1768</v>
      </c>
      <c r="I12" s="134">
        <f t="shared" si="4"/>
        <v>-9.410462725019994E-2</v>
      </c>
      <c r="J12" s="134" t="str">
        <f t="shared" ref="J12:J21" si="11">J5</f>
        <v>A</v>
      </c>
      <c r="K12" s="134"/>
      <c r="L12" s="134"/>
      <c r="M12" s="134"/>
      <c r="N12" s="110">
        <f>Calculations!F109</f>
        <v>0.38969128083001642</v>
      </c>
      <c r="O12" s="110">
        <f>Calculations!F110</f>
        <v>0.35733791502980405</v>
      </c>
      <c r="P12" s="110">
        <f>IF(N12&lt;&gt;"",getUVfromXY(N12,O12,0),0)</f>
        <v>0.23949048639199672</v>
      </c>
      <c r="Q12" s="110">
        <f>IF(N12&lt;&gt;"",getUVfromXY(N12,O12,1),0)</f>
        <v>0.32941087709678341</v>
      </c>
    </row>
    <row r="13" spans="2:17">
      <c r="B13" s="326"/>
      <c r="C13" s="111">
        <f t="shared" si="9"/>
        <v>9</v>
      </c>
      <c r="D13" s="110">
        <v>0.4957220196807216</v>
      </c>
      <c r="E13" s="110">
        <v>0.42038468728026729</v>
      </c>
      <c r="F13" s="110">
        <f t="shared" si="1"/>
        <v>0.28113422163056173</v>
      </c>
      <c r="G13" s="110">
        <f t="shared" si="2"/>
        <v>0.35761329077150089</v>
      </c>
      <c r="H13" s="111">
        <f t="shared" si="3"/>
        <v>2337</v>
      </c>
      <c r="I13" s="134">
        <f t="shared" si="4"/>
        <v>9.015343239026823E-4</v>
      </c>
      <c r="J13" s="134" t="str">
        <f t="shared" si="11"/>
        <v>U30</v>
      </c>
      <c r="K13" s="134"/>
      <c r="L13" s="134"/>
      <c r="M13" s="134"/>
      <c r="N13" s="110">
        <f>Calculations!F135</f>
        <v>0.44916742554506761</v>
      </c>
      <c r="O13" s="110">
        <f>Calculations!F136</f>
        <v>0.42481369440498268</v>
      </c>
      <c r="P13" s="110">
        <f t="shared" ref="P13:P16" si="12">IF(N13&lt;&gt;"",getUVfromXY(N13,O13,0),0)</f>
        <v>0.24955723321268503</v>
      </c>
      <c r="Q13" s="110">
        <f t="shared" ref="Q13:Q16" si="13">IF(N13&lt;&gt;"",getUVfromXY(N13,O13,1),0)</f>
        <v>0.35403946561101224</v>
      </c>
    </row>
    <row r="14" spans="2:17">
      <c r="B14" s="326"/>
      <c r="C14" s="111">
        <f t="shared" si="9"/>
        <v>10</v>
      </c>
      <c r="D14" s="110">
        <v>0.50558341732881507</v>
      </c>
      <c r="E14" s="110">
        <v>0.43901315608939284</v>
      </c>
      <c r="F14" s="110">
        <f t="shared" si="1"/>
        <v>0.27867385512948556</v>
      </c>
      <c r="G14" s="110">
        <f t="shared" si="2"/>
        <v>0.36297122631029677</v>
      </c>
      <c r="H14" s="111">
        <f t="shared" si="3"/>
        <v>2361</v>
      </c>
      <c r="I14" s="134">
        <f t="shared" si="4"/>
        <v>6.6057303617739179E-3</v>
      </c>
      <c r="J14" s="134" t="str">
        <f t="shared" si="11"/>
        <v>U35</v>
      </c>
      <c r="K14" s="134"/>
      <c r="L14" s="134"/>
      <c r="M14" s="134"/>
      <c r="N14" s="110">
        <f>Calculations!F157</f>
        <v>0.42918598831991805</v>
      </c>
      <c r="O14" s="110">
        <f>Calculations!F158</f>
        <v>0.41204783781064014</v>
      </c>
      <c r="P14" s="110">
        <f t="shared" si="12"/>
        <v>0.2422657348187264</v>
      </c>
      <c r="Q14" s="110">
        <f t="shared" si="13"/>
        <v>0.34888745762100182</v>
      </c>
    </row>
    <row r="15" spans="2:17">
      <c r="B15" s="326"/>
      <c r="C15" s="111">
        <f t="shared" si="9"/>
        <v>11</v>
      </c>
      <c r="D15" s="110">
        <v>0.4427181214186281</v>
      </c>
      <c r="E15" s="110">
        <v>0.33962908976984385</v>
      </c>
      <c r="F15" s="110">
        <f t="shared" si="1"/>
        <v>0.28608080871047836</v>
      </c>
      <c r="G15" s="110">
        <f t="shared" si="2"/>
        <v>0.32919828654727512</v>
      </c>
      <c r="H15" s="111">
        <f t="shared" si="3"/>
        <v>2336</v>
      </c>
      <c r="I15" s="134">
        <f t="shared" si="4"/>
        <v>-2.7940929270668161E-2</v>
      </c>
      <c r="J15" s="134" t="str">
        <f t="shared" si="11"/>
        <v>CWF</v>
      </c>
      <c r="K15" s="134"/>
      <c r="L15" s="134"/>
      <c r="N15" s="110">
        <f>Calculations!F175</f>
        <v>0.39843869654680342</v>
      </c>
      <c r="O15" s="110">
        <f>Calculations!F176</f>
        <v>0.39229588898497264</v>
      </c>
      <c r="P15" s="110">
        <f t="shared" si="12"/>
        <v>0.23062221621964746</v>
      </c>
      <c r="Q15" s="110">
        <f t="shared" si="13"/>
        <v>0.34060000239312982</v>
      </c>
    </row>
    <row r="16" spans="2:17">
      <c r="B16" s="326"/>
      <c r="C16" s="111">
        <f t="shared" si="9"/>
        <v>12</v>
      </c>
      <c r="D16" s="110">
        <v>0.50752341418006497</v>
      </c>
      <c r="E16" s="110">
        <v>0.44109508107657724</v>
      </c>
      <c r="F16" s="110">
        <f t="shared" si="1"/>
        <v>0.27893204132815264</v>
      </c>
      <c r="G16" s="110">
        <f t="shared" si="2"/>
        <v>0.36363509922966247</v>
      </c>
      <c r="H16" s="111">
        <f t="shared" si="3"/>
        <v>2355</v>
      </c>
      <c r="I16" s="134">
        <f t="shared" si="4"/>
        <v>7.2135949560454965E-3</v>
      </c>
      <c r="J16" s="134" t="str">
        <f t="shared" si="11"/>
        <v>D65</v>
      </c>
      <c r="K16" s="134"/>
      <c r="L16" s="134"/>
      <c r="N16" s="110">
        <f>Calculations!F201</f>
        <v>0.31100359689406298</v>
      </c>
      <c r="O16" s="110">
        <f>Calculations!F202</f>
        <v>0.33156727319957996</v>
      </c>
      <c r="P16" s="110">
        <f t="shared" si="12"/>
        <v>0.19569820837824789</v>
      </c>
      <c r="Q16" s="110">
        <f t="shared" si="13"/>
        <v>0.31295677270312078</v>
      </c>
    </row>
    <row r="17" spans="2:17">
      <c r="B17" s="326"/>
      <c r="C17" s="111">
        <f t="shared" si="9"/>
        <v>13</v>
      </c>
      <c r="D17" s="110">
        <v>0.49723128568382702</v>
      </c>
      <c r="E17" s="110">
        <v>0.43737589501237228</v>
      </c>
      <c r="F17" s="110">
        <f t="shared" si="1"/>
        <v>0.27418140829213522</v>
      </c>
      <c r="G17" s="110">
        <f t="shared" si="2"/>
        <v>0.36176426031580816</v>
      </c>
      <c r="H17" s="111">
        <f t="shared" si="3"/>
        <v>2438</v>
      </c>
      <c r="I17" s="134">
        <f t="shared" si="4"/>
        <v>6.2654723264745117E-3</v>
      </c>
      <c r="J17" s="325" t="str">
        <f>Calculations!C84</f>
        <v>HI</v>
      </c>
      <c r="K17" s="325"/>
      <c r="L17" s="325"/>
      <c r="M17" s="325"/>
      <c r="N17" s="110" t="str">
        <f t="shared" ref="N17:Q17" si="14">N10</f>
        <v>x</v>
      </c>
      <c r="O17" s="110" t="str">
        <f t="shared" si="14"/>
        <v>y</v>
      </c>
      <c r="P17" s="110" t="str">
        <f t="shared" si="14"/>
        <v>u</v>
      </c>
      <c r="Q17" s="110" t="str">
        <f t="shared" si="14"/>
        <v>v</v>
      </c>
    </row>
    <row r="18" spans="2:17">
      <c r="B18" s="326"/>
      <c r="C18" s="111">
        <f t="shared" si="9"/>
        <v>14</v>
      </c>
      <c r="D18" s="110">
        <v>0.49191248188953041</v>
      </c>
      <c r="E18" s="110">
        <v>0.42827188655985093</v>
      </c>
      <c r="F18" s="110">
        <f t="shared" si="1"/>
        <v>0.27498666286333834</v>
      </c>
      <c r="G18" s="110">
        <f t="shared" si="2"/>
        <v>0.35911588306594505</v>
      </c>
      <c r="H18" s="111">
        <f t="shared" si="3"/>
        <v>2434</v>
      </c>
      <c r="I18" s="134">
        <f t="shared" si="4"/>
        <v>3.5100254702996399E-3</v>
      </c>
      <c r="J18" s="134" t="str">
        <f t="shared" si="11"/>
        <v>HZ</v>
      </c>
      <c r="K18" s="134"/>
      <c r="L18" s="134"/>
      <c r="M18" s="134"/>
      <c r="N18" s="110"/>
      <c r="O18" s="110"/>
      <c r="P18" s="110">
        <f>IF(N18&lt;&gt;"",getUVfromXY(N18,O18,0),0)</f>
        <v>0</v>
      </c>
      <c r="Q18" s="110">
        <f>IF(N18&lt;&gt;"",getUVfromXY(N18,O18,1),0)</f>
        <v>0</v>
      </c>
    </row>
    <row r="19" spans="2:17">
      <c r="B19" s="326"/>
      <c r="C19" s="111">
        <f t="shared" si="9"/>
        <v>15</v>
      </c>
      <c r="D19" s="110">
        <v>0.5017500507882644</v>
      </c>
      <c r="E19" s="110">
        <v>0.44628684140003388</v>
      </c>
      <c r="F19" s="110">
        <f t="shared" si="1"/>
        <v>0.27298912375218509</v>
      </c>
      <c r="G19" s="110">
        <f t="shared" si="2"/>
        <v>0.36421955588601768</v>
      </c>
      <c r="H19" s="111">
        <f t="shared" si="3"/>
        <v>2450</v>
      </c>
      <c r="I19" s="134">
        <f t="shared" si="4"/>
        <v>8.9101449145988811E-3</v>
      </c>
      <c r="J19" s="134" t="str">
        <f t="shared" si="11"/>
        <v>A</v>
      </c>
      <c r="K19" s="134"/>
      <c r="L19" s="134"/>
      <c r="M19" s="134"/>
      <c r="N19" s="110"/>
      <c r="O19" s="110"/>
      <c r="P19" s="110">
        <f t="shared" ref="P19:P23" si="15">IF(N19&lt;&gt;"",getUVfromXY(N19,O19,0),0)</f>
        <v>0</v>
      </c>
      <c r="Q19" s="110">
        <f t="shared" ref="Q19:Q23" si="16">IF(N19&lt;&gt;"",getUVfromXY(N19,O19,1),0)</f>
        <v>0</v>
      </c>
    </row>
    <row r="20" spans="2:17">
      <c r="B20" s="326"/>
      <c r="C20" s="111">
        <f t="shared" si="9"/>
        <v>16</v>
      </c>
      <c r="D20" s="110">
        <v>0.45807914734255817</v>
      </c>
      <c r="E20" s="110">
        <v>0.33750211764392102</v>
      </c>
      <c r="F20" s="110">
        <f t="shared" si="1"/>
        <v>0.29872127230787965</v>
      </c>
      <c r="G20" s="110">
        <f t="shared" si="2"/>
        <v>0.33013638333268797</v>
      </c>
      <c r="H20" s="111">
        <f t="shared" si="3"/>
        <v>2123</v>
      </c>
      <c r="I20" s="134">
        <f t="shared" si="4"/>
        <v>-2.8782096334609746E-2</v>
      </c>
      <c r="J20" s="134" t="str">
        <f t="shared" si="11"/>
        <v>U30</v>
      </c>
      <c r="K20" s="134"/>
      <c r="L20" s="134"/>
      <c r="M20" s="134"/>
      <c r="N20" s="110"/>
      <c r="O20" s="110"/>
      <c r="P20" s="110">
        <f t="shared" si="15"/>
        <v>0</v>
      </c>
      <c r="Q20" s="110">
        <f t="shared" si="16"/>
        <v>0</v>
      </c>
    </row>
    <row r="21" spans="2:17">
      <c r="B21" s="326"/>
      <c r="C21" s="111">
        <f t="shared" si="9"/>
        <v>17</v>
      </c>
      <c r="D21" s="110">
        <v>0.37544359901436059</v>
      </c>
      <c r="E21" s="110">
        <v>0.20148601606584851</v>
      </c>
      <c r="F21" s="110">
        <f t="shared" si="1"/>
        <v>0.32178960706482501</v>
      </c>
      <c r="G21" s="110">
        <f t="shared" si="2"/>
        <v>0.25903799975188729</v>
      </c>
      <c r="H21" s="111">
        <f t="shared" si="3"/>
        <v>1862</v>
      </c>
      <c r="I21" s="134">
        <f t="shared" si="4"/>
        <v>-0.1014795792010556</v>
      </c>
      <c r="J21" s="134" t="str">
        <f t="shared" si="11"/>
        <v>U35</v>
      </c>
      <c r="K21" s="134"/>
      <c r="L21" s="134"/>
      <c r="M21" s="134"/>
      <c r="N21" s="110"/>
      <c r="O21" s="110"/>
      <c r="P21" s="110">
        <f t="shared" si="15"/>
        <v>0</v>
      </c>
      <c r="Q21" s="110">
        <f t="shared" si="16"/>
        <v>0</v>
      </c>
    </row>
    <row r="22" spans="2:17">
      <c r="B22" s="326"/>
      <c r="C22" s="111">
        <f t="shared" si="9"/>
        <v>18</v>
      </c>
      <c r="D22" s="110">
        <v>0.30305034173695045</v>
      </c>
      <c r="E22" s="110">
        <v>0.16280521304538959</v>
      </c>
      <c r="F22" s="110">
        <f t="shared" si="1"/>
        <v>0.27882325826258997</v>
      </c>
      <c r="G22" s="110">
        <f t="shared" si="2"/>
        <v>0.22468484791968724</v>
      </c>
      <c r="H22" s="111">
        <f t="shared" si="3"/>
        <v>-15000</v>
      </c>
      <c r="I22" s="134">
        <f t="shared" si="4"/>
        <v>-0.11024283058399147</v>
      </c>
      <c r="J22" s="134"/>
      <c r="K22" s="134"/>
      <c r="L22" s="134"/>
      <c r="M22" s="134"/>
      <c r="P22" s="110">
        <f t="shared" si="15"/>
        <v>0</v>
      </c>
      <c r="Q22" s="110">
        <f t="shared" si="16"/>
        <v>0</v>
      </c>
    </row>
    <row r="23" spans="2:17">
      <c r="B23" s="326"/>
      <c r="C23" s="111">
        <f t="shared" si="9"/>
        <v>19</v>
      </c>
      <c r="D23" s="110">
        <v>0.272708784616085</v>
      </c>
      <c r="E23" s="110">
        <v>0.11397142489495898</v>
      </c>
      <c r="F23" s="110">
        <f t="shared" si="1"/>
        <v>0.2853916218602191</v>
      </c>
      <c r="G23" s="110">
        <f t="shared" si="2"/>
        <v>0.17890782199562857</v>
      </c>
      <c r="H23" s="111">
        <f t="shared" si="3"/>
        <v>-15000</v>
      </c>
      <c r="I23" s="134">
        <f t="shared" si="4"/>
        <v>-0.1446182356305441</v>
      </c>
      <c r="J23" s="134"/>
      <c r="K23" s="134"/>
      <c r="L23" s="134"/>
      <c r="M23" s="134"/>
      <c r="P23" s="110">
        <f t="shared" si="15"/>
        <v>0</v>
      </c>
      <c r="Q23" s="110">
        <f t="shared" si="16"/>
        <v>0</v>
      </c>
    </row>
    <row r="24" spans="2:17">
      <c r="B24" s="326"/>
      <c r="C24" s="111">
        <f t="shared" si="9"/>
        <v>20</v>
      </c>
      <c r="D24" s="110">
        <v>0.49814938629467059</v>
      </c>
      <c r="E24" s="110">
        <v>0.42011642962323414</v>
      </c>
      <c r="F24" s="110">
        <f t="shared" si="1"/>
        <v>0.28283459461944954</v>
      </c>
      <c r="G24" s="110">
        <f t="shared" si="2"/>
        <v>0.35779465959786477</v>
      </c>
      <c r="H24" s="111">
        <f t="shared" si="3"/>
        <v>2309</v>
      </c>
      <c r="I24" s="134">
        <f t="shared" si="4"/>
        <v>7.9692224776035047E-4</v>
      </c>
      <c r="J24" s="134"/>
      <c r="K24" s="134"/>
      <c r="L24" s="134"/>
      <c r="M24" s="134"/>
    </row>
    <row r="25" spans="2:17">
      <c r="B25" s="326"/>
      <c r="C25" s="111">
        <f t="shared" si="9"/>
        <v>21</v>
      </c>
      <c r="D25" s="110">
        <v>0.49002701364304319</v>
      </c>
      <c r="E25" s="110">
        <v>0.4277735042157027</v>
      </c>
      <c r="F25" s="110">
        <f t="shared" si="1"/>
        <v>0.27401727558340477</v>
      </c>
      <c r="G25" s="110">
        <f t="shared" si="2"/>
        <v>0.35880878072572686</v>
      </c>
      <c r="H25" s="111">
        <f t="shared" si="3"/>
        <v>2451</v>
      </c>
      <c r="I25" s="134">
        <f t="shared" si="4"/>
        <v>3.4032969172485164E-3</v>
      </c>
      <c r="J25" s="134"/>
      <c r="K25" s="134"/>
      <c r="L25" s="134"/>
      <c r="M25" s="134"/>
    </row>
    <row r="26" spans="2:17">
      <c r="B26" s="326"/>
      <c r="C26" s="111">
        <f t="shared" si="9"/>
        <v>22</v>
      </c>
      <c r="D26" s="110">
        <v>0.38248674493597568</v>
      </c>
      <c r="E26" s="110">
        <v>0.20468952015248854</v>
      </c>
      <c r="F26" s="110">
        <f t="shared" si="1"/>
        <v>0.32612425863027017</v>
      </c>
      <c r="G26" s="110">
        <f t="shared" si="2"/>
        <v>0.26179031911402589</v>
      </c>
      <c r="H26" s="111">
        <f t="shared" si="3"/>
        <v>1802</v>
      </c>
      <c r="I26" s="134">
        <f t="shared" si="4"/>
        <v>-9.8899091833129435E-2</v>
      </c>
      <c r="J26" s="134"/>
      <c r="K26" s="134"/>
      <c r="L26" s="134"/>
      <c r="M26" s="134"/>
    </row>
    <row r="27" spans="2:17">
      <c r="B27" s="326"/>
      <c r="C27" s="111">
        <f t="shared" si="9"/>
        <v>23</v>
      </c>
      <c r="D27" s="110">
        <v>0.33617929919146006</v>
      </c>
      <c r="E27" s="110">
        <v>0.16189952143130434</v>
      </c>
      <c r="F27" s="110">
        <f t="shared" si="1"/>
        <v>0.31488993259905401</v>
      </c>
      <c r="G27" s="110">
        <f t="shared" si="2"/>
        <v>0.227470264441929</v>
      </c>
      <c r="H27" s="111">
        <f t="shared" si="3"/>
        <v>-15000</v>
      </c>
      <c r="I27" s="134">
        <f t="shared" si="4"/>
        <v>-0.14089920266277739</v>
      </c>
      <c r="J27" s="134"/>
      <c r="K27" s="134"/>
      <c r="L27" s="134"/>
      <c r="M27" s="134"/>
    </row>
    <row r="28" spans="2:17">
      <c r="B28" s="326"/>
      <c r="C28" s="111">
        <f t="shared" si="9"/>
        <v>24</v>
      </c>
      <c r="D28" s="110">
        <v>0.26999784359370121</v>
      </c>
      <c r="E28" s="110">
        <v>5.7728293998678841E-2</v>
      </c>
      <c r="F28" s="110">
        <f t="shared" si="1"/>
        <v>0.34255601752341397</v>
      </c>
      <c r="G28" s="110">
        <f t="shared" si="2"/>
        <v>0.10986295794476611</v>
      </c>
      <c r="H28" s="111">
        <f t="shared" si="3"/>
        <v>-15000</v>
      </c>
      <c r="I28" s="134">
        <f t="shared" si="4"/>
        <v>-0.23412342854257459</v>
      </c>
      <c r="J28" s="134"/>
      <c r="K28" s="134"/>
      <c r="L28" s="134"/>
      <c r="M28" s="134"/>
    </row>
    <row r="29" spans="2:17">
      <c r="B29" s="326"/>
      <c r="C29" s="111">
        <f t="shared" si="9"/>
        <v>25</v>
      </c>
      <c r="D29" s="110">
        <v>0.30497929434142163</v>
      </c>
      <c r="E29" s="110">
        <v>6.428802981326244E-2</v>
      </c>
      <c r="F29" s="110">
        <f t="shared" si="1"/>
        <v>0.38586684744747091</v>
      </c>
      <c r="G29" s="110">
        <f t="shared" si="2"/>
        <v>0.12200805031479517</v>
      </c>
      <c r="H29" s="111">
        <f t="shared" si="3"/>
        <v>-15000</v>
      </c>
      <c r="I29" s="134">
        <f t="shared" si="4"/>
        <v>-0.2573032789709126</v>
      </c>
      <c r="J29" s="134"/>
      <c r="K29" s="134"/>
      <c r="L29" s="134"/>
      <c r="M29" s="134"/>
    </row>
    <row r="30" spans="2:17">
      <c r="B30" s="326"/>
      <c r="C30" s="111">
        <f t="shared" si="9"/>
        <v>26</v>
      </c>
      <c r="D30" s="110" t="str">
        <v/>
      </c>
      <c r="E30" s="110" t="str">
        <v/>
      </c>
      <c r="F30" s="110">
        <f t="shared" si="1"/>
        <v>0</v>
      </c>
      <c r="G30" s="110">
        <f t="shared" si="2"/>
        <v>0</v>
      </c>
      <c r="H30" s="111" t="str">
        <f t="shared" si="3"/>
        <v/>
      </c>
      <c r="I30" s="134" t="str">
        <f t="shared" si="4"/>
        <v/>
      </c>
      <c r="J30" s="134"/>
      <c r="K30" s="134"/>
      <c r="L30" s="134"/>
      <c r="M30" s="134"/>
    </row>
    <row r="31" spans="2:17">
      <c r="B31" s="326"/>
      <c r="C31" s="111">
        <f t="shared" si="9"/>
        <v>27</v>
      </c>
      <c r="D31" s="110">
        <v>0.50334298333692529</v>
      </c>
      <c r="E31" s="110">
        <v>0.44408421511822876</v>
      </c>
      <c r="F31" s="110">
        <f t="shared" si="1"/>
        <v>0.27496349032292194</v>
      </c>
      <c r="G31" s="110">
        <f t="shared" si="2"/>
        <v>0.3638878950195521</v>
      </c>
      <c r="H31" s="111">
        <f t="shared" si="3"/>
        <v>2418</v>
      </c>
      <c r="I31" s="134">
        <f t="shared" si="4"/>
        <v>8.19429523728556E-3</v>
      </c>
      <c r="J31" s="134"/>
      <c r="K31" s="134"/>
      <c r="L31" s="134"/>
      <c r="M31" s="134"/>
    </row>
    <row r="32" spans="2:17">
      <c r="B32" s="326"/>
      <c r="C32" s="111">
        <f t="shared" si="9"/>
        <v>28</v>
      </c>
      <c r="D32" s="110">
        <v>0.47348218040669993</v>
      </c>
      <c r="E32" s="110">
        <v>0.26658020072624844</v>
      </c>
      <c r="F32" s="110">
        <f t="shared" si="1"/>
        <v>0.36061108636236311</v>
      </c>
      <c r="G32" s="110">
        <f t="shared" si="2"/>
        <v>0.30454718180951307</v>
      </c>
      <c r="H32" s="111">
        <f t="shared" si="3"/>
        <v>-1500</v>
      </c>
      <c r="I32" s="134">
        <f t="shared" si="4"/>
        <v>-5.6133791276658879E-2</v>
      </c>
      <c r="J32" s="134"/>
      <c r="K32" s="134"/>
      <c r="L32" s="134"/>
      <c r="M32" s="134"/>
    </row>
    <row r="33" spans="2:13">
      <c r="B33" s="326"/>
      <c r="C33" s="111">
        <f t="shared" si="9"/>
        <v>29</v>
      </c>
      <c r="D33" s="110">
        <v>0.50754428806077101</v>
      </c>
      <c r="E33" s="110">
        <v>0.45264960890593892</v>
      </c>
      <c r="F33" s="110">
        <f t="shared" si="1"/>
        <v>0.27373027220099638</v>
      </c>
      <c r="G33" s="110">
        <f t="shared" si="2"/>
        <v>0.36618646955197787</v>
      </c>
      <c r="H33" s="111">
        <f t="shared" si="3"/>
        <v>2431</v>
      </c>
      <c r="I33" s="134">
        <f t="shared" si="4"/>
        <v>1.0689422789088906E-2</v>
      </c>
      <c r="J33" s="134"/>
      <c r="K33" s="134"/>
      <c r="L33" s="134"/>
      <c r="M33" s="134"/>
    </row>
    <row r="34" spans="2:13">
      <c r="B34" s="326"/>
      <c r="C34" s="111">
        <f t="shared" si="9"/>
        <v>30</v>
      </c>
      <c r="D34" s="110">
        <v>0.48427409081240991</v>
      </c>
      <c r="E34" s="110">
        <v>0.38869357106166363</v>
      </c>
      <c r="F34" s="110">
        <f t="shared" si="1"/>
        <v>0.28930130692809397</v>
      </c>
      <c r="G34" s="110">
        <f t="shared" si="2"/>
        <v>0.34830345119447892</v>
      </c>
      <c r="H34" s="111">
        <f t="shared" si="3"/>
        <v>2231</v>
      </c>
      <c r="I34" s="134">
        <f t="shared" si="4"/>
        <v>-9.5680213116955959E-3</v>
      </c>
      <c r="J34" s="134"/>
      <c r="K34" s="134"/>
      <c r="L34" s="134"/>
      <c r="M34" s="134"/>
    </row>
    <row r="35" spans="2:13">
      <c r="B35" s="326"/>
      <c r="C35" s="111">
        <f t="shared" si="9"/>
        <v>31</v>
      </c>
      <c r="D35" s="110">
        <v>0.4884220445392875</v>
      </c>
      <c r="E35" s="110">
        <v>0.43508644166624394</v>
      </c>
      <c r="F35" s="110">
        <f t="shared" si="1"/>
        <v>0.26969023620368332</v>
      </c>
      <c r="G35" s="110">
        <f t="shared" si="2"/>
        <v>0.36036016351187944</v>
      </c>
      <c r="H35" s="111">
        <f t="shared" si="3"/>
        <v>2521</v>
      </c>
      <c r="I35" s="134">
        <f t="shared" si="4"/>
        <v>5.8393319820827603E-3</v>
      </c>
      <c r="J35" s="134"/>
      <c r="K35" s="134"/>
      <c r="L35" s="134"/>
      <c r="M35" s="134"/>
    </row>
    <row r="36" spans="2:13">
      <c r="B36" s="327" t="str">
        <f>Calculations!B103</f>
        <v>A</v>
      </c>
      <c r="C36" s="111">
        <f>C4</f>
        <v>0</v>
      </c>
      <c r="D36" s="110" t="str">
        <f t="array" ref="D36:E67">TRANSPOSE(Calculations!I109:AN110)</f>
        <v/>
      </c>
      <c r="E36" s="110" t="str">
        <v/>
      </c>
      <c r="F36" s="110">
        <f t="shared" si="1"/>
        <v>0</v>
      </c>
      <c r="G36" s="110">
        <f t="shared" si="2"/>
        <v>0</v>
      </c>
      <c r="H36" s="111" t="str">
        <f t="shared" si="3"/>
        <v/>
      </c>
      <c r="I36" s="134" t="str">
        <f t="shared" si="4"/>
        <v/>
      </c>
      <c r="J36" s="134"/>
      <c r="K36" s="134"/>
      <c r="L36" s="134"/>
      <c r="M36" s="134"/>
    </row>
    <row r="37" spans="2:13">
      <c r="B37" s="327"/>
      <c r="C37" s="111">
        <f t="shared" ref="C37:C101" si="17">C5</f>
        <v>1</v>
      </c>
      <c r="D37" s="110" t="str">
        <v/>
      </c>
      <c r="E37" s="110" t="str">
        <v/>
      </c>
      <c r="F37" s="110">
        <f t="shared" si="1"/>
        <v>0</v>
      </c>
      <c r="G37" s="110">
        <f t="shared" si="2"/>
        <v>0</v>
      </c>
      <c r="H37" s="111" t="str">
        <f t="shared" si="3"/>
        <v/>
      </c>
      <c r="I37" s="134" t="str">
        <f t="shared" si="4"/>
        <v/>
      </c>
      <c r="J37" s="134"/>
      <c r="K37" s="134"/>
      <c r="L37" s="134"/>
      <c r="M37" s="134"/>
    </row>
    <row r="38" spans="2:13">
      <c r="B38" s="327"/>
      <c r="C38" s="111">
        <f t="shared" si="17"/>
        <v>2</v>
      </c>
      <c r="D38" s="110">
        <v>0.35224729238253488</v>
      </c>
      <c r="E38" s="110">
        <v>0.32912154145006328</v>
      </c>
      <c r="F38" s="110">
        <f t="shared" si="1"/>
        <v>0.2256200659029069</v>
      </c>
      <c r="G38" s="110">
        <f t="shared" si="2"/>
        <v>0.31621147477006706</v>
      </c>
      <c r="H38" s="111">
        <f t="shared" si="3"/>
        <v>4653</v>
      </c>
      <c r="I38" s="134">
        <f t="shared" si="4"/>
        <v>-1.5455133622395961E-2</v>
      </c>
      <c r="J38" s="134"/>
      <c r="K38" s="134"/>
      <c r="L38" s="134"/>
      <c r="M38" s="134"/>
    </row>
    <row r="39" spans="2:13">
      <c r="B39" s="327"/>
      <c r="C39" s="111">
        <f t="shared" si="17"/>
        <v>3</v>
      </c>
      <c r="D39" s="110">
        <v>0.34088896901602433</v>
      </c>
      <c r="E39" s="110">
        <v>0.32114482884114881</v>
      </c>
      <c r="F39" s="110">
        <f t="shared" si="1"/>
        <v>0.22092752938823934</v>
      </c>
      <c r="G39" s="110">
        <f t="shared" si="2"/>
        <v>0.3121972550907719</v>
      </c>
      <c r="H39" s="111">
        <f t="shared" si="3"/>
        <v>5136</v>
      </c>
      <c r="I39" s="134">
        <f t="shared" si="4"/>
        <v>-1.5156801992180211E-2</v>
      </c>
      <c r="J39" s="134"/>
      <c r="K39" s="134"/>
      <c r="L39" s="134"/>
      <c r="M39" s="134"/>
    </row>
    <row r="40" spans="2:13">
      <c r="B40" s="327"/>
      <c r="C40" s="111">
        <f t="shared" si="17"/>
        <v>4</v>
      </c>
      <c r="D40" s="110" t="str">
        <v/>
      </c>
      <c r="E40" s="110" t="str">
        <v/>
      </c>
      <c r="F40" s="110">
        <f t="shared" si="1"/>
        <v>0</v>
      </c>
      <c r="G40" s="110">
        <f t="shared" si="2"/>
        <v>0</v>
      </c>
      <c r="H40" s="111" t="str">
        <f t="shared" si="3"/>
        <v/>
      </c>
      <c r="I40" s="134" t="str">
        <f t="shared" si="4"/>
        <v/>
      </c>
      <c r="J40" s="134"/>
      <c r="K40" s="134"/>
      <c r="L40" s="134"/>
      <c r="M40" s="134"/>
    </row>
    <row r="41" spans="2:13">
      <c r="B41" s="327"/>
      <c r="C41" s="111">
        <f t="shared" si="17"/>
        <v>5</v>
      </c>
      <c r="D41" s="110">
        <v>0.46139073212557319</v>
      </c>
      <c r="E41" s="110">
        <v>0.42102036932552067</v>
      </c>
      <c r="F41" s="110">
        <f t="shared" si="1"/>
        <v>0.2588642281859419</v>
      </c>
      <c r="G41" s="110">
        <f t="shared" si="2"/>
        <v>0.3543215284816848</v>
      </c>
      <c r="H41" s="111">
        <f t="shared" si="3"/>
        <v>2763</v>
      </c>
      <c r="I41" s="134">
        <f t="shared" si="4"/>
        <v>2.7676193993250954E-3</v>
      </c>
      <c r="J41" s="134"/>
      <c r="K41" s="134"/>
      <c r="L41" s="134"/>
      <c r="M41" s="134"/>
    </row>
    <row r="42" spans="2:13">
      <c r="B42" s="327"/>
      <c r="C42" s="111">
        <f t="shared" si="17"/>
        <v>6</v>
      </c>
      <c r="D42" s="110">
        <v>0.43891359482135417</v>
      </c>
      <c r="E42" s="110">
        <v>0.40051134783665088</v>
      </c>
      <c r="F42" s="110">
        <f t="shared" si="1"/>
        <v>0.25340301410333144</v>
      </c>
      <c r="G42" s="110">
        <f t="shared" si="2"/>
        <v>0.34684770734557807</v>
      </c>
      <c r="H42" s="111">
        <f t="shared" si="3"/>
        <v>2944</v>
      </c>
      <c r="I42" s="134">
        <f t="shared" si="4"/>
        <v>-2.6110332076186996E-3</v>
      </c>
      <c r="J42" s="134"/>
      <c r="K42" s="134"/>
      <c r="L42" s="134"/>
      <c r="M42" s="134"/>
    </row>
    <row r="43" spans="2:13">
      <c r="B43" s="327"/>
      <c r="C43" s="111">
        <f t="shared" si="17"/>
        <v>7</v>
      </c>
      <c r="D43" s="110" t="str">
        <v/>
      </c>
      <c r="E43" s="110" t="str">
        <v/>
      </c>
      <c r="F43" s="110">
        <f t="shared" si="1"/>
        <v>0</v>
      </c>
      <c r="G43" s="110">
        <f t="shared" si="2"/>
        <v>0</v>
      </c>
      <c r="H43" s="111" t="str">
        <f t="shared" si="3"/>
        <v/>
      </c>
      <c r="I43" s="134" t="str">
        <f t="shared" si="4"/>
        <v/>
      </c>
      <c r="J43" s="134"/>
      <c r="K43" s="134"/>
      <c r="L43" s="134"/>
      <c r="M43" s="134"/>
    </row>
    <row r="44" spans="2:13">
      <c r="B44" s="327"/>
      <c r="C44" s="111">
        <f t="shared" si="17"/>
        <v>8</v>
      </c>
      <c r="D44" s="110">
        <v>0.42634589927037347</v>
      </c>
      <c r="E44" s="110">
        <v>0.38893741925298714</v>
      </c>
      <c r="F44" s="110">
        <f t="shared" si="1"/>
        <v>0.25025596511970016</v>
      </c>
      <c r="G44" s="110">
        <f t="shared" si="2"/>
        <v>0.34244697577563432</v>
      </c>
      <c r="H44" s="111">
        <f t="shared" si="3"/>
        <v>3068</v>
      </c>
      <c r="I44" s="134">
        <f t="shared" si="4"/>
        <v>-5.6070389561103471E-3</v>
      </c>
      <c r="J44" s="134"/>
      <c r="K44" s="134"/>
      <c r="L44" s="134"/>
      <c r="M44" s="134"/>
    </row>
    <row r="45" spans="2:13">
      <c r="B45" s="327"/>
      <c r="C45" s="111">
        <f t="shared" si="17"/>
        <v>9</v>
      </c>
      <c r="D45" s="110">
        <v>0.4629102248408945</v>
      </c>
      <c r="E45" s="110">
        <v>0.4204980169230576</v>
      </c>
      <c r="F45" s="110">
        <f t="shared" si="1"/>
        <v>0.26005623521377502</v>
      </c>
      <c r="G45" s="110">
        <f t="shared" si="2"/>
        <v>0.35434450999690292</v>
      </c>
      <c r="H45" s="111">
        <f t="shared" si="3"/>
        <v>2738</v>
      </c>
      <c r="I45" s="134">
        <f t="shared" si="4"/>
        <v>2.4476387010924357E-3</v>
      </c>
      <c r="J45" s="134"/>
      <c r="K45" s="134"/>
      <c r="L45" s="134"/>
      <c r="M45" s="134"/>
    </row>
    <row r="46" spans="2:13">
      <c r="B46" s="327"/>
      <c r="C46" s="111">
        <f t="shared" si="17"/>
        <v>10</v>
      </c>
      <c r="D46" s="110">
        <v>0.47648764038886954</v>
      </c>
      <c r="E46" s="110">
        <v>0.4305527458070601</v>
      </c>
      <c r="F46" s="110">
        <f t="shared" si="1"/>
        <v>0.26421416832277667</v>
      </c>
      <c r="G46" s="110">
        <f t="shared" si="2"/>
        <v>0.35811464771571094</v>
      </c>
      <c r="H46" s="111">
        <f t="shared" si="3"/>
        <v>2633</v>
      </c>
      <c r="I46" s="134">
        <f t="shared" si="4"/>
        <v>4.9626063626058078E-3</v>
      </c>
      <c r="J46" s="134"/>
      <c r="K46" s="134"/>
      <c r="L46" s="134"/>
      <c r="M46" s="134"/>
    </row>
    <row r="47" spans="2:13">
      <c r="B47" s="327"/>
      <c r="C47" s="111">
        <f t="shared" si="17"/>
        <v>11</v>
      </c>
      <c r="D47" s="110">
        <v>0.4427633597127637</v>
      </c>
      <c r="E47" s="110">
        <v>0.40241469594070067</v>
      </c>
      <c r="F47" s="110">
        <f t="shared" si="1"/>
        <v>0.25506823448734273</v>
      </c>
      <c r="G47" s="110">
        <f t="shared" si="2"/>
        <v>0.34773611153803574</v>
      </c>
      <c r="H47" s="111">
        <f t="shared" si="3"/>
        <v>2897</v>
      </c>
      <c r="I47" s="134">
        <f t="shared" si="4"/>
        <v>-2.3276882168636838E-3</v>
      </c>
      <c r="J47" s="134"/>
      <c r="K47" s="134"/>
      <c r="L47" s="134"/>
      <c r="M47" s="134"/>
    </row>
    <row r="48" spans="2:13">
      <c r="B48" s="327"/>
      <c r="C48" s="111">
        <f t="shared" si="17"/>
        <v>12</v>
      </c>
      <c r="D48" s="110">
        <v>0.48075442859469569</v>
      </c>
      <c r="E48" s="110">
        <v>0.43393422846575563</v>
      </c>
      <c r="F48" s="110">
        <f t="shared" si="1"/>
        <v>0.26540116403617525</v>
      </c>
      <c r="G48" s="110">
        <f t="shared" si="2"/>
        <v>0.35933100924290218</v>
      </c>
      <c r="H48" s="111">
        <f t="shared" si="3"/>
        <v>2605</v>
      </c>
      <c r="I48" s="134">
        <f t="shared" si="4"/>
        <v>5.8434648637256106E-3</v>
      </c>
      <c r="J48" s="134"/>
      <c r="K48" s="134"/>
      <c r="L48" s="134"/>
      <c r="M48" s="134"/>
    </row>
    <row r="49" spans="2:13">
      <c r="B49" s="327"/>
      <c r="C49" s="111">
        <f t="shared" si="17"/>
        <v>13</v>
      </c>
      <c r="D49" s="110">
        <v>0.47524293165600051</v>
      </c>
      <c r="E49" s="110">
        <v>0.43147351907815579</v>
      </c>
      <c r="F49" s="110">
        <f t="shared" si="1"/>
        <v>0.26303031361724732</v>
      </c>
      <c r="G49" s="110">
        <f t="shared" si="2"/>
        <v>0.35820821567572608</v>
      </c>
      <c r="H49" s="111">
        <f t="shared" si="3"/>
        <v>2656</v>
      </c>
      <c r="I49" s="134">
        <f t="shared" si="4"/>
        <v>5.3576126191086327E-3</v>
      </c>
      <c r="J49" s="134"/>
      <c r="K49" s="134"/>
      <c r="L49" s="134"/>
      <c r="M49" s="134"/>
    </row>
    <row r="50" spans="2:13">
      <c r="B50" s="327"/>
      <c r="C50" s="111">
        <f t="shared" si="17"/>
        <v>14</v>
      </c>
      <c r="D50" s="110">
        <v>0.46856106857167384</v>
      </c>
      <c r="E50" s="110">
        <v>0.42555388220920892</v>
      </c>
      <c r="F50" s="110">
        <f t="shared" si="1"/>
        <v>0.26141821365183177</v>
      </c>
      <c r="G50" s="110">
        <f t="shared" si="2"/>
        <v>0.35613565603791625</v>
      </c>
      <c r="H50" s="111">
        <f t="shared" si="3"/>
        <v>2699</v>
      </c>
      <c r="I50" s="134">
        <f t="shared" si="4"/>
        <v>3.7896472828314268E-3</v>
      </c>
      <c r="J50" s="134"/>
      <c r="K50" s="134"/>
      <c r="L50" s="134"/>
      <c r="M50" s="134"/>
    </row>
    <row r="51" spans="2:13">
      <c r="B51" s="327"/>
      <c r="C51" s="111">
        <f t="shared" si="17"/>
        <v>15</v>
      </c>
      <c r="D51" s="110">
        <v>0.48933029457837773</v>
      </c>
      <c r="E51" s="110">
        <v>0.44346338394954476</v>
      </c>
      <c r="F51" s="110">
        <f t="shared" si="1"/>
        <v>0.26655969350693232</v>
      </c>
      <c r="G51" s="110">
        <f t="shared" si="2"/>
        <v>0.36236096053175293</v>
      </c>
      <c r="H51" s="111">
        <f t="shared" si="3"/>
        <v>2569</v>
      </c>
      <c r="I51" s="134">
        <f t="shared" si="4"/>
        <v>8.5047516939255035E-3</v>
      </c>
      <c r="J51" s="134"/>
      <c r="K51" s="134"/>
      <c r="L51" s="134"/>
      <c r="M51" s="134"/>
    </row>
    <row r="52" spans="2:13">
      <c r="B52" s="327"/>
      <c r="C52" s="111">
        <f t="shared" si="17"/>
        <v>16</v>
      </c>
      <c r="D52" s="110">
        <v>0.44137506210236688</v>
      </c>
      <c r="E52" s="110">
        <v>0.40122369923115991</v>
      </c>
      <c r="F52" s="110">
        <f t="shared" si="1"/>
        <v>0.25469085258410346</v>
      </c>
      <c r="G52" s="110">
        <f t="shared" si="2"/>
        <v>0.34728289432819776</v>
      </c>
      <c r="H52" s="111">
        <f t="shared" si="3"/>
        <v>2909</v>
      </c>
      <c r="I52" s="134">
        <f t="shared" si="4"/>
        <v>-2.6319243177934291E-3</v>
      </c>
      <c r="J52" s="134"/>
      <c r="K52" s="134"/>
      <c r="L52" s="134"/>
      <c r="M52" s="134"/>
    </row>
    <row r="53" spans="2:13">
      <c r="B53" s="327"/>
      <c r="C53" s="111">
        <f t="shared" si="17"/>
        <v>17</v>
      </c>
      <c r="D53" s="110">
        <v>0.41274206059893531</v>
      </c>
      <c r="E53" s="110">
        <v>0.37821246752207582</v>
      </c>
      <c r="F53" s="110">
        <f t="shared" si="1"/>
        <v>0.24593358206984922</v>
      </c>
      <c r="G53" s="110">
        <f t="shared" si="2"/>
        <v>0.33803853229619418</v>
      </c>
      <c r="H53" s="111">
        <f t="shared" si="3"/>
        <v>3244</v>
      </c>
      <c r="I53" s="134">
        <f t="shared" si="4"/>
        <v>-7.9625324210391476E-3</v>
      </c>
      <c r="J53" s="134"/>
      <c r="K53" s="134"/>
      <c r="L53" s="134"/>
      <c r="M53" s="134"/>
    </row>
    <row r="54" spans="2:13">
      <c r="B54" s="327"/>
      <c r="C54" s="111">
        <f t="shared" si="17"/>
        <v>18</v>
      </c>
      <c r="D54" s="110">
        <v>0.42022857916661505</v>
      </c>
      <c r="E54" s="110">
        <v>0.38794020166275878</v>
      </c>
      <c r="F54" s="110">
        <f t="shared" si="1"/>
        <v>0.24665552705116742</v>
      </c>
      <c r="G54" s="110">
        <f t="shared" si="2"/>
        <v>0.34155552352684615</v>
      </c>
      <c r="H54" s="111">
        <f t="shared" si="3"/>
        <v>3177</v>
      </c>
      <c r="I54" s="134">
        <f t="shared" si="4"/>
        <v>-5.0433907434950867E-3</v>
      </c>
      <c r="J54" s="134"/>
      <c r="K54" s="134"/>
      <c r="L54" s="134"/>
      <c r="M54" s="134"/>
    </row>
    <row r="55" spans="2:13">
      <c r="B55" s="327"/>
      <c r="C55" s="111">
        <f t="shared" si="17"/>
        <v>19</v>
      </c>
      <c r="D55" s="110">
        <v>0.39394508917772914</v>
      </c>
      <c r="E55" s="110">
        <v>0.3673549748677909</v>
      </c>
      <c r="F55" s="110">
        <f t="shared" si="1"/>
        <v>0.23802000053572595</v>
      </c>
      <c r="G55" s="110">
        <f t="shared" si="2"/>
        <v>0.33293154445968515</v>
      </c>
      <c r="H55" s="111">
        <f t="shared" si="3"/>
        <v>3586</v>
      </c>
      <c r="I55" s="134">
        <f t="shared" si="4"/>
        <v>-8.932995290771897E-3</v>
      </c>
      <c r="J55" s="134"/>
      <c r="K55" s="134"/>
      <c r="L55" s="134"/>
      <c r="M55" s="134"/>
    </row>
    <row r="56" spans="2:13">
      <c r="B56" s="327"/>
      <c r="C56" s="111">
        <f t="shared" si="17"/>
        <v>20</v>
      </c>
      <c r="D56" s="110">
        <v>0.46400422512052214</v>
      </c>
      <c r="E56" s="110">
        <v>0.4203744031533258</v>
      </c>
      <c r="F56" s="110">
        <f t="shared" si="1"/>
        <v>0.26080530770451354</v>
      </c>
      <c r="G56" s="110">
        <f t="shared" si="2"/>
        <v>0.35442309454303073</v>
      </c>
      <c r="H56" s="111">
        <f t="shared" si="3"/>
        <v>2722</v>
      </c>
      <c r="I56" s="134">
        <f t="shared" si="4"/>
        <v>2.3124541786824137E-3</v>
      </c>
      <c r="J56" s="134"/>
      <c r="K56" s="134"/>
      <c r="L56" s="134"/>
      <c r="M56" s="134"/>
    </row>
    <row r="57" spans="2:13">
      <c r="B57" s="327"/>
      <c r="C57" s="111">
        <f t="shared" si="17"/>
        <v>21</v>
      </c>
      <c r="D57" s="110">
        <v>0.47050584344811441</v>
      </c>
      <c r="E57" s="110">
        <v>0.42713611324471734</v>
      </c>
      <c r="F57" s="110">
        <f t="shared" si="1"/>
        <v>0.26195163220862777</v>
      </c>
      <c r="G57" s="110">
        <f t="shared" si="2"/>
        <v>0.3567086475049539</v>
      </c>
      <c r="H57" s="111">
        <f t="shared" si="3"/>
        <v>2685</v>
      </c>
      <c r="I57" s="134">
        <f t="shared" si="4"/>
        <v>4.1968758250924025E-3</v>
      </c>
      <c r="J57" s="134"/>
      <c r="K57" s="134"/>
      <c r="L57" s="134"/>
      <c r="M57" s="134"/>
    </row>
    <row r="58" spans="2:13">
      <c r="B58" s="327"/>
      <c r="C58" s="111">
        <f t="shared" si="17"/>
        <v>22</v>
      </c>
      <c r="D58" s="110">
        <v>0.36196019689008541</v>
      </c>
      <c r="E58" s="110">
        <v>0.3361338154684414</v>
      </c>
      <c r="F58" s="110">
        <f t="shared" si="1"/>
        <v>0.22946322956648571</v>
      </c>
      <c r="G58" s="110">
        <f t="shared" si="2"/>
        <v>0.31963604642135068</v>
      </c>
      <c r="H58" s="111">
        <f t="shared" si="3"/>
        <v>4311</v>
      </c>
      <c r="I58" s="134">
        <f t="shared" si="4"/>
        <v>-1.5273217946022166E-2</v>
      </c>
      <c r="J58" s="134"/>
      <c r="K58" s="134"/>
      <c r="L58" s="134"/>
      <c r="M58" s="134"/>
    </row>
    <row r="59" spans="2:13">
      <c r="B59" s="327"/>
      <c r="C59" s="111">
        <f t="shared" si="17"/>
        <v>23</v>
      </c>
      <c r="D59" s="110">
        <v>0.42682167681471817</v>
      </c>
      <c r="E59" s="110">
        <v>0.39101356971959306</v>
      </c>
      <c r="F59" s="110">
        <f t="shared" si="1"/>
        <v>0.24965735807313696</v>
      </c>
      <c r="G59" s="110">
        <f t="shared" si="2"/>
        <v>0.34306861655476395</v>
      </c>
      <c r="H59" s="111">
        <f t="shared" si="3"/>
        <v>3077</v>
      </c>
      <c r="I59" s="134">
        <f t="shared" si="4"/>
        <v>-4.8071385668809761E-3</v>
      </c>
      <c r="J59" s="134"/>
      <c r="K59" s="134"/>
      <c r="L59" s="134"/>
      <c r="M59" s="134"/>
    </row>
    <row r="60" spans="2:13">
      <c r="B60" s="327"/>
      <c r="C60" s="111">
        <f t="shared" si="17"/>
        <v>24</v>
      </c>
      <c r="D60" s="110">
        <v>0.3484961339405297</v>
      </c>
      <c r="E60" s="110">
        <v>0.3236903758137421</v>
      </c>
      <c r="F60" s="110">
        <f t="shared" si="1"/>
        <v>0.22529799486854238</v>
      </c>
      <c r="G60" s="110">
        <f t="shared" si="2"/>
        <v>0.31389211612398776</v>
      </c>
      <c r="H60" s="111">
        <f t="shared" si="3"/>
        <v>4785</v>
      </c>
      <c r="I60" s="134">
        <f t="shared" si="4"/>
        <v>-1.6966134785878832E-2</v>
      </c>
      <c r="J60" s="134"/>
      <c r="K60" s="134"/>
      <c r="L60" s="134"/>
      <c r="M60" s="134"/>
    </row>
    <row r="61" spans="2:13">
      <c r="B61" s="327"/>
      <c r="C61" s="111">
        <f t="shared" si="17"/>
        <v>25</v>
      </c>
      <c r="D61" s="110">
        <v>-0.80289346081608914</v>
      </c>
      <c r="E61" s="110">
        <v>-0.69298969298913471</v>
      </c>
      <c r="F61" s="110">
        <f t="shared" si="1"/>
        <v>0.86563246919403536</v>
      </c>
      <c r="G61" s="110">
        <f t="shared" si="2"/>
        <v>1.1207110438883157</v>
      </c>
      <c r="H61" s="111">
        <f t="shared" si="3"/>
        <v>-1500</v>
      </c>
      <c r="I61" s="134">
        <f t="shared" si="4"/>
        <v>-0.91402606450934598</v>
      </c>
      <c r="J61" s="134"/>
      <c r="K61" s="134"/>
      <c r="L61" s="134"/>
      <c r="M61" s="134"/>
    </row>
    <row r="62" spans="2:13">
      <c r="B62" s="327"/>
      <c r="C62" s="111">
        <f t="shared" si="17"/>
        <v>26</v>
      </c>
      <c r="D62" s="110" t="str">
        <v/>
      </c>
      <c r="E62" s="110" t="str">
        <v/>
      </c>
      <c r="F62" s="110">
        <f t="shared" si="1"/>
        <v>0</v>
      </c>
      <c r="G62" s="110">
        <f t="shared" si="2"/>
        <v>0</v>
      </c>
      <c r="H62" s="111" t="str">
        <f t="shared" si="3"/>
        <v/>
      </c>
      <c r="I62" s="134" t="str">
        <f t="shared" si="4"/>
        <v/>
      </c>
      <c r="J62" s="134"/>
      <c r="K62" s="134"/>
      <c r="L62" s="134"/>
      <c r="M62" s="134"/>
    </row>
    <row r="63" spans="2:13">
      <c r="B63" s="327"/>
      <c r="C63" s="111">
        <f t="shared" si="17"/>
        <v>27</v>
      </c>
      <c r="D63" s="110">
        <v>0.48259162984975246</v>
      </c>
      <c r="E63" s="110">
        <v>0.43711474450959992</v>
      </c>
      <c r="F63" s="110">
        <f t="shared" si="1"/>
        <v>0.26515318214442152</v>
      </c>
      <c r="G63" s="110">
        <f t="shared" si="2"/>
        <v>0.36024982086319229</v>
      </c>
      <c r="H63" s="111">
        <f t="shared" si="3"/>
        <v>2605</v>
      </c>
      <c r="I63" s="134">
        <f t="shared" si="4"/>
        <v>6.7950147193507338E-3</v>
      </c>
      <c r="J63" s="134"/>
      <c r="K63" s="134"/>
      <c r="L63" s="134"/>
      <c r="M63" s="134"/>
    </row>
    <row r="64" spans="2:13">
      <c r="B64" s="327"/>
      <c r="C64" s="111">
        <f t="shared" si="17"/>
        <v>28</v>
      </c>
      <c r="D64" s="110">
        <v>0.36511833907627761</v>
      </c>
      <c r="E64" s="110">
        <v>0.33194437670055327</v>
      </c>
      <c r="F64" s="110">
        <f t="shared" si="1"/>
        <v>0.23356004659903734</v>
      </c>
      <c r="G64" s="110">
        <f t="shared" si="2"/>
        <v>0.31850883313590378</v>
      </c>
      <c r="H64" s="111">
        <f t="shared" si="3"/>
        <v>4154</v>
      </c>
      <c r="I64" s="134">
        <f t="shared" si="4"/>
        <v>-1.8648384550039827E-2</v>
      </c>
      <c r="J64" s="134"/>
      <c r="K64" s="134"/>
      <c r="L64" s="134"/>
      <c r="M64" s="134"/>
    </row>
    <row r="65" spans="2:13">
      <c r="B65" s="327"/>
      <c r="C65" s="111">
        <f t="shared" si="17"/>
        <v>29</v>
      </c>
      <c r="D65" s="110">
        <v>0.49584940918376885</v>
      </c>
      <c r="E65" s="110">
        <v>0.44790024630610648</v>
      </c>
      <c r="F65" s="110">
        <f t="shared" si="1"/>
        <v>0.26864007331459117</v>
      </c>
      <c r="G65" s="110">
        <f t="shared" si="2"/>
        <v>0.36399344067999723</v>
      </c>
      <c r="H65" s="111">
        <f t="shared" si="3"/>
        <v>2525</v>
      </c>
      <c r="I65" s="134">
        <f t="shared" si="4"/>
        <v>9.6153189518449339E-3</v>
      </c>
      <c r="J65" s="134"/>
      <c r="K65" s="134"/>
      <c r="L65" s="134"/>
      <c r="M65" s="134"/>
    </row>
    <row r="66" spans="2:13">
      <c r="B66" s="327"/>
      <c r="C66" s="111">
        <f t="shared" si="17"/>
        <v>30</v>
      </c>
      <c r="D66" s="110">
        <v>0.45330950863199593</v>
      </c>
      <c r="E66" s="110">
        <v>0.41198384066203392</v>
      </c>
      <c r="F66" s="110">
        <f t="shared" si="1"/>
        <v>0.257665174496017</v>
      </c>
      <c r="G66" s="110">
        <f t="shared" si="2"/>
        <v>0.35126294343816539</v>
      </c>
      <c r="H66" s="111">
        <f t="shared" si="3"/>
        <v>2810</v>
      </c>
      <c r="I66" s="134">
        <f t="shared" si="4"/>
        <v>2.025364205815649E-4</v>
      </c>
      <c r="J66" s="134"/>
      <c r="K66" s="134"/>
      <c r="L66" s="134"/>
      <c r="M66" s="134"/>
    </row>
    <row r="67" spans="2:13">
      <c r="B67" s="327"/>
      <c r="C67" s="111">
        <f t="shared" si="17"/>
        <v>31</v>
      </c>
      <c r="D67" s="110">
        <v>0.47177385326598698</v>
      </c>
      <c r="E67" s="110">
        <v>0.43046459085209066</v>
      </c>
      <c r="F67" s="110">
        <f t="shared" si="1"/>
        <v>0.26129718329854179</v>
      </c>
      <c r="G67" s="110">
        <f t="shared" si="2"/>
        <v>0.35762638493234139</v>
      </c>
      <c r="H67" s="111">
        <f t="shared" si="3"/>
        <v>2693</v>
      </c>
      <c r="I67" s="134">
        <f t="shared" si="4"/>
        <v>5.2571466694021542E-3</v>
      </c>
      <c r="J67" s="134"/>
      <c r="K67" s="134"/>
      <c r="L67" s="134"/>
      <c r="M67" s="134"/>
    </row>
    <row r="68" spans="2:13">
      <c r="B68" s="321" t="str">
        <f>Calculations!B125</f>
        <v>U30</v>
      </c>
      <c r="C68" s="111">
        <f>C36</f>
        <v>0</v>
      </c>
      <c r="D68" s="110" t="str">
        <f t="array" ref="D68:E99">TRANSPOSE(Calculations!I131:AN132)</f>
        <v/>
      </c>
      <c r="E68" s="110" t="str">
        <v/>
      </c>
      <c r="F68" s="110">
        <f t="shared" si="1"/>
        <v>0</v>
      </c>
      <c r="G68" s="110">
        <f t="shared" si="2"/>
        <v>0</v>
      </c>
      <c r="H68" s="111" t="str">
        <f t="shared" si="3"/>
        <v/>
      </c>
      <c r="I68" s="134" t="str">
        <f t="shared" si="4"/>
        <v/>
      </c>
      <c r="J68" s="134"/>
      <c r="K68" s="134"/>
      <c r="L68" s="134"/>
      <c r="M68" s="134"/>
    </row>
    <row r="69" spans="2:13">
      <c r="B69" s="321"/>
      <c r="C69" s="111">
        <f t="shared" si="17"/>
        <v>1</v>
      </c>
      <c r="D69" s="110" t="str">
        <v/>
      </c>
      <c r="E69" s="110" t="str">
        <v/>
      </c>
      <c r="F69" s="110">
        <f t="shared" ref="F69:F132" si="18">IF(D69&lt;&gt;"",getUVfromXY(D69,E69,0),0)</f>
        <v>0</v>
      </c>
      <c r="G69" s="110">
        <f t="shared" ref="G69:G132" si="19">IF(D69&lt;&gt;"",getUVfromXY(D69,E69,1),0)</f>
        <v>0</v>
      </c>
      <c r="H69" s="111" t="str">
        <f t="shared" ref="H69:H132" si="20">IF(D69&lt;&gt;"",getCCTfromXY(D69,E69,0),"")</f>
        <v/>
      </c>
      <c r="I69" s="134" t="str">
        <f t="shared" ref="I69:I132" si="21">IF(D69&lt;&gt;"",getCCTfromXY(D69,E69,1),"")</f>
        <v/>
      </c>
      <c r="J69" s="134"/>
      <c r="K69" s="134"/>
      <c r="L69" s="134"/>
      <c r="M69" s="134"/>
    </row>
    <row r="70" spans="2:13">
      <c r="B70" s="321"/>
      <c r="C70" s="111">
        <f t="shared" si="17"/>
        <v>2</v>
      </c>
      <c r="D70" s="110">
        <v>0.44630590659084274</v>
      </c>
      <c r="E70" s="110">
        <v>0.42297462074263237</v>
      </c>
      <c r="F70" s="110">
        <f t="shared" si="18"/>
        <v>0.2485316497615814</v>
      </c>
      <c r="G70" s="110">
        <f t="shared" si="19"/>
        <v>0.35330894823945802</v>
      </c>
      <c r="H70" s="111">
        <f t="shared" si="20"/>
        <v>3005</v>
      </c>
      <c r="I70" s="134">
        <f t="shared" si="21"/>
        <v>5.139872213989617E-3</v>
      </c>
      <c r="J70" s="134"/>
      <c r="K70" s="134"/>
      <c r="L70" s="134"/>
      <c r="M70" s="134"/>
    </row>
    <row r="71" spans="2:13">
      <c r="B71" s="321"/>
      <c r="C71" s="111">
        <f t="shared" si="17"/>
        <v>3</v>
      </c>
      <c r="D71" s="110">
        <v>0.44689221423832476</v>
      </c>
      <c r="E71" s="110">
        <v>0.42338215380896793</v>
      </c>
      <c r="F71" s="110">
        <f t="shared" si="18"/>
        <v>0.24872940730871612</v>
      </c>
      <c r="G71" s="110">
        <f t="shared" si="19"/>
        <v>0.35346641369041309</v>
      </c>
      <c r="H71" s="111">
        <f t="shared" si="20"/>
        <v>2998</v>
      </c>
      <c r="I71" s="134">
        <f t="shared" si="21"/>
        <v>5.2170513666083039E-3</v>
      </c>
      <c r="J71" s="134"/>
      <c r="K71" s="134"/>
      <c r="L71" s="134"/>
      <c r="M71" s="134"/>
    </row>
    <row r="72" spans="2:13">
      <c r="B72" s="321"/>
      <c r="C72" s="111">
        <f t="shared" si="17"/>
        <v>4</v>
      </c>
      <c r="D72" s="110" t="str">
        <v/>
      </c>
      <c r="E72" s="110" t="str">
        <v/>
      </c>
      <c r="F72" s="110">
        <f t="shared" si="18"/>
        <v>0</v>
      </c>
      <c r="G72" s="110">
        <f t="shared" si="19"/>
        <v>0</v>
      </c>
      <c r="H72" s="111" t="str">
        <f t="shared" si="20"/>
        <v/>
      </c>
      <c r="I72" s="134" t="str">
        <f t="shared" si="21"/>
        <v/>
      </c>
      <c r="J72" s="134"/>
      <c r="K72" s="134"/>
      <c r="L72" s="134"/>
      <c r="M72" s="134"/>
    </row>
    <row r="73" spans="2:13">
      <c r="B73" s="321"/>
      <c r="C73" s="111">
        <f t="shared" si="17"/>
        <v>5</v>
      </c>
      <c r="D73" s="110">
        <v>0.44908298794947255</v>
      </c>
      <c r="E73" s="110">
        <v>0.42475391954519015</v>
      </c>
      <c r="F73" s="110">
        <f t="shared" si="18"/>
        <v>0.2495293278447939</v>
      </c>
      <c r="G73" s="110">
        <f t="shared" si="19"/>
        <v>0.35401661682008984</v>
      </c>
      <c r="H73" s="111">
        <f t="shared" si="20"/>
        <v>2975</v>
      </c>
      <c r="I73" s="134">
        <f t="shared" si="21"/>
        <v>5.4521502557334208E-3</v>
      </c>
      <c r="J73" s="134"/>
      <c r="K73" s="134"/>
      <c r="L73" s="134"/>
      <c r="M73" s="134"/>
    </row>
    <row r="74" spans="2:13">
      <c r="B74" s="321"/>
      <c r="C74" s="111">
        <f t="shared" si="17"/>
        <v>6</v>
      </c>
      <c r="D74" s="110">
        <v>0.44656867363275649</v>
      </c>
      <c r="E74" s="110">
        <v>0.42316014739064162</v>
      </c>
      <c r="F74" s="110">
        <f t="shared" si="18"/>
        <v>0.24861910807025206</v>
      </c>
      <c r="G74" s="110">
        <f t="shared" si="19"/>
        <v>0.35338024572785681</v>
      </c>
      <c r="H74" s="111">
        <f t="shared" si="20"/>
        <v>3002</v>
      </c>
      <c r="I74" s="134">
        <f t="shared" si="21"/>
        <v>5.1754849603994069E-3</v>
      </c>
      <c r="J74" s="134"/>
      <c r="K74" s="134"/>
      <c r="L74" s="134"/>
      <c r="M74" s="134"/>
    </row>
    <row r="75" spans="2:13">
      <c r="B75" s="321"/>
      <c r="C75" s="111">
        <f t="shared" si="17"/>
        <v>7</v>
      </c>
      <c r="D75" s="110" t="str">
        <v/>
      </c>
      <c r="E75" s="110" t="str">
        <v/>
      </c>
      <c r="F75" s="110">
        <f t="shared" si="18"/>
        <v>0</v>
      </c>
      <c r="G75" s="110">
        <f t="shared" si="19"/>
        <v>0</v>
      </c>
      <c r="H75" s="111" t="str">
        <f t="shared" si="20"/>
        <v/>
      </c>
      <c r="I75" s="134" t="str">
        <f t="shared" si="21"/>
        <v/>
      </c>
      <c r="J75" s="134"/>
      <c r="K75" s="134"/>
      <c r="L75" s="134"/>
      <c r="M75" s="134"/>
    </row>
    <row r="76" spans="2:13">
      <c r="B76" s="321"/>
      <c r="C76" s="111">
        <f t="shared" si="17"/>
        <v>8</v>
      </c>
      <c r="D76" s="110">
        <v>0.44209677670543729</v>
      </c>
      <c r="E76" s="110">
        <v>0.42034114171861464</v>
      </c>
      <c r="F76" s="110">
        <f t="shared" si="18"/>
        <v>0.24698488393168713</v>
      </c>
      <c r="G76" s="110">
        <f t="shared" si="19"/>
        <v>0.35224609260697209</v>
      </c>
      <c r="H76" s="111">
        <f t="shared" si="20"/>
        <v>3052</v>
      </c>
      <c r="I76" s="134">
        <f t="shared" si="21"/>
        <v>4.7073745206276645E-3</v>
      </c>
      <c r="J76" s="134"/>
      <c r="K76" s="134"/>
      <c r="L76" s="134"/>
      <c r="M76" s="134"/>
    </row>
    <row r="77" spans="2:13">
      <c r="B77" s="321"/>
      <c r="C77" s="111">
        <f t="shared" si="17"/>
        <v>9</v>
      </c>
      <c r="D77" s="110">
        <v>0.44946922787785537</v>
      </c>
      <c r="E77" s="110">
        <v>0.42500077230015298</v>
      </c>
      <c r="F77" s="110">
        <f t="shared" si="18"/>
        <v>0.2496679950089955</v>
      </c>
      <c r="G77" s="110">
        <f t="shared" si="19"/>
        <v>0.35411464495058592</v>
      </c>
      <c r="H77" s="111">
        <f t="shared" si="20"/>
        <v>2970</v>
      </c>
      <c r="I77" s="134">
        <f t="shared" si="21"/>
        <v>5.4960209607418141E-3</v>
      </c>
      <c r="J77" s="134"/>
      <c r="K77" s="134"/>
      <c r="L77" s="134"/>
      <c r="M77" s="134"/>
    </row>
    <row r="78" spans="2:13">
      <c r="B78" s="321"/>
      <c r="C78" s="111">
        <f t="shared" si="17"/>
        <v>10</v>
      </c>
      <c r="D78" s="110">
        <v>0.44161147447495591</v>
      </c>
      <c r="E78" s="110">
        <v>0.42008143247614288</v>
      </c>
      <c r="F78" s="110">
        <f t="shared" si="18"/>
        <v>0.246787726776063</v>
      </c>
      <c r="G78" s="110">
        <f t="shared" si="19"/>
        <v>0.3521339948363324</v>
      </c>
      <c r="H78" s="111">
        <f t="shared" si="20"/>
        <v>3058</v>
      </c>
      <c r="I78" s="134">
        <f t="shared" si="21"/>
        <v>4.6757171412092286E-3</v>
      </c>
      <c r="J78" s="134"/>
      <c r="K78" s="134"/>
      <c r="L78" s="134"/>
      <c r="M78" s="134"/>
    </row>
    <row r="79" spans="2:13">
      <c r="B79" s="321"/>
      <c r="C79" s="111">
        <f t="shared" si="17"/>
        <v>11</v>
      </c>
      <c r="D79" s="110">
        <v>0.44966376846020517</v>
      </c>
      <c r="E79" s="110">
        <v>0.4252495015949484</v>
      </c>
      <c r="F79" s="110">
        <f t="shared" si="18"/>
        <v>0.24968605616049769</v>
      </c>
      <c r="G79" s="110">
        <f t="shared" si="19"/>
        <v>0.35419421705150123</v>
      </c>
      <c r="H79" s="111">
        <f t="shared" si="20"/>
        <v>2969</v>
      </c>
      <c r="I79" s="134">
        <f t="shared" si="21"/>
        <v>5.564416534045164E-3</v>
      </c>
      <c r="J79" s="134"/>
      <c r="K79" s="134"/>
      <c r="L79" s="134"/>
      <c r="M79" s="134"/>
    </row>
    <row r="80" spans="2:13">
      <c r="B80" s="321"/>
      <c r="C80" s="111">
        <f t="shared" si="17"/>
        <v>12</v>
      </c>
      <c r="D80" s="110">
        <v>0.44754299519455271</v>
      </c>
      <c r="E80" s="110">
        <v>0.42390132375566381</v>
      </c>
      <c r="F80" s="110">
        <f t="shared" si="18"/>
        <v>0.24892091429945856</v>
      </c>
      <c r="G80" s="110">
        <f t="shared" si="19"/>
        <v>0.35365732303375896</v>
      </c>
      <c r="H80" s="111">
        <f t="shared" si="20"/>
        <v>2992</v>
      </c>
      <c r="I80" s="134">
        <f t="shared" si="21"/>
        <v>5.3281467196645152E-3</v>
      </c>
      <c r="J80" s="134"/>
      <c r="K80" s="134"/>
      <c r="L80" s="134"/>
      <c r="M80" s="134"/>
    </row>
    <row r="81" spans="2:13">
      <c r="B81" s="321"/>
      <c r="C81" s="111">
        <f t="shared" si="17"/>
        <v>13</v>
      </c>
      <c r="D81" s="110">
        <v>0.4471656965566676</v>
      </c>
      <c r="E81" s="110">
        <v>0.42356537137865802</v>
      </c>
      <c r="F81" s="110">
        <f t="shared" si="18"/>
        <v>0.24882443697463094</v>
      </c>
      <c r="G81" s="110">
        <f t="shared" si="19"/>
        <v>0.35353812647127641</v>
      </c>
      <c r="H81" s="111">
        <f t="shared" si="20"/>
        <v>2995</v>
      </c>
      <c r="I81" s="134">
        <f t="shared" si="21"/>
        <v>5.2506028290352155E-3</v>
      </c>
      <c r="J81" s="134"/>
      <c r="K81" s="134"/>
      <c r="L81" s="134"/>
      <c r="M81" s="134"/>
    </row>
    <row r="82" spans="2:13">
      <c r="B82" s="321"/>
      <c r="C82" s="111">
        <f t="shared" si="17"/>
        <v>14</v>
      </c>
      <c r="D82" s="110">
        <v>0.44392463239057678</v>
      </c>
      <c r="E82" s="110">
        <v>0.42159771114611011</v>
      </c>
      <c r="F82" s="110">
        <f t="shared" si="18"/>
        <v>0.24761100050323204</v>
      </c>
      <c r="G82" s="110">
        <f t="shared" si="19"/>
        <v>0.35273633219426942</v>
      </c>
      <c r="H82" s="111">
        <f t="shared" si="20"/>
        <v>3032</v>
      </c>
      <c r="I82" s="134">
        <f t="shared" si="21"/>
        <v>4.9354647566881753E-3</v>
      </c>
      <c r="J82" s="134"/>
      <c r="K82" s="134"/>
      <c r="L82" s="134"/>
      <c r="M82" s="134"/>
    </row>
    <row r="83" spans="2:13">
      <c r="B83" s="321"/>
      <c r="C83" s="111">
        <f t="shared" si="17"/>
        <v>15</v>
      </c>
      <c r="D83" s="110">
        <v>0.44787007137986778</v>
      </c>
      <c r="E83" s="110">
        <v>0.42403806938077249</v>
      </c>
      <c r="F83" s="110">
        <f t="shared" si="18"/>
        <v>0.24906865691757285</v>
      </c>
      <c r="G83" s="110">
        <f t="shared" si="19"/>
        <v>0.35372287356865256</v>
      </c>
      <c r="H83" s="111">
        <f t="shared" si="20"/>
        <v>2988</v>
      </c>
      <c r="I83" s="134">
        <f t="shared" si="21"/>
        <v>5.3376180800448238E-3</v>
      </c>
      <c r="J83" s="134"/>
      <c r="K83" s="134"/>
      <c r="L83" s="134"/>
      <c r="M83" s="134"/>
    </row>
    <row r="84" spans="2:13">
      <c r="B84" s="321"/>
      <c r="C84" s="111">
        <f t="shared" si="17"/>
        <v>16</v>
      </c>
      <c r="D84" s="110">
        <v>0.45236107400526876</v>
      </c>
      <c r="E84" s="110">
        <v>0.4269253777621021</v>
      </c>
      <c r="F84" s="110">
        <f t="shared" si="18"/>
        <v>0.25067171555602102</v>
      </c>
      <c r="G84" s="110">
        <f t="shared" si="19"/>
        <v>0.35486513873908837</v>
      </c>
      <c r="H84" s="111">
        <f t="shared" si="20"/>
        <v>2941</v>
      </c>
      <c r="I84" s="134">
        <f t="shared" si="21"/>
        <v>5.8576665946012893E-3</v>
      </c>
      <c r="J84" s="134"/>
      <c r="K84" s="134"/>
      <c r="L84" s="134"/>
      <c r="M84" s="134"/>
    </row>
    <row r="85" spans="2:13">
      <c r="B85" s="321"/>
      <c r="C85" s="111">
        <f t="shared" si="17"/>
        <v>17</v>
      </c>
      <c r="D85" s="110">
        <v>0.45438183767801643</v>
      </c>
      <c r="E85" s="110">
        <v>0.42820482486858763</v>
      </c>
      <c r="F85" s="110">
        <f t="shared" si="18"/>
        <v>0.25139754111772444</v>
      </c>
      <c r="G85" s="110">
        <f t="shared" si="19"/>
        <v>0.35537173080075218</v>
      </c>
      <c r="H85" s="111">
        <f t="shared" si="20"/>
        <v>2920</v>
      </c>
      <c r="I85" s="134">
        <f t="shared" si="21"/>
        <v>6.091305596148908E-3</v>
      </c>
      <c r="J85" s="134"/>
      <c r="K85" s="134"/>
      <c r="L85" s="134"/>
      <c r="M85" s="134"/>
    </row>
    <row r="86" spans="2:13">
      <c r="B86" s="321"/>
      <c r="C86" s="111">
        <f t="shared" si="17"/>
        <v>18</v>
      </c>
      <c r="D86" s="110">
        <v>0.4497713748125563</v>
      </c>
      <c r="E86" s="110">
        <v>0.42527522872337964</v>
      </c>
      <c r="F86" s="110">
        <f t="shared" si="18"/>
        <v>0.2497425650611752</v>
      </c>
      <c r="G86" s="110">
        <f t="shared" si="19"/>
        <v>0.35421104729914582</v>
      </c>
      <c r="H86" s="111">
        <f t="shared" si="20"/>
        <v>2968</v>
      </c>
      <c r="I86" s="134">
        <f t="shared" si="21"/>
        <v>5.5606637130348408E-3</v>
      </c>
      <c r="J86" s="134"/>
      <c r="K86" s="134"/>
      <c r="L86" s="134"/>
      <c r="M86" s="134"/>
    </row>
    <row r="87" spans="2:13">
      <c r="B87" s="321"/>
      <c r="C87" s="111">
        <f t="shared" si="17"/>
        <v>19</v>
      </c>
      <c r="D87" s="110">
        <v>0.44511051810544089</v>
      </c>
      <c r="E87" s="110">
        <v>0.42218576451324569</v>
      </c>
      <c r="F87" s="110">
        <f t="shared" si="18"/>
        <v>0.24811037532224281</v>
      </c>
      <c r="G87" s="110">
        <f t="shared" si="19"/>
        <v>0.3529977305465824</v>
      </c>
      <c r="H87" s="111">
        <f t="shared" si="20"/>
        <v>3017</v>
      </c>
      <c r="I87" s="134">
        <f t="shared" si="21"/>
        <v>4.9994146687781247E-3</v>
      </c>
      <c r="J87" s="134"/>
      <c r="K87" s="134"/>
      <c r="L87" s="134"/>
      <c r="M87" s="134"/>
    </row>
    <row r="88" spans="2:13">
      <c r="B88" s="321"/>
      <c r="C88" s="111">
        <f t="shared" si="17"/>
        <v>20</v>
      </c>
      <c r="D88" s="110">
        <v>0.45289796180199288</v>
      </c>
      <c r="E88" s="110">
        <v>0.42724337463583534</v>
      </c>
      <c r="F88" s="110">
        <f t="shared" si="18"/>
        <v>0.25087392263331243</v>
      </c>
      <c r="G88" s="110">
        <f t="shared" si="19"/>
        <v>0.35499460260602861</v>
      </c>
      <c r="H88" s="111">
        <f t="shared" si="20"/>
        <v>2935</v>
      </c>
      <c r="I88" s="134">
        <f t="shared" si="21"/>
        <v>5.911263406068454E-3</v>
      </c>
      <c r="J88" s="134"/>
      <c r="K88" s="134"/>
      <c r="L88" s="134"/>
      <c r="M88" s="134"/>
    </row>
    <row r="89" spans="2:13">
      <c r="B89" s="321"/>
      <c r="C89" s="111">
        <f t="shared" si="17"/>
        <v>21</v>
      </c>
      <c r="D89" s="110">
        <v>0.45094747718199463</v>
      </c>
      <c r="E89" s="110">
        <v>0.42595217979252037</v>
      </c>
      <c r="F89" s="110">
        <f t="shared" si="18"/>
        <v>0.25019517329237728</v>
      </c>
      <c r="G89" s="110">
        <f t="shared" si="19"/>
        <v>0.35449088251949079</v>
      </c>
      <c r="H89" s="111">
        <f t="shared" si="20"/>
        <v>2955</v>
      </c>
      <c r="I89" s="134">
        <f t="shared" si="21"/>
        <v>5.6678468644656551E-3</v>
      </c>
      <c r="J89" s="134"/>
      <c r="K89" s="134"/>
      <c r="L89" s="134"/>
      <c r="M89" s="134"/>
    </row>
    <row r="90" spans="2:13">
      <c r="B90" s="321"/>
      <c r="C90" s="111">
        <f t="shared" si="17"/>
        <v>22</v>
      </c>
      <c r="D90" s="110">
        <v>0.44721140054447978</v>
      </c>
      <c r="E90" s="110">
        <v>0.42350185931455581</v>
      </c>
      <c r="F90" s="110">
        <f t="shared" si="18"/>
        <v>0.24887942066311092</v>
      </c>
      <c r="G90" s="110">
        <f t="shared" si="19"/>
        <v>0.35352709233585522</v>
      </c>
      <c r="H90" s="111">
        <f t="shared" si="20"/>
        <v>2994</v>
      </c>
      <c r="I90" s="134">
        <f t="shared" si="21"/>
        <v>5.2208728660943868E-3</v>
      </c>
      <c r="J90" s="134"/>
      <c r="K90" s="134"/>
      <c r="L90" s="134"/>
      <c r="M90" s="134"/>
    </row>
    <row r="91" spans="2:13">
      <c r="B91" s="321"/>
      <c r="C91" s="111">
        <f t="shared" si="17"/>
        <v>23</v>
      </c>
      <c r="D91" s="110">
        <v>0.45479610853712532</v>
      </c>
      <c r="E91" s="110">
        <v>0.42841701545462102</v>
      </c>
      <c r="F91" s="110">
        <f t="shared" si="18"/>
        <v>0.25156697503927955</v>
      </c>
      <c r="G91" s="110">
        <f t="shared" si="19"/>
        <v>0.3554633734002503</v>
      </c>
      <c r="H91" s="111">
        <f t="shared" si="20"/>
        <v>2915</v>
      </c>
      <c r="I91" s="134">
        <f t="shared" si="21"/>
        <v>6.1214818006101726E-3</v>
      </c>
      <c r="J91" s="134"/>
      <c r="K91" s="134"/>
      <c r="L91" s="134"/>
      <c r="M91" s="134"/>
    </row>
    <row r="92" spans="2:13">
      <c r="B92" s="321"/>
      <c r="C92" s="111">
        <f t="shared" si="17"/>
        <v>24</v>
      </c>
      <c r="D92" s="110">
        <v>0.43809547708428909</v>
      </c>
      <c r="E92" s="110">
        <v>0.41780012549454715</v>
      </c>
      <c r="F92" s="110">
        <f t="shared" si="18"/>
        <v>0.24552068227370918</v>
      </c>
      <c r="G92" s="110">
        <f t="shared" si="19"/>
        <v>0.35121991859457108</v>
      </c>
      <c r="H92" s="111">
        <f t="shared" si="20"/>
        <v>3099</v>
      </c>
      <c r="I92" s="134">
        <f t="shared" si="21"/>
        <v>4.3018898905519227E-3</v>
      </c>
      <c r="J92" s="134"/>
      <c r="K92" s="134"/>
      <c r="L92" s="134"/>
      <c r="M92" s="134"/>
    </row>
    <row r="93" spans="2:13">
      <c r="B93" s="321"/>
      <c r="C93" s="111">
        <f t="shared" si="17"/>
        <v>25</v>
      </c>
      <c r="D93" s="110">
        <v>0.43933099145431764</v>
      </c>
      <c r="E93" s="110">
        <v>0.41860423676760977</v>
      </c>
      <c r="F93" s="110">
        <f t="shared" si="18"/>
        <v>0.24596572324453567</v>
      </c>
      <c r="G93" s="110">
        <f t="shared" si="19"/>
        <v>0.35154233090500575</v>
      </c>
      <c r="H93" s="111">
        <f t="shared" si="20"/>
        <v>3084</v>
      </c>
      <c r="I93" s="134">
        <f t="shared" si="21"/>
        <v>4.432521359148991E-3</v>
      </c>
      <c r="J93" s="134"/>
      <c r="K93" s="134"/>
      <c r="L93" s="134"/>
      <c r="M93" s="134"/>
    </row>
    <row r="94" spans="2:13">
      <c r="B94" s="321"/>
      <c r="C94" s="111">
        <f t="shared" si="17"/>
        <v>26</v>
      </c>
      <c r="D94" s="110" t="str">
        <v/>
      </c>
      <c r="E94" s="110" t="str">
        <v/>
      </c>
      <c r="F94" s="110">
        <f t="shared" si="18"/>
        <v>0</v>
      </c>
      <c r="G94" s="110">
        <f t="shared" si="19"/>
        <v>0</v>
      </c>
      <c r="H94" s="111" t="str">
        <f t="shared" si="20"/>
        <v/>
      </c>
      <c r="I94" s="134" t="str">
        <f t="shared" si="21"/>
        <v/>
      </c>
      <c r="J94" s="134"/>
      <c r="K94" s="134"/>
      <c r="L94" s="134"/>
      <c r="M94" s="134"/>
    </row>
    <row r="95" spans="2:13">
      <c r="B95" s="321"/>
      <c r="C95" s="111">
        <f t="shared" si="17"/>
        <v>27</v>
      </c>
      <c r="D95" s="110">
        <v>0.45163802087181382</v>
      </c>
      <c r="E95" s="110">
        <v>0.42645602621529399</v>
      </c>
      <c r="F95" s="110">
        <f t="shared" si="18"/>
        <v>0.25041626470416201</v>
      </c>
      <c r="G95" s="110">
        <f t="shared" si="19"/>
        <v>0.35468069629945154</v>
      </c>
      <c r="H95" s="111">
        <f t="shared" si="20"/>
        <v>2948</v>
      </c>
      <c r="I95" s="134">
        <f t="shared" si="21"/>
        <v>5.770842437826754E-3</v>
      </c>
      <c r="J95" s="134"/>
      <c r="K95" s="134"/>
      <c r="L95" s="134"/>
      <c r="M95" s="134"/>
    </row>
    <row r="96" spans="2:13">
      <c r="B96" s="321"/>
      <c r="C96" s="111">
        <f t="shared" si="17"/>
        <v>28</v>
      </c>
      <c r="D96" s="110">
        <v>0.44123909140102746</v>
      </c>
      <c r="E96" s="110">
        <v>0.41980283465613533</v>
      </c>
      <c r="F96" s="110">
        <f t="shared" si="18"/>
        <v>0.24666917210193709</v>
      </c>
      <c r="G96" s="110">
        <f t="shared" si="19"/>
        <v>0.35202825301088275</v>
      </c>
      <c r="H96" s="111">
        <f t="shared" si="20"/>
        <v>3062</v>
      </c>
      <c r="I96" s="134">
        <f t="shared" si="21"/>
        <v>4.6212411871034819E-3</v>
      </c>
      <c r="J96" s="134"/>
      <c r="K96" s="134"/>
      <c r="L96" s="134"/>
      <c r="M96" s="134"/>
    </row>
    <row r="97" spans="2:13">
      <c r="B97" s="321"/>
      <c r="C97" s="111">
        <f t="shared" si="17"/>
        <v>29</v>
      </c>
      <c r="D97" s="110">
        <v>0.44632709502425461</v>
      </c>
      <c r="E97" s="110">
        <v>0.42311007413712848</v>
      </c>
      <c r="F97" s="110">
        <f t="shared" si="18"/>
        <v>0.24848868496532361</v>
      </c>
      <c r="G97" s="110">
        <f t="shared" si="19"/>
        <v>0.35334421915009046</v>
      </c>
      <c r="H97" s="111">
        <f t="shared" si="20"/>
        <v>3005</v>
      </c>
      <c r="I97" s="134">
        <f t="shared" si="21"/>
        <v>5.1880737809792063E-3</v>
      </c>
      <c r="J97" s="134"/>
      <c r="K97" s="134"/>
      <c r="L97" s="134"/>
      <c r="M97" s="134"/>
    </row>
    <row r="98" spans="2:13">
      <c r="B98" s="321"/>
      <c r="C98" s="111">
        <f t="shared" si="17"/>
        <v>30</v>
      </c>
      <c r="D98" s="110">
        <v>0.45303339319682584</v>
      </c>
      <c r="E98" s="110">
        <v>0.42734632425066449</v>
      </c>
      <c r="F98" s="110">
        <f t="shared" si="18"/>
        <v>0.25091542717598136</v>
      </c>
      <c r="G98" s="110">
        <f t="shared" si="19"/>
        <v>0.35503272091530297</v>
      </c>
      <c r="H98" s="111">
        <f t="shared" si="20"/>
        <v>2934</v>
      </c>
      <c r="I98" s="134">
        <f t="shared" si="21"/>
        <v>5.9331901030434727E-3</v>
      </c>
      <c r="J98" s="134"/>
      <c r="K98" s="134"/>
      <c r="L98" s="134"/>
      <c r="M98" s="134"/>
    </row>
    <row r="99" spans="2:13">
      <c r="B99" s="321"/>
      <c r="C99" s="111">
        <f t="shared" si="17"/>
        <v>31</v>
      </c>
      <c r="D99" s="110">
        <v>0.44463368220850746</v>
      </c>
      <c r="E99" s="110">
        <v>0.42199132854146909</v>
      </c>
      <c r="F99" s="110">
        <f t="shared" si="18"/>
        <v>0.24789223713512856</v>
      </c>
      <c r="G99" s="110">
        <f t="shared" si="19"/>
        <v>0.35290300308844302</v>
      </c>
      <c r="H99" s="111">
        <f t="shared" si="20"/>
        <v>3024</v>
      </c>
      <c r="I99" s="134">
        <f t="shared" si="21"/>
        <v>4.9893557768282094E-3</v>
      </c>
      <c r="J99" s="134"/>
      <c r="K99" s="134"/>
      <c r="L99" s="134"/>
      <c r="M99" s="134"/>
    </row>
    <row r="100" spans="2:13">
      <c r="B100" s="322" t="str">
        <f>Calculations!B147</f>
        <v>U35</v>
      </c>
      <c r="C100" s="111">
        <f>C68</f>
        <v>0</v>
      </c>
      <c r="D100" s="110" t="str">
        <f t="array" ref="D100:E131">TRANSPOSE(Calculations!I153:AN154)</f>
        <v/>
      </c>
      <c r="E100" s="110" t="str">
        <v/>
      </c>
      <c r="F100" s="110">
        <f t="shared" si="18"/>
        <v>0</v>
      </c>
      <c r="G100" s="110">
        <f t="shared" si="19"/>
        <v>0</v>
      </c>
      <c r="H100" s="111" t="str">
        <f t="shared" si="20"/>
        <v/>
      </c>
      <c r="I100" s="134" t="str">
        <f t="shared" si="21"/>
        <v/>
      </c>
      <c r="J100" s="134"/>
      <c r="K100" s="134"/>
      <c r="L100" s="134"/>
      <c r="M100" s="134"/>
    </row>
    <row r="101" spans="2:13">
      <c r="B101" s="322"/>
      <c r="C101" s="111">
        <f t="shared" si="17"/>
        <v>1</v>
      </c>
      <c r="D101" s="110" t="str">
        <v/>
      </c>
      <c r="E101" s="110" t="str">
        <v/>
      </c>
      <c r="F101" s="110">
        <f t="shared" si="18"/>
        <v>0</v>
      </c>
      <c r="G101" s="110">
        <f t="shared" si="19"/>
        <v>0</v>
      </c>
      <c r="H101" s="111" t="str">
        <f t="shared" si="20"/>
        <v/>
      </c>
      <c r="I101" s="134" t="str">
        <f t="shared" si="21"/>
        <v/>
      </c>
      <c r="J101" s="134"/>
      <c r="K101" s="134"/>
      <c r="L101" s="134"/>
      <c r="M101" s="134"/>
    </row>
    <row r="102" spans="2:13">
      <c r="B102" s="322"/>
      <c r="C102" s="111">
        <f t="shared" ref="C102:C131" si="22">C70</f>
        <v>2</v>
      </c>
      <c r="D102" s="110">
        <v>0.42460480114638538</v>
      </c>
      <c r="E102" s="110">
        <v>0.40909389237074034</v>
      </c>
      <c r="F102" s="110">
        <f t="shared" si="18"/>
        <v>0.24057211707267104</v>
      </c>
      <c r="G102" s="110">
        <f t="shared" si="19"/>
        <v>0.34767594538526658</v>
      </c>
      <c r="H102" s="111">
        <f t="shared" si="20"/>
        <v>3271</v>
      </c>
      <c r="I102" s="134">
        <f t="shared" si="21"/>
        <v>3.0338041515854813E-3</v>
      </c>
      <c r="J102" s="134"/>
      <c r="K102" s="134"/>
      <c r="L102" s="134"/>
      <c r="M102" s="134"/>
    </row>
    <row r="103" spans="2:13">
      <c r="B103" s="322"/>
      <c r="C103" s="111">
        <f t="shared" si="22"/>
        <v>3</v>
      </c>
      <c r="D103" s="110">
        <v>0.42618433986878534</v>
      </c>
      <c r="E103" s="110">
        <v>0.41014685785043953</v>
      </c>
      <c r="F103" s="110">
        <f t="shared" si="18"/>
        <v>0.24114336426059949</v>
      </c>
      <c r="G103" s="110">
        <f t="shared" si="19"/>
        <v>0.34810356889258193</v>
      </c>
      <c r="H103" s="111">
        <f t="shared" si="20"/>
        <v>3250</v>
      </c>
      <c r="I103" s="134">
        <f t="shared" si="21"/>
        <v>3.1829437221949915E-3</v>
      </c>
      <c r="J103" s="134"/>
      <c r="K103" s="134"/>
      <c r="L103" s="134"/>
      <c r="M103" s="134"/>
    </row>
    <row r="104" spans="2:13">
      <c r="B104" s="322"/>
      <c r="C104" s="111">
        <f t="shared" si="22"/>
        <v>4</v>
      </c>
      <c r="D104" s="110" t="str">
        <v/>
      </c>
      <c r="E104" s="110" t="str">
        <v/>
      </c>
      <c r="F104" s="110">
        <f t="shared" si="18"/>
        <v>0</v>
      </c>
      <c r="G104" s="110">
        <f t="shared" si="19"/>
        <v>0</v>
      </c>
      <c r="H104" s="111" t="str">
        <f t="shared" si="20"/>
        <v/>
      </c>
      <c r="I104" s="134" t="str">
        <f t="shared" si="21"/>
        <v/>
      </c>
      <c r="J104" s="134"/>
      <c r="K104" s="134"/>
      <c r="L104" s="134"/>
      <c r="M104" s="134"/>
    </row>
    <row r="105" spans="2:13">
      <c r="B105" s="322"/>
      <c r="C105" s="111">
        <f t="shared" si="22"/>
        <v>5</v>
      </c>
      <c r="D105" s="110">
        <v>0.42842719637790572</v>
      </c>
      <c r="E105" s="110">
        <v>0.4115582911136072</v>
      </c>
      <c r="F105" s="110">
        <f t="shared" si="18"/>
        <v>0.24198620008853658</v>
      </c>
      <c r="G105" s="110">
        <f t="shared" si="19"/>
        <v>0.34868734229584103</v>
      </c>
      <c r="H105" s="111">
        <f t="shared" si="20"/>
        <v>3219</v>
      </c>
      <c r="I105" s="134">
        <f t="shared" si="21"/>
        <v>3.3669393973323005E-3</v>
      </c>
      <c r="J105" s="134"/>
      <c r="K105" s="134"/>
      <c r="L105" s="134"/>
      <c r="M105" s="134"/>
    </row>
    <row r="106" spans="2:13">
      <c r="B106" s="322"/>
      <c r="C106" s="111">
        <f t="shared" si="22"/>
        <v>6</v>
      </c>
      <c r="D106" s="110">
        <v>0.42565489370907045</v>
      </c>
      <c r="E106" s="110">
        <v>0.40978892139073608</v>
      </c>
      <c r="F106" s="110">
        <f t="shared" si="18"/>
        <v>0.24095410135302742</v>
      </c>
      <c r="G106" s="110">
        <f t="shared" si="19"/>
        <v>0.34795907232874052</v>
      </c>
      <c r="H106" s="111">
        <f t="shared" si="20"/>
        <v>3257</v>
      </c>
      <c r="I106" s="134">
        <f t="shared" si="21"/>
        <v>3.130548031323079E-3</v>
      </c>
      <c r="J106" s="134"/>
      <c r="K106" s="134"/>
      <c r="L106" s="134"/>
      <c r="M106" s="134"/>
    </row>
    <row r="107" spans="2:13">
      <c r="B107" s="322"/>
      <c r="C107" s="111">
        <f t="shared" si="22"/>
        <v>7</v>
      </c>
      <c r="D107" s="110" t="str">
        <v/>
      </c>
      <c r="E107" s="110" t="str">
        <v/>
      </c>
      <c r="F107" s="110">
        <f t="shared" si="18"/>
        <v>0</v>
      </c>
      <c r="G107" s="110">
        <f t="shared" si="19"/>
        <v>0</v>
      </c>
      <c r="H107" s="111" t="str">
        <f t="shared" si="20"/>
        <v/>
      </c>
      <c r="I107" s="134" t="str">
        <f t="shared" si="21"/>
        <v/>
      </c>
      <c r="J107" s="134"/>
      <c r="K107" s="134"/>
      <c r="L107" s="134"/>
      <c r="M107" s="134"/>
    </row>
    <row r="108" spans="2:13">
      <c r="B108" s="322"/>
      <c r="C108" s="111">
        <f t="shared" si="22"/>
        <v>8</v>
      </c>
      <c r="D108" s="110">
        <v>0.42292287057632777</v>
      </c>
      <c r="E108" s="110">
        <v>0.40809670092507844</v>
      </c>
      <c r="F108" s="110">
        <f t="shared" si="18"/>
        <v>0.23991150040645087</v>
      </c>
      <c r="G108" s="110">
        <f t="shared" si="19"/>
        <v>0.34725158642912024</v>
      </c>
      <c r="H108" s="111">
        <f t="shared" si="20"/>
        <v>3295</v>
      </c>
      <c r="I108" s="134">
        <f t="shared" si="21"/>
        <v>2.9296548620148348E-3</v>
      </c>
      <c r="J108" s="134"/>
      <c r="K108" s="134"/>
      <c r="L108" s="134"/>
      <c r="M108" s="134"/>
    </row>
    <row r="109" spans="2:13">
      <c r="B109" s="322"/>
      <c r="C109" s="111">
        <f t="shared" si="22"/>
        <v>9</v>
      </c>
      <c r="D109" s="110">
        <v>0.42930283637516126</v>
      </c>
      <c r="E109" s="110">
        <v>0.41211064196516212</v>
      </c>
      <c r="F109" s="110">
        <f t="shared" si="18"/>
        <v>0.24231391298116589</v>
      </c>
      <c r="G109" s="110">
        <f t="shared" si="19"/>
        <v>0.34891503307641475</v>
      </c>
      <c r="H109" s="111">
        <f t="shared" si="20"/>
        <v>3208</v>
      </c>
      <c r="I109" s="134">
        <f t="shared" si="21"/>
        <v>3.4412450161093611E-3</v>
      </c>
      <c r="J109" s="134"/>
      <c r="K109" s="134"/>
      <c r="L109" s="134"/>
      <c r="M109" s="134"/>
    </row>
    <row r="110" spans="2:13">
      <c r="B110" s="322"/>
      <c r="C110" s="111">
        <f t="shared" si="22"/>
        <v>10</v>
      </c>
      <c r="D110" s="110">
        <v>0.42326037362435076</v>
      </c>
      <c r="E110" s="110">
        <v>0.40836370397239374</v>
      </c>
      <c r="F110" s="110">
        <f t="shared" si="18"/>
        <v>0.24001687114169973</v>
      </c>
      <c r="G110" s="110">
        <f t="shared" si="19"/>
        <v>0.34735419834840764</v>
      </c>
      <c r="H110" s="111">
        <f t="shared" si="20"/>
        <v>3290</v>
      </c>
      <c r="I110" s="134">
        <f t="shared" si="21"/>
        <v>2.9775408000076681E-3</v>
      </c>
      <c r="J110" s="134"/>
      <c r="K110" s="134"/>
      <c r="L110" s="134"/>
      <c r="M110" s="134"/>
    </row>
    <row r="111" spans="2:13">
      <c r="B111" s="322"/>
      <c r="C111" s="111">
        <f t="shared" si="22"/>
        <v>11</v>
      </c>
      <c r="D111" s="110">
        <v>0.43165047078506485</v>
      </c>
      <c r="E111" s="110">
        <v>0.4137472115589399</v>
      </c>
      <c r="F111" s="110">
        <f t="shared" si="18"/>
        <v>0.24312632853851832</v>
      </c>
      <c r="G111" s="110">
        <f t="shared" si="19"/>
        <v>0.34956352638659693</v>
      </c>
      <c r="H111" s="111">
        <f t="shared" si="20"/>
        <v>3179</v>
      </c>
      <c r="I111" s="134">
        <f t="shared" si="21"/>
        <v>3.70774053440226E-3</v>
      </c>
      <c r="J111" s="134"/>
      <c r="K111" s="134"/>
      <c r="L111" s="134"/>
      <c r="M111" s="134"/>
    </row>
    <row r="112" spans="2:13">
      <c r="B112" s="322"/>
      <c r="C112" s="111">
        <f t="shared" si="22"/>
        <v>12</v>
      </c>
      <c r="D112" s="110">
        <v>0.42985010543296298</v>
      </c>
      <c r="E112" s="110">
        <v>0.4126025455717347</v>
      </c>
      <c r="F112" s="110">
        <f t="shared" si="18"/>
        <v>0.24245830452202846</v>
      </c>
      <c r="G112" s="110">
        <f t="shared" si="19"/>
        <v>0.34909464616752534</v>
      </c>
      <c r="H112" s="111">
        <f t="shared" si="20"/>
        <v>3202</v>
      </c>
      <c r="I112" s="134">
        <f t="shared" si="21"/>
        <v>3.5468810711627549E-3</v>
      </c>
      <c r="J112" s="134"/>
      <c r="K112" s="134"/>
      <c r="L112" s="134"/>
      <c r="M112" s="134"/>
    </row>
    <row r="113" spans="2:13">
      <c r="B113" s="322"/>
      <c r="C113" s="111">
        <f t="shared" si="22"/>
        <v>13</v>
      </c>
      <c r="D113" s="110">
        <v>0.42744311073765373</v>
      </c>
      <c r="E113" s="110">
        <v>0.41095353850509397</v>
      </c>
      <c r="F113" s="110">
        <f t="shared" si="18"/>
        <v>0.24161080401575025</v>
      </c>
      <c r="G113" s="110">
        <f t="shared" si="19"/>
        <v>0.34843519180827476</v>
      </c>
      <c r="H113" s="111">
        <f t="shared" si="20"/>
        <v>3233</v>
      </c>
      <c r="I113" s="134">
        <f t="shared" si="21"/>
        <v>3.2911438589115151E-3</v>
      </c>
      <c r="J113" s="134"/>
      <c r="K113" s="134"/>
      <c r="L113" s="134"/>
      <c r="M113" s="134"/>
    </row>
    <row r="114" spans="2:13">
      <c r="B114" s="322"/>
      <c r="C114" s="111">
        <f t="shared" si="22"/>
        <v>14</v>
      </c>
      <c r="D114" s="110">
        <v>0.42627579628697121</v>
      </c>
      <c r="E114" s="110">
        <v>0.41032718901023874</v>
      </c>
      <c r="F114" s="110">
        <f t="shared" si="18"/>
        <v>0.24112754073740614</v>
      </c>
      <c r="G114" s="110">
        <f t="shared" si="19"/>
        <v>0.34815905633939842</v>
      </c>
      <c r="H114" s="111">
        <f t="shared" si="20"/>
        <v>3249</v>
      </c>
      <c r="I114" s="134">
        <f t="shared" si="21"/>
        <v>3.2399625223825954E-3</v>
      </c>
      <c r="J114" s="134"/>
      <c r="K114" s="134"/>
      <c r="L114" s="134"/>
      <c r="M114" s="134"/>
    </row>
    <row r="115" spans="2:13">
      <c r="B115" s="322"/>
      <c r="C115" s="111">
        <f t="shared" si="22"/>
        <v>15</v>
      </c>
      <c r="D115" s="110">
        <v>0.42934596035578237</v>
      </c>
      <c r="E115" s="110">
        <v>0.4122017586678135</v>
      </c>
      <c r="F115" s="110">
        <f t="shared" si="18"/>
        <v>0.24230381790955993</v>
      </c>
      <c r="G115" s="110">
        <f t="shared" si="19"/>
        <v>0.34894258627057245</v>
      </c>
      <c r="H115" s="111">
        <f t="shared" si="20"/>
        <v>3208</v>
      </c>
      <c r="I115" s="134">
        <f t="shared" si="21"/>
        <v>3.470525509961755E-3</v>
      </c>
      <c r="J115" s="134"/>
      <c r="K115" s="134"/>
      <c r="L115" s="134"/>
      <c r="M115" s="134"/>
    </row>
    <row r="116" spans="2:13">
      <c r="B116" s="322"/>
      <c r="C116" s="111">
        <f t="shared" si="22"/>
        <v>16</v>
      </c>
      <c r="D116" s="110">
        <v>0.43342537432311673</v>
      </c>
      <c r="E116" s="110">
        <v>0.41482640946741295</v>
      </c>
      <c r="F116" s="110">
        <f t="shared" si="18"/>
        <v>0.24380331402830582</v>
      </c>
      <c r="G116" s="110">
        <f t="shared" si="19"/>
        <v>0.35001199525718735</v>
      </c>
      <c r="H116" s="111">
        <f t="shared" si="20"/>
        <v>3156</v>
      </c>
      <c r="I116" s="134">
        <f t="shared" si="21"/>
        <v>3.8512074907020031E-3</v>
      </c>
      <c r="J116" s="134"/>
      <c r="K116" s="134"/>
      <c r="L116" s="134"/>
      <c r="M116" s="134"/>
    </row>
    <row r="117" spans="2:13">
      <c r="B117" s="322"/>
      <c r="C117" s="111">
        <f t="shared" si="22"/>
        <v>17</v>
      </c>
      <c r="D117" s="110">
        <v>0.43577322271918473</v>
      </c>
      <c r="E117" s="110">
        <v>0.41631489515708714</v>
      </c>
      <c r="F117" s="110">
        <f t="shared" si="18"/>
        <v>0.24467097903954285</v>
      </c>
      <c r="G117" s="110">
        <f t="shared" si="19"/>
        <v>0.35061874276451999</v>
      </c>
      <c r="H117" s="111">
        <f t="shared" si="20"/>
        <v>3127</v>
      </c>
      <c r="I117" s="134">
        <f t="shared" si="21"/>
        <v>4.0716912322506446E-3</v>
      </c>
      <c r="J117" s="134"/>
      <c r="K117" s="134"/>
      <c r="L117" s="134"/>
      <c r="M117" s="134"/>
    </row>
    <row r="118" spans="2:13">
      <c r="B118" s="322"/>
      <c r="C118" s="111">
        <f t="shared" si="22"/>
        <v>18</v>
      </c>
      <c r="D118" s="110">
        <v>0.43192195627757585</v>
      </c>
      <c r="E118" s="110">
        <v>0.41387243238277382</v>
      </c>
      <c r="F118" s="110">
        <f t="shared" si="18"/>
        <v>0.24324637130145951</v>
      </c>
      <c r="G118" s="110">
        <f t="shared" si="19"/>
        <v>0.34962207603352524</v>
      </c>
      <c r="H118" s="111">
        <f t="shared" si="20"/>
        <v>3175</v>
      </c>
      <c r="I118" s="134">
        <f t="shared" si="21"/>
        <v>3.7135751210632464E-3</v>
      </c>
      <c r="J118" s="134"/>
      <c r="K118" s="134"/>
      <c r="L118" s="134"/>
      <c r="M118" s="134"/>
    </row>
    <row r="119" spans="2:13">
      <c r="B119" s="322"/>
      <c r="C119" s="111">
        <f t="shared" si="22"/>
        <v>19</v>
      </c>
      <c r="D119" s="110">
        <v>0.42374813516260418</v>
      </c>
      <c r="E119" s="110">
        <v>0.40852055993892278</v>
      </c>
      <c r="F119" s="110">
        <f t="shared" si="18"/>
        <v>0.24026257950834348</v>
      </c>
      <c r="G119" s="110">
        <f t="shared" si="19"/>
        <v>0.3474429573906726</v>
      </c>
      <c r="H119" s="111">
        <f t="shared" si="20"/>
        <v>3282</v>
      </c>
      <c r="I119" s="134">
        <f t="shared" si="21"/>
        <v>2.9534721469578846E-3</v>
      </c>
      <c r="J119" s="134"/>
      <c r="K119" s="134"/>
      <c r="L119" s="134"/>
      <c r="M119" s="134"/>
    </row>
    <row r="120" spans="2:13">
      <c r="B120" s="322"/>
      <c r="C120" s="111">
        <f t="shared" si="22"/>
        <v>20</v>
      </c>
      <c r="D120" s="110">
        <v>0.43329271471182457</v>
      </c>
      <c r="E120" s="110">
        <v>0.41472089427182279</v>
      </c>
      <c r="F120" s="110">
        <f t="shared" si="18"/>
        <v>0.24376300150143587</v>
      </c>
      <c r="G120" s="110">
        <f t="shared" si="19"/>
        <v>0.34997222388205201</v>
      </c>
      <c r="H120" s="111">
        <f t="shared" si="20"/>
        <v>3157</v>
      </c>
      <c r="I120" s="134">
        <f t="shared" si="21"/>
        <v>3.8305371676661845E-3</v>
      </c>
      <c r="J120" s="134"/>
      <c r="K120" s="134"/>
      <c r="L120" s="134"/>
      <c r="M120" s="134"/>
    </row>
    <row r="121" spans="2:13">
      <c r="B121" s="322"/>
      <c r="C121" s="111">
        <f t="shared" si="22"/>
        <v>21</v>
      </c>
      <c r="D121" s="110">
        <v>0.43106499748187865</v>
      </c>
      <c r="E121" s="110">
        <v>0.41324189634745651</v>
      </c>
      <c r="F121" s="110">
        <f t="shared" si="18"/>
        <v>0.24296395670904475</v>
      </c>
      <c r="G121" s="110">
        <f t="shared" si="19"/>
        <v>0.3493773101540717</v>
      </c>
      <c r="H121" s="111">
        <f t="shared" si="20"/>
        <v>3185</v>
      </c>
      <c r="I121" s="134">
        <f t="shared" si="21"/>
        <v>3.6019814740573812E-3</v>
      </c>
      <c r="J121" s="134"/>
      <c r="K121" s="134"/>
      <c r="L121" s="134"/>
      <c r="M121" s="134"/>
    </row>
    <row r="122" spans="2:13">
      <c r="B122" s="322"/>
      <c r="C122" s="111">
        <f t="shared" si="22"/>
        <v>22</v>
      </c>
      <c r="D122" s="110">
        <v>0.42522395869362117</v>
      </c>
      <c r="E122" s="110">
        <v>0.40943803000675999</v>
      </c>
      <c r="F122" s="110">
        <f t="shared" si="18"/>
        <v>0.24082429087171073</v>
      </c>
      <c r="G122" s="110">
        <f t="shared" si="19"/>
        <v>0.34782596752738199</v>
      </c>
      <c r="H122" s="111">
        <f t="shared" si="20"/>
        <v>3262</v>
      </c>
      <c r="I122" s="134">
        <f t="shared" si="21"/>
        <v>3.0639640532290867E-3</v>
      </c>
      <c r="J122" s="134"/>
      <c r="K122" s="134"/>
      <c r="L122" s="134"/>
      <c r="M122" s="134"/>
    </row>
    <row r="123" spans="2:13">
      <c r="B123" s="322"/>
      <c r="C123" s="111">
        <f t="shared" si="22"/>
        <v>23</v>
      </c>
      <c r="D123" s="110">
        <v>0.43496244676133888</v>
      </c>
      <c r="E123" s="110">
        <v>0.41573812970092067</v>
      </c>
      <c r="F123" s="110">
        <f t="shared" si="18"/>
        <v>0.24439756202714874</v>
      </c>
      <c r="G123" s="110">
        <f t="shared" si="19"/>
        <v>0.35039364695907343</v>
      </c>
      <c r="H123" s="111">
        <f t="shared" si="20"/>
        <v>3136</v>
      </c>
      <c r="I123" s="134">
        <f t="shared" si="21"/>
        <v>3.9701077522632288E-3</v>
      </c>
      <c r="J123" s="134"/>
      <c r="K123" s="134"/>
      <c r="L123" s="134"/>
      <c r="M123" s="134"/>
    </row>
    <row r="124" spans="2:13">
      <c r="B124" s="322"/>
      <c r="C124" s="111">
        <f t="shared" si="22"/>
        <v>24</v>
      </c>
      <c r="D124" s="110">
        <v>0.41653598601013941</v>
      </c>
      <c r="E124" s="110">
        <v>0.40402043250846498</v>
      </c>
      <c r="F124" s="110">
        <f t="shared" si="18"/>
        <v>0.23750574536721986</v>
      </c>
      <c r="G124" s="110">
        <f t="shared" si="19"/>
        <v>0.34555420367992057</v>
      </c>
      <c r="H124" s="111">
        <f t="shared" si="20"/>
        <v>3387</v>
      </c>
      <c r="I124" s="134">
        <f t="shared" si="21"/>
        <v>2.4559198249394718E-3</v>
      </c>
      <c r="J124" s="134"/>
      <c r="K124" s="134"/>
      <c r="L124" s="134"/>
      <c r="M124" s="134"/>
    </row>
    <row r="125" spans="2:13">
      <c r="B125" s="322"/>
      <c r="C125" s="111">
        <f t="shared" si="22"/>
        <v>25</v>
      </c>
      <c r="D125" s="110">
        <v>0.41783100878755736</v>
      </c>
      <c r="E125" s="110">
        <v>0.40486212385620257</v>
      </c>
      <c r="F125" s="110">
        <f t="shared" si="18"/>
        <v>0.23798937295116027</v>
      </c>
      <c r="G125" s="110">
        <f t="shared" si="19"/>
        <v>0.34590377794531679</v>
      </c>
      <c r="H125" s="111">
        <f t="shared" si="20"/>
        <v>3368</v>
      </c>
      <c r="I125" s="134">
        <f t="shared" si="21"/>
        <v>2.553077262275244E-3</v>
      </c>
      <c r="J125" s="134"/>
      <c r="K125" s="134"/>
      <c r="L125" s="134"/>
      <c r="M125" s="134"/>
    </row>
    <row r="126" spans="2:13">
      <c r="B126" s="322"/>
      <c r="C126" s="111">
        <f t="shared" si="22"/>
        <v>26</v>
      </c>
      <c r="D126" s="110" t="str">
        <v/>
      </c>
      <c r="E126" s="110" t="str">
        <v/>
      </c>
      <c r="F126" s="110">
        <f t="shared" si="18"/>
        <v>0</v>
      </c>
      <c r="G126" s="110">
        <f t="shared" si="19"/>
        <v>0</v>
      </c>
      <c r="H126" s="111" t="str">
        <f t="shared" si="20"/>
        <v/>
      </c>
      <c r="I126" s="134" t="str">
        <f t="shared" si="21"/>
        <v/>
      </c>
      <c r="J126" s="134"/>
      <c r="K126" s="134"/>
      <c r="L126" s="134"/>
      <c r="M126" s="134"/>
    </row>
    <row r="127" spans="2:13">
      <c r="B127" s="322"/>
      <c r="C127" s="111">
        <f t="shared" si="22"/>
        <v>27</v>
      </c>
      <c r="D127" s="110">
        <v>0.43316030963208552</v>
      </c>
      <c r="E127" s="110">
        <v>0.41464649392516301</v>
      </c>
      <c r="F127" s="110">
        <f t="shared" si="18"/>
        <v>0.24371003829208751</v>
      </c>
      <c r="G127" s="110">
        <f t="shared" si="19"/>
        <v>0.34994034771334448</v>
      </c>
      <c r="H127" s="111">
        <f t="shared" si="20"/>
        <v>3159</v>
      </c>
      <c r="I127" s="134">
        <f t="shared" si="21"/>
        <v>3.822090177715687E-3</v>
      </c>
      <c r="J127" s="134"/>
      <c r="K127" s="134"/>
      <c r="L127" s="134"/>
      <c r="M127" s="134"/>
    </row>
    <row r="128" spans="2:13">
      <c r="B128" s="322"/>
      <c r="C128" s="111">
        <f t="shared" si="22"/>
        <v>28</v>
      </c>
      <c r="D128" s="110">
        <v>0.41973778349770702</v>
      </c>
      <c r="E128" s="110">
        <v>0.40606597039031811</v>
      </c>
      <c r="F128" s="110">
        <f t="shared" si="18"/>
        <v>0.23871401703627668</v>
      </c>
      <c r="G128" s="110">
        <f t="shared" si="19"/>
        <v>0.34640783883875498</v>
      </c>
      <c r="H128" s="111">
        <f t="shared" si="20"/>
        <v>3340</v>
      </c>
      <c r="I128" s="134">
        <f t="shared" si="21"/>
        <v>2.6862540029764462E-3</v>
      </c>
      <c r="J128" s="134"/>
      <c r="K128" s="134"/>
      <c r="L128" s="134"/>
      <c r="M128" s="134"/>
    </row>
    <row r="129" spans="2:13">
      <c r="B129" s="322"/>
      <c r="C129" s="111">
        <f t="shared" si="22"/>
        <v>29</v>
      </c>
      <c r="D129" s="110">
        <v>0.4291235367088751</v>
      </c>
      <c r="E129" s="110">
        <v>0.41213194498742528</v>
      </c>
      <c r="F129" s="110">
        <f t="shared" si="18"/>
        <v>0.24219171805993581</v>
      </c>
      <c r="G129" s="110">
        <f t="shared" si="19"/>
        <v>0.3489028285050827</v>
      </c>
      <c r="H129" s="111">
        <f t="shared" si="20"/>
        <v>3211</v>
      </c>
      <c r="I129" s="134">
        <f t="shared" si="21"/>
        <v>3.4797995768510084E-3</v>
      </c>
      <c r="J129" s="134"/>
      <c r="K129" s="134"/>
      <c r="L129" s="134"/>
      <c r="M129" s="134"/>
    </row>
    <row r="130" spans="2:13">
      <c r="B130" s="322"/>
      <c r="C130" s="111">
        <f t="shared" si="22"/>
        <v>30</v>
      </c>
      <c r="D130" s="110">
        <v>0.43361792107979424</v>
      </c>
      <c r="E130" s="110">
        <v>0.41493546675644233</v>
      </c>
      <c r="F130" s="110">
        <f t="shared" si="18"/>
        <v>0.24387994683827041</v>
      </c>
      <c r="G130" s="110">
        <f t="shared" si="19"/>
        <v>0.35005854689497129</v>
      </c>
      <c r="H130" s="111">
        <f t="shared" si="20"/>
        <v>3153</v>
      </c>
      <c r="I130" s="134">
        <f t="shared" si="21"/>
        <v>3.8639006737997057E-3</v>
      </c>
      <c r="J130" s="134"/>
      <c r="K130" s="134"/>
      <c r="L130" s="134"/>
      <c r="M130" s="134"/>
    </row>
    <row r="131" spans="2:13">
      <c r="B131" s="322"/>
      <c r="C131" s="111">
        <f t="shared" si="22"/>
        <v>31</v>
      </c>
      <c r="D131" s="110">
        <v>0.42622627765662408</v>
      </c>
      <c r="E131" s="110">
        <v>0.41023002474133285</v>
      </c>
      <c r="F131" s="110">
        <f t="shared" si="18"/>
        <v>0.2411359127410258</v>
      </c>
      <c r="G131" s="110">
        <f t="shared" si="19"/>
        <v>0.34812913926954431</v>
      </c>
      <c r="H131" s="111">
        <f t="shared" si="20"/>
        <v>3249</v>
      </c>
      <c r="I131" s="134">
        <f t="shared" si="21"/>
        <v>3.2092930094051527E-3</v>
      </c>
      <c r="J131" s="134"/>
      <c r="K131" s="134"/>
      <c r="L131" s="134"/>
      <c r="M131" s="134"/>
    </row>
    <row r="132" spans="2:13">
      <c r="B132" s="323" t="str">
        <f>Calculations!B169</f>
        <v>CWF</v>
      </c>
      <c r="C132" s="111">
        <f>C100</f>
        <v>0</v>
      </c>
      <c r="D132" s="110" t="str">
        <f t="array" ref="D132:E163">TRANSPOSE(Calculations!I179:AN180)</f>
        <v/>
      </c>
      <c r="E132" s="110" t="str">
        <v/>
      </c>
      <c r="F132" s="110">
        <f t="shared" si="18"/>
        <v>0</v>
      </c>
      <c r="G132" s="110">
        <f t="shared" si="19"/>
        <v>0</v>
      </c>
      <c r="H132" s="111" t="str">
        <f t="shared" si="20"/>
        <v/>
      </c>
      <c r="I132" s="134" t="str">
        <f t="shared" si="21"/>
        <v/>
      </c>
      <c r="J132" s="134"/>
      <c r="K132" s="134"/>
      <c r="L132" s="134"/>
      <c r="M132" s="134"/>
    </row>
    <row r="133" spans="2:13">
      <c r="B133" s="323"/>
      <c r="C133" s="111">
        <f t="shared" ref="C133:C195" si="23">C101</f>
        <v>1</v>
      </c>
      <c r="D133" s="110" t="str">
        <v/>
      </c>
      <c r="E133" s="110" t="str">
        <v/>
      </c>
      <c r="F133" s="110">
        <f t="shared" ref="F133:F195" si="24">IF(D133&lt;&gt;"",getUVfromXY(D133,E133,0),0)</f>
        <v>0</v>
      </c>
      <c r="G133" s="110">
        <f t="shared" ref="G133:G195" si="25">IF(D133&lt;&gt;"",getUVfromXY(D133,E133,1),0)</f>
        <v>0</v>
      </c>
      <c r="H133" s="111" t="str">
        <f t="shared" ref="H133:H195" si="26">IF(D133&lt;&gt;"",getCCTfromXY(D133,E133,0),"")</f>
        <v/>
      </c>
      <c r="I133" s="134" t="str">
        <f t="shared" ref="I133:I195" si="27">IF(D133&lt;&gt;"",getCCTfromXY(D133,E133,1),"")</f>
        <v/>
      </c>
      <c r="J133" s="134"/>
      <c r="K133" s="134"/>
      <c r="L133" s="134"/>
      <c r="M133" s="134"/>
    </row>
    <row r="134" spans="2:13">
      <c r="B134" s="323"/>
      <c r="C134" s="111">
        <f t="shared" si="23"/>
        <v>2</v>
      </c>
      <c r="D134" s="110">
        <v>0.39114950473802185</v>
      </c>
      <c r="E134" s="110">
        <v>0.3875330330100008</v>
      </c>
      <c r="F134" s="110">
        <f t="shared" si="24"/>
        <v>0.22780661526359255</v>
      </c>
      <c r="G134" s="110">
        <f t="shared" si="25"/>
        <v>0.3385505573321802</v>
      </c>
      <c r="H134" s="111">
        <f t="shared" si="26"/>
        <v>3827</v>
      </c>
      <c r="I134" s="134">
        <f t="shared" si="27"/>
        <v>1.1444549857268125E-3</v>
      </c>
      <c r="J134" s="134"/>
      <c r="K134" s="134"/>
      <c r="L134" s="134"/>
      <c r="M134" s="134"/>
    </row>
    <row r="135" spans="2:13">
      <c r="B135" s="323"/>
      <c r="C135" s="111">
        <f t="shared" si="23"/>
        <v>3</v>
      </c>
      <c r="D135" s="110">
        <v>0.39786120068528041</v>
      </c>
      <c r="E135" s="110">
        <v>0.39183442947726155</v>
      </c>
      <c r="F135" s="110">
        <f t="shared" si="24"/>
        <v>0.23043408680674005</v>
      </c>
      <c r="G135" s="110">
        <f t="shared" si="25"/>
        <v>0.34041523317872974</v>
      </c>
      <c r="H135" s="111">
        <f t="shared" si="26"/>
        <v>3698</v>
      </c>
      <c r="I135" s="134">
        <f t="shared" si="27"/>
        <v>1.3493913278533149E-3</v>
      </c>
      <c r="J135" s="134"/>
      <c r="K135" s="134"/>
      <c r="L135" s="134"/>
      <c r="M135" s="134"/>
    </row>
    <row r="136" spans="2:13">
      <c r="B136" s="323"/>
      <c r="C136" s="111">
        <f t="shared" si="23"/>
        <v>4</v>
      </c>
      <c r="D136" s="110" t="str">
        <v/>
      </c>
      <c r="E136" s="110" t="str">
        <v/>
      </c>
      <c r="F136" s="110">
        <f t="shared" si="24"/>
        <v>0</v>
      </c>
      <c r="G136" s="110">
        <f t="shared" si="25"/>
        <v>0</v>
      </c>
      <c r="H136" s="111" t="str">
        <f t="shared" si="26"/>
        <v/>
      </c>
      <c r="I136" s="134" t="str">
        <f t="shared" si="27"/>
        <v/>
      </c>
      <c r="J136" s="134"/>
      <c r="K136" s="134"/>
      <c r="L136" s="134"/>
      <c r="M136" s="134"/>
    </row>
    <row r="137" spans="2:13">
      <c r="B137" s="323"/>
      <c r="C137" s="111">
        <f t="shared" si="23"/>
        <v>5</v>
      </c>
      <c r="D137" s="110">
        <v>0.39764128441565805</v>
      </c>
      <c r="E137" s="110">
        <v>0.39174781317774965</v>
      </c>
      <c r="F137" s="110">
        <f t="shared" si="24"/>
        <v>0.23032671083334005</v>
      </c>
      <c r="G137" s="110">
        <f t="shared" si="25"/>
        <v>0.34036953211980869</v>
      </c>
      <c r="H137" s="111">
        <f t="shared" si="26"/>
        <v>3702</v>
      </c>
      <c r="I137" s="134">
        <f t="shared" si="27"/>
        <v>1.3653066658526165E-3</v>
      </c>
      <c r="J137" s="134"/>
      <c r="K137" s="134"/>
      <c r="L137" s="134"/>
      <c r="M137" s="134"/>
    </row>
    <row r="138" spans="2:13">
      <c r="B138" s="323"/>
      <c r="C138" s="111">
        <f t="shared" si="23"/>
        <v>6</v>
      </c>
      <c r="D138" s="110">
        <v>0.39687363924494962</v>
      </c>
      <c r="E138" s="110">
        <v>0.39110816993711406</v>
      </c>
      <c r="F138" s="110">
        <f t="shared" si="24"/>
        <v>0.23008665520796531</v>
      </c>
      <c r="G138" s="110">
        <f t="shared" si="25"/>
        <v>0.34011620480718618</v>
      </c>
      <c r="H138" s="111">
        <f t="shared" si="26"/>
        <v>3715</v>
      </c>
      <c r="I138" s="134">
        <f t="shared" si="27"/>
        <v>1.2720353017869701E-3</v>
      </c>
      <c r="J138" s="134"/>
      <c r="K138" s="134"/>
      <c r="L138" s="134"/>
      <c r="M138" s="134"/>
    </row>
    <row r="139" spans="2:13">
      <c r="B139" s="323"/>
      <c r="C139" s="111">
        <f t="shared" si="23"/>
        <v>7</v>
      </c>
      <c r="D139" s="110" t="str">
        <v/>
      </c>
      <c r="E139" s="110" t="str">
        <v/>
      </c>
      <c r="F139" s="110">
        <f t="shared" si="24"/>
        <v>0</v>
      </c>
      <c r="G139" s="110">
        <f t="shared" si="25"/>
        <v>0</v>
      </c>
      <c r="H139" s="111" t="str">
        <f t="shared" si="26"/>
        <v/>
      </c>
      <c r="I139" s="134" t="str">
        <f t="shared" si="27"/>
        <v/>
      </c>
      <c r="J139" s="134"/>
      <c r="K139" s="134"/>
      <c r="L139" s="134"/>
      <c r="M139" s="134"/>
    </row>
    <row r="140" spans="2:13">
      <c r="B140" s="323"/>
      <c r="C140" s="111">
        <f t="shared" si="23"/>
        <v>8</v>
      </c>
      <c r="D140" s="110">
        <v>0.39764128441565805</v>
      </c>
      <c r="E140" s="110">
        <v>0.39174781317774965</v>
      </c>
      <c r="F140" s="110">
        <f t="shared" si="24"/>
        <v>0.23032671083334005</v>
      </c>
      <c r="G140" s="110">
        <f t="shared" si="25"/>
        <v>0.34036953211980869</v>
      </c>
      <c r="H140" s="111">
        <f t="shared" si="26"/>
        <v>3702</v>
      </c>
      <c r="I140" s="134">
        <f t="shared" si="27"/>
        <v>1.3653066658526165E-3</v>
      </c>
      <c r="J140" s="134"/>
      <c r="K140" s="134"/>
      <c r="L140" s="134"/>
      <c r="M140" s="134"/>
    </row>
    <row r="141" spans="2:13">
      <c r="B141" s="323"/>
      <c r="C141" s="111">
        <f t="shared" si="23"/>
        <v>9</v>
      </c>
      <c r="D141" s="110">
        <v>0.4002958342935104</v>
      </c>
      <c r="E141" s="110">
        <v>0.39343082756364478</v>
      </c>
      <c r="F141" s="110">
        <f t="shared" si="24"/>
        <v>0.23136554150757113</v>
      </c>
      <c r="G141" s="110">
        <f t="shared" si="25"/>
        <v>0.34109649164481787</v>
      </c>
      <c r="H141" s="111">
        <f t="shared" si="26"/>
        <v>3653</v>
      </c>
      <c r="I141" s="134">
        <f t="shared" si="27"/>
        <v>1.4615439938877582E-3</v>
      </c>
      <c r="J141" s="134"/>
      <c r="K141" s="134"/>
      <c r="L141" s="134"/>
      <c r="M141" s="134"/>
    </row>
    <row r="142" spans="2:13">
      <c r="B142" s="323"/>
      <c r="C142" s="111">
        <f t="shared" si="23"/>
        <v>10</v>
      </c>
      <c r="D142" s="110">
        <v>0.40587346654390233</v>
      </c>
      <c r="E142" s="110">
        <v>0.39696215489289699</v>
      </c>
      <c r="F142" s="110">
        <f t="shared" si="24"/>
        <v>0.23353579174892375</v>
      </c>
      <c r="G142" s="110">
        <f t="shared" si="25"/>
        <v>0.34261245971560922</v>
      </c>
      <c r="H142" s="111">
        <f t="shared" si="26"/>
        <v>3555</v>
      </c>
      <c r="I142" s="134">
        <f t="shared" si="27"/>
        <v>1.7053967196494443E-3</v>
      </c>
      <c r="J142" s="134"/>
      <c r="K142" s="134"/>
      <c r="L142" s="134"/>
      <c r="M142" s="134"/>
    </row>
    <row r="143" spans="2:13">
      <c r="B143" s="323"/>
      <c r="C143" s="111">
        <f t="shared" si="23"/>
        <v>11</v>
      </c>
      <c r="D143" s="110">
        <v>0.39736417014605868</v>
      </c>
      <c r="E143" s="110">
        <v>0.39163866885379434</v>
      </c>
      <c r="F143" s="110">
        <f t="shared" si="24"/>
        <v>0.23019138090129321</v>
      </c>
      <c r="G143" s="110">
        <f t="shared" si="25"/>
        <v>0.34031193337585847</v>
      </c>
      <c r="H143" s="111">
        <f t="shared" si="26"/>
        <v>3708</v>
      </c>
      <c r="I143" s="134">
        <f t="shared" si="27"/>
        <v>1.3856237520359603E-3</v>
      </c>
      <c r="J143" s="134"/>
      <c r="K143" s="134"/>
      <c r="L143" s="134"/>
      <c r="M143" s="134"/>
    </row>
    <row r="144" spans="2:13">
      <c r="B144" s="323"/>
      <c r="C144" s="111">
        <f t="shared" si="23"/>
        <v>12</v>
      </c>
      <c r="D144" s="110">
        <v>0.40326567684596087</v>
      </c>
      <c r="E144" s="110">
        <v>0.39538029784859358</v>
      </c>
      <c r="F144" s="110">
        <f t="shared" si="24"/>
        <v>0.23249570715738782</v>
      </c>
      <c r="G144" s="110">
        <f t="shared" si="25"/>
        <v>0.34192429664496538</v>
      </c>
      <c r="H144" s="111">
        <f t="shared" si="26"/>
        <v>3601</v>
      </c>
      <c r="I144" s="134">
        <f t="shared" si="27"/>
        <v>1.6143015187838649E-3</v>
      </c>
      <c r="J144" s="134"/>
      <c r="K144" s="134"/>
      <c r="L144" s="134"/>
      <c r="M144" s="134"/>
    </row>
    <row r="145" spans="2:13">
      <c r="B145" s="323"/>
      <c r="C145" s="111">
        <f t="shared" si="23"/>
        <v>13</v>
      </c>
      <c r="D145" s="110">
        <v>0.40283471758496953</v>
      </c>
      <c r="E145" s="110">
        <v>0.39503572555371774</v>
      </c>
      <c r="F145" s="110">
        <f t="shared" si="24"/>
        <v>0.23235685728384736</v>
      </c>
      <c r="G145" s="110">
        <f t="shared" si="25"/>
        <v>0.34178754597465377</v>
      </c>
      <c r="H145" s="111">
        <f t="shared" si="26"/>
        <v>3608</v>
      </c>
      <c r="I145" s="134">
        <f t="shared" si="27"/>
        <v>1.5641765451951983E-3</v>
      </c>
      <c r="J145" s="134"/>
      <c r="K145" s="134"/>
      <c r="L145" s="134"/>
      <c r="M145" s="134"/>
    </row>
    <row r="146" spans="2:13">
      <c r="B146" s="323"/>
      <c r="C146" s="111">
        <f t="shared" si="23"/>
        <v>14</v>
      </c>
      <c r="D146" s="110">
        <v>0.40699787110191787</v>
      </c>
      <c r="E146" s="110">
        <v>0.39784850279385731</v>
      </c>
      <c r="F146" s="110">
        <f t="shared" si="24"/>
        <v>0.23390056189118888</v>
      </c>
      <c r="G146" s="110">
        <f t="shared" si="25"/>
        <v>0.34296366747241053</v>
      </c>
      <c r="H146" s="111">
        <f t="shared" si="26"/>
        <v>3538</v>
      </c>
      <c r="I146" s="134">
        <f t="shared" si="27"/>
        <v>1.8367946524662714E-3</v>
      </c>
      <c r="J146" s="134"/>
      <c r="K146" s="134"/>
      <c r="L146" s="134"/>
      <c r="M146" s="134"/>
    </row>
    <row r="147" spans="2:13">
      <c r="B147" s="323"/>
      <c r="C147" s="111">
        <f t="shared" si="23"/>
        <v>15</v>
      </c>
      <c r="D147" s="110">
        <v>0.40710976287561274</v>
      </c>
      <c r="E147" s="110">
        <v>0.39782566939989794</v>
      </c>
      <c r="F147" s="110">
        <f t="shared" si="24"/>
        <v>0.23398159987382394</v>
      </c>
      <c r="G147" s="110">
        <f t="shared" si="25"/>
        <v>0.34296851274051993</v>
      </c>
      <c r="H147" s="111">
        <f t="shared" si="26"/>
        <v>3535</v>
      </c>
      <c r="I147" s="134">
        <f t="shared" si="27"/>
        <v>1.8020773146116232E-3</v>
      </c>
      <c r="J147" s="134"/>
      <c r="K147" s="134"/>
      <c r="L147" s="134"/>
      <c r="M147" s="134"/>
    </row>
    <row r="148" spans="2:13">
      <c r="B148" s="323"/>
      <c r="C148" s="111">
        <f t="shared" si="23"/>
        <v>16</v>
      </c>
      <c r="D148" s="110">
        <v>0.40906167499407181</v>
      </c>
      <c r="E148" s="110">
        <v>0.39908327286733025</v>
      </c>
      <c r="F148" s="110">
        <f t="shared" si="24"/>
        <v>0.23472612591544165</v>
      </c>
      <c r="G148" s="110">
        <f t="shared" si="25"/>
        <v>0.34350053898044008</v>
      </c>
      <c r="H148" s="111">
        <f t="shared" si="26"/>
        <v>3503</v>
      </c>
      <c r="I148" s="134">
        <f t="shared" si="27"/>
        <v>1.9144775748069314E-3</v>
      </c>
      <c r="J148" s="134"/>
      <c r="K148" s="134"/>
      <c r="L148" s="134"/>
      <c r="M148" s="134"/>
    </row>
    <row r="149" spans="2:13">
      <c r="B149" s="323"/>
      <c r="C149" s="111">
        <f t="shared" si="23"/>
        <v>17</v>
      </c>
      <c r="D149" s="110">
        <v>0.41293288367998054</v>
      </c>
      <c r="E149" s="110">
        <v>0.40155398986244195</v>
      </c>
      <c r="F149" s="110">
        <f t="shared" si="24"/>
        <v>0.23620520538230161</v>
      </c>
      <c r="G149" s="110">
        <f t="shared" si="25"/>
        <v>0.34454440320517571</v>
      </c>
      <c r="H149" s="111">
        <f t="shared" si="26"/>
        <v>3441</v>
      </c>
      <c r="I149" s="134">
        <f t="shared" si="27"/>
        <v>2.1469692300441811E-3</v>
      </c>
      <c r="J149" s="134"/>
      <c r="K149" s="134"/>
      <c r="L149" s="134"/>
      <c r="M149" s="134"/>
    </row>
    <row r="150" spans="2:13">
      <c r="B150" s="323"/>
      <c r="C150" s="111">
        <f t="shared" si="23"/>
        <v>18</v>
      </c>
      <c r="D150" s="110">
        <v>0.40618309267922587</v>
      </c>
      <c r="E150" s="110">
        <v>0.39725521820298931</v>
      </c>
      <c r="F150" s="110">
        <f t="shared" si="24"/>
        <v>0.23361657641726385</v>
      </c>
      <c r="G150" s="110">
        <f t="shared" si="25"/>
        <v>0.34272255189767281</v>
      </c>
      <c r="H150" s="111">
        <f t="shared" si="26"/>
        <v>3551</v>
      </c>
      <c r="I150" s="134">
        <f t="shared" si="27"/>
        <v>1.7625766766828971E-3</v>
      </c>
      <c r="J150" s="134"/>
      <c r="K150" s="134"/>
      <c r="L150" s="134"/>
      <c r="M150" s="134"/>
    </row>
    <row r="151" spans="2:13">
      <c r="B151" s="323"/>
      <c r="C151" s="111">
        <f t="shared" si="23"/>
        <v>19</v>
      </c>
      <c r="D151" s="110">
        <v>0.39109560563684004</v>
      </c>
      <c r="E151" s="110">
        <v>0.38742699608151648</v>
      </c>
      <c r="F151" s="110">
        <f t="shared" si="24"/>
        <v>0.22781385538356785</v>
      </c>
      <c r="G151" s="110">
        <f t="shared" si="25"/>
        <v>0.3385153261180906</v>
      </c>
      <c r="H151" s="111">
        <f t="shared" si="26"/>
        <v>3828</v>
      </c>
      <c r="I151" s="134">
        <f t="shared" si="27"/>
        <v>1.1108469850514308E-3</v>
      </c>
      <c r="J151" s="134"/>
      <c r="K151" s="134"/>
      <c r="L151" s="134"/>
      <c r="M151" s="134"/>
    </row>
    <row r="152" spans="2:13">
      <c r="B152" s="323"/>
      <c r="C152" s="111">
        <f t="shared" si="23"/>
        <v>20</v>
      </c>
      <c r="D152" s="110">
        <v>0.41293288367998054</v>
      </c>
      <c r="E152" s="110">
        <v>0.40155398986244195</v>
      </c>
      <c r="F152" s="110">
        <f t="shared" si="24"/>
        <v>0.23620520538230161</v>
      </c>
      <c r="G152" s="110">
        <f t="shared" si="25"/>
        <v>0.34454440320517571</v>
      </c>
      <c r="H152" s="111">
        <f t="shared" si="26"/>
        <v>3441</v>
      </c>
      <c r="I152" s="134">
        <f t="shared" si="27"/>
        <v>2.1469692300441811E-3</v>
      </c>
      <c r="J152" s="134"/>
      <c r="K152" s="134"/>
      <c r="L152" s="134"/>
      <c r="M152" s="134"/>
    </row>
    <row r="153" spans="2:13">
      <c r="B153" s="323"/>
      <c r="C153" s="111">
        <f t="shared" si="23"/>
        <v>21</v>
      </c>
      <c r="D153" s="110">
        <v>0.40617473401401988</v>
      </c>
      <c r="E153" s="110">
        <v>0.39715811590183109</v>
      </c>
      <c r="F153" s="110">
        <f t="shared" si="24"/>
        <v>0.23365035433641995</v>
      </c>
      <c r="G153" s="110">
        <f t="shared" si="25"/>
        <v>0.342695372473038</v>
      </c>
      <c r="H153" s="111">
        <f t="shared" si="26"/>
        <v>3550</v>
      </c>
      <c r="I153" s="134">
        <f t="shared" si="27"/>
        <v>1.72246365385233E-3</v>
      </c>
      <c r="J153" s="134"/>
      <c r="K153" s="134"/>
      <c r="L153" s="134"/>
      <c r="M153" s="134"/>
    </row>
    <row r="154" spans="2:13">
      <c r="B154" s="323"/>
      <c r="C154" s="111">
        <f t="shared" si="23"/>
        <v>22</v>
      </c>
      <c r="D154" s="110">
        <v>0.39440352975960263</v>
      </c>
      <c r="E154" s="110">
        <v>0.38954689070497822</v>
      </c>
      <c r="F154" s="110">
        <f t="shared" si="24"/>
        <v>0.22911270803857264</v>
      </c>
      <c r="G154" s="110">
        <f t="shared" si="25"/>
        <v>0.3394371613198669</v>
      </c>
      <c r="H154" s="111">
        <f t="shared" si="26"/>
        <v>3763</v>
      </c>
      <c r="I154" s="134">
        <f t="shared" si="27"/>
        <v>1.2004678651535189E-3</v>
      </c>
      <c r="J154" s="134"/>
      <c r="K154" s="134"/>
      <c r="L154" s="134"/>
      <c r="M154" s="134"/>
    </row>
    <row r="155" spans="2:13">
      <c r="B155" s="323"/>
      <c r="C155" s="111">
        <f t="shared" si="23"/>
        <v>23</v>
      </c>
      <c r="D155" s="110">
        <v>0.40809276216611051</v>
      </c>
      <c r="E155" s="110">
        <v>0.39840570739154907</v>
      </c>
      <c r="F155" s="110">
        <f t="shared" si="24"/>
        <v>0.2343783711356561</v>
      </c>
      <c r="G155" s="110">
        <f t="shared" si="25"/>
        <v>0.34322226246040921</v>
      </c>
      <c r="H155" s="111">
        <f t="shared" si="26"/>
        <v>3518</v>
      </c>
      <c r="I155" s="134">
        <f t="shared" si="27"/>
        <v>1.8349644323299367E-3</v>
      </c>
      <c r="J155" s="134"/>
      <c r="K155" s="134"/>
      <c r="L155" s="134"/>
      <c r="M155" s="134"/>
    </row>
    <row r="156" spans="2:13">
      <c r="B156" s="323"/>
      <c r="C156" s="111">
        <f t="shared" si="23"/>
        <v>24</v>
      </c>
      <c r="D156" s="110">
        <v>0.38680255766160021</v>
      </c>
      <c r="E156" s="110">
        <v>0.38478796574713686</v>
      </c>
      <c r="F156" s="110">
        <f t="shared" si="24"/>
        <v>0.22607306173697608</v>
      </c>
      <c r="G156" s="110">
        <f t="shared" si="25"/>
        <v>0.33734340096622062</v>
      </c>
      <c r="H156" s="111">
        <f t="shared" si="26"/>
        <v>3917</v>
      </c>
      <c r="I156" s="134">
        <f t="shared" si="27"/>
        <v>1.0797206136818574E-3</v>
      </c>
      <c r="J156" s="134"/>
      <c r="K156" s="134"/>
      <c r="L156" s="134"/>
      <c r="M156" s="134"/>
    </row>
    <row r="157" spans="2:13">
      <c r="B157" s="323"/>
      <c r="C157" s="111">
        <f t="shared" si="23"/>
        <v>25</v>
      </c>
      <c r="D157" s="110">
        <v>0.39061584713546488</v>
      </c>
      <c r="E157" s="110">
        <v>0.38729360717151856</v>
      </c>
      <c r="F157" s="110">
        <f t="shared" si="24"/>
        <v>0.22755564159417688</v>
      </c>
      <c r="G157" s="110">
        <f t="shared" si="25"/>
        <v>0.33843037569341516</v>
      </c>
      <c r="H157" s="111">
        <f t="shared" si="26"/>
        <v>3839</v>
      </c>
      <c r="I157" s="134">
        <f t="shared" si="27"/>
        <v>1.1784897155589611E-3</v>
      </c>
      <c r="J157" s="134"/>
      <c r="K157" s="134"/>
      <c r="L157" s="134"/>
      <c r="M157" s="134"/>
    </row>
    <row r="158" spans="2:13">
      <c r="B158" s="323"/>
      <c r="C158" s="111">
        <f t="shared" si="23"/>
        <v>26</v>
      </c>
      <c r="D158" s="110" t="str">
        <v/>
      </c>
      <c r="E158" s="110" t="str">
        <v/>
      </c>
      <c r="F158" s="110">
        <f t="shared" si="24"/>
        <v>0</v>
      </c>
      <c r="G158" s="110">
        <f t="shared" si="25"/>
        <v>0</v>
      </c>
      <c r="H158" s="111" t="str">
        <f t="shared" si="26"/>
        <v/>
      </c>
      <c r="I158" s="134" t="str">
        <f t="shared" si="27"/>
        <v/>
      </c>
      <c r="J158" s="134"/>
      <c r="K158" s="134"/>
      <c r="L158" s="134"/>
      <c r="M158" s="134"/>
    </row>
    <row r="159" spans="2:13">
      <c r="B159" s="323"/>
      <c r="C159" s="111">
        <f t="shared" si="23"/>
        <v>27</v>
      </c>
      <c r="D159" s="110">
        <v>0.40360534592326125</v>
      </c>
      <c r="E159" s="110">
        <v>0.39560088634158053</v>
      </c>
      <c r="F159" s="110">
        <f t="shared" si="24"/>
        <v>0.23262556147858091</v>
      </c>
      <c r="G159" s="110">
        <f t="shared" si="25"/>
        <v>0.34201806010319225</v>
      </c>
      <c r="H159" s="111">
        <f t="shared" si="26"/>
        <v>3595</v>
      </c>
      <c r="I159" s="134">
        <f t="shared" si="27"/>
        <v>1.6317605198158838E-3</v>
      </c>
      <c r="J159" s="134"/>
      <c r="K159" s="134"/>
      <c r="L159" s="134"/>
      <c r="M159" s="134"/>
    </row>
    <row r="160" spans="2:13">
      <c r="B160" s="323"/>
      <c r="C160" s="111">
        <f t="shared" si="23"/>
        <v>28</v>
      </c>
      <c r="D160" s="110">
        <v>0.3908982415246442</v>
      </c>
      <c r="E160" s="110">
        <v>0.38747670628459574</v>
      </c>
      <c r="F160" s="110">
        <f t="shared" si="24"/>
        <v>0.22766602656590421</v>
      </c>
      <c r="G160" s="110">
        <f t="shared" si="25"/>
        <v>0.33850989619160116</v>
      </c>
      <c r="H160" s="111">
        <f t="shared" si="26"/>
        <v>3833</v>
      </c>
      <c r="I160" s="134">
        <f t="shared" si="27"/>
        <v>1.1858845105494381E-3</v>
      </c>
      <c r="J160" s="134"/>
      <c r="K160" s="134"/>
      <c r="L160" s="134"/>
      <c r="M160" s="134"/>
    </row>
    <row r="161" spans="2:13">
      <c r="B161" s="323"/>
      <c r="C161" s="111">
        <f t="shared" si="23"/>
        <v>29</v>
      </c>
      <c r="D161" s="110">
        <v>0.40007054907586626</v>
      </c>
      <c r="E161" s="110">
        <v>0.39344216787800468</v>
      </c>
      <c r="F161" s="110">
        <f t="shared" si="24"/>
        <v>0.231215729669315</v>
      </c>
      <c r="G161" s="110">
        <f t="shared" si="25"/>
        <v>0.34107741049193979</v>
      </c>
      <c r="H161" s="111">
        <f t="shared" si="26"/>
        <v>3659</v>
      </c>
      <c r="I161" s="134">
        <f t="shared" si="27"/>
        <v>1.5208117373107391E-3</v>
      </c>
      <c r="J161" s="134"/>
      <c r="K161" s="134"/>
      <c r="L161" s="134"/>
      <c r="M161" s="134"/>
    </row>
    <row r="162" spans="2:13">
      <c r="B162" s="323"/>
      <c r="C162" s="111">
        <f t="shared" si="23"/>
        <v>30</v>
      </c>
      <c r="D162" s="110">
        <v>0.41080648423546506</v>
      </c>
      <c r="E162" s="110">
        <v>0.40012718902786376</v>
      </c>
      <c r="F162" s="110">
        <f t="shared" si="24"/>
        <v>0.2354221129041833</v>
      </c>
      <c r="G162" s="110">
        <f t="shared" si="25"/>
        <v>0.34395314540857613</v>
      </c>
      <c r="H162" s="111">
        <f t="shared" si="26"/>
        <v>3474</v>
      </c>
      <c r="I162" s="134">
        <f t="shared" si="27"/>
        <v>1.9863717396509648E-3</v>
      </c>
      <c r="J162" s="134"/>
      <c r="K162" s="134"/>
      <c r="L162" s="134"/>
      <c r="M162" s="134"/>
    </row>
    <row r="163" spans="2:13">
      <c r="B163" s="323"/>
      <c r="C163" s="111">
        <f t="shared" si="23"/>
        <v>31</v>
      </c>
      <c r="D163" s="110">
        <v>0.40003016029821009</v>
      </c>
      <c r="E163" s="110">
        <v>0.39332641460840906</v>
      </c>
      <c r="F163" s="110">
        <f t="shared" si="24"/>
        <v>0.2312360965028073</v>
      </c>
      <c r="G163" s="110">
        <f t="shared" si="25"/>
        <v>0.34104152808512705</v>
      </c>
      <c r="H163" s="111">
        <f t="shared" si="26"/>
        <v>3659</v>
      </c>
      <c r="I163" s="134">
        <f t="shared" si="27"/>
        <v>1.4795527863700484E-3</v>
      </c>
      <c r="J163" s="134"/>
      <c r="K163" s="134"/>
      <c r="L163" s="134"/>
      <c r="M163" s="134"/>
    </row>
    <row r="164" spans="2:13">
      <c r="B164" s="324" t="str">
        <f>Calculations!B191</f>
        <v>D65</v>
      </c>
      <c r="C164" s="111">
        <f>C132</f>
        <v>0</v>
      </c>
      <c r="D164" s="110" t="str">
        <f t="array" ref="D164:E195">TRANSPOSE(Calculations!I201:AN202)</f>
        <v/>
      </c>
      <c r="E164" s="110" t="str">
        <v/>
      </c>
      <c r="F164" s="110">
        <f t="shared" si="24"/>
        <v>0</v>
      </c>
      <c r="G164" s="110">
        <f t="shared" si="25"/>
        <v>0</v>
      </c>
      <c r="H164" s="111" t="str">
        <f t="shared" si="26"/>
        <v/>
      </c>
      <c r="I164" s="134" t="str">
        <f t="shared" si="27"/>
        <v/>
      </c>
      <c r="J164" s="134"/>
      <c r="K164" s="134"/>
      <c r="L164" s="134"/>
      <c r="M164" s="134"/>
    </row>
    <row r="165" spans="2:13">
      <c r="B165" s="324"/>
      <c r="C165" s="111">
        <f t="shared" si="23"/>
        <v>1</v>
      </c>
      <c r="D165" s="110" t="str">
        <v/>
      </c>
      <c r="E165" s="110" t="str">
        <v/>
      </c>
      <c r="F165" s="110">
        <f t="shared" si="24"/>
        <v>0</v>
      </c>
      <c r="G165" s="110">
        <f t="shared" si="25"/>
        <v>0</v>
      </c>
      <c r="H165" s="111" t="str">
        <f t="shared" si="26"/>
        <v/>
      </c>
      <c r="I165" s="134" t="str">
        <f t="shared" si="27"/>
        <v/>
      </c>
      <c r="J165" s="134"/>
      <c r="K165" s="134"/>
      <c r="L165" s="134"/>
      <c r="M165" s="134"/>
    </row>
    <row r="166" spans="2:13">
      <c r="B166" s="324"/>
      <c r="C166" s="111">
        <f t="shared" si="23"/>
        <v>2</v>
      </c>
      <c r="D166" s="110">
        <v>0.24084421275519097</v>
      </c>
      <c r="E166" s="110">
        <v>0.28575183360154149</v>
      </c>
      <c r="F166" s="110">
        <f t="shared" si="24"/>
        <v>0.16198466731910033</v>
      </c>
      <c r="G166" s="110">
        <f t="shared" si="25"/>
        <v>0.28828229982518627</v>
      </c>
      <c r="H166" s="111">
        <f t="shared" si="26"/>
        <v>-15000</v>
      </c>
      <c r="I166" s="134">
        <f t="shared" si="27"/>
        <v>2.4139577617711426E-2</v>
      </c>
      <c r="J166" s="134"/>
      <c r="K166" s="134"/>
      <c r="L166" s="134"/>
      <c r="M166" s="134"/>
    </row>
    <row r="167" spans="2:13">
      <c r="B167" s="324"/>
      <c r="C167" s="111">
        <f t="shared" si="23"/>
        <v>3</v>
      </c>
      <c r="D167" s="110">
        <v>0.26646018969786323</v>
      </c>
      <c r="E167" s="110">
        <v>0.30259750968382537</v>
      </c>
      <c r="F167" s="110">
        <f t="shared" si="24"/>
        <v>0.17477814205571779</v>
      </c>
      <c r="G167" s="110">
        <f t="shared" si="25"/>
        <v>0.29772231975737901</v>
      </c>
      <c r="H167" s="111">
        <f t="shared" si="26"/>
        <v>11079</v>
      </c>
      <c r="I167" s="134">
        <f t="shared" si="27"/>
        <v>1.5288980120128996E-2</v>
      </c>
      <c r="J167" s="134"/>
      <c r="K167" s="134"/>
      <c r="L167" s="134"/>
      <c r="M167" s="134"/>
    </row>
    <row r="168" spans="2:13">
      <c r="B168" s="324"/>
      <c r="C168" s="111">
        <f t="shared" si="23"/>
        <v>4</v>
      </c>
      <c r="D168" s="110" t="str">
        <v/>
      </c>
      <c r="E168" s="110" t="str">
        <v/>
      </c>
      <c r="F168" s="110">
        <f t="shared" si="24"/>
        <v>0</v>
      </c>
      <c r="G168" s="110">
        <f t="shared" si="25"/>
        <v>0</v>
      </c>
      <c r="H168" s="111" t="str">
        <f t="shared" si="26"/>
        <v/>
      </c>
      <c r="I168" s="134" t="str">
        <f t="shared" si="27"/>
        <v/>
      </c>
      <c r="J168" s="134"/>
      <c r="K168" s="134"/>
      <c r="L168" s="134"/>
      <c r="M168" s="134"/>
    </row>
    <row r="169" spans="2:13">
      <c r="B169" s="324"/>
      <c r="C169" s="111">
        <f t="shared" si="23"/>
        <v>5</v>
      </c>
      <c r="D169" s="110">
        <v>0.31907508050096073</v>
      </c>
      <c r="E169" s="110">
        <v>0.33731171477153782</v>
      </c>
      <c r="F169" s="110">
        <f t="shared" si="24"/>
        <v>0.19912353818533937</v>
      </c>
      <c r="G169" s="110">
        <f t="shared" si="25"/>
        <v>0.31575657057526174</v>
      </c>
      <c r="H169" s="111">
        <f t="shared" si="26"/>
        <v>6231</v>
      </c>
      <c r="I169" s="134">
        <f t="shared" si="27"/>
        <v>3.6028308442960324E-3</v>
      </c>
      <c r="J169" s="134"/>
      <c r="K169" s="134"/>
      <c r="L169" s="134"/>
      <c r="M169" s="134"/>
    </row>
    <row r="170" spans="2:13">
      <c r="B170" s="324"/>
      <c r="C170" s="111">
        <f t="shared" si="23"/>
        <v>6</v>
      </c>
      <c r="D170" s="110">
        <v>0.29565721289627156</v>
      </c>
      <c r="E170" s="110">
        <v>0.32152245518376521</v>
      </c>
      <c r="F170" s="110">
        <f t="shared" si="24"/>
        <v>0.18870868623018752</v>
      </c>
      <c r="G170" s="110">
        <f t="shared" si="25"/>
        <v>0.30782648349857572</v>
      </c>
      <c r="H170" s="111">
        <f t="shared" si="26"/>
        <v>7798</v>
      </c>
      <c r="I170" s="134">
        <f t="shared" si="27"/>
        <v>7.6472081278604167E-3</v>
      </c>
      <c r="J170" s="134"/>
      <c r="K170" s="134"/>
      <c r="L170" s="134"/>
      <c r="M170" s="134"/>
    </row>
    <row r="171" spans="2:13">
      <c r="B171" s="324"/>
      <c r="C171" s="111">
        <f t="shared" si="23"/>
        <v>7</v>
      </c>
      <c r="D171" s="110" t="str">
        <v/>
      </c>
      <c r="E171" s="110" t="str">
        <v/>
      </c>
      <c r="F171" s="110">
        <f t="shared" si="24"/>
        <v>0</v>
      </c>
      <c r="G171" s="110">
        <f t="shared" si="25"/>
        <v>0</v>
      </c>
      <c r="H171" s="111" t="str">
        <f t="shared" si="26"/>
        <v/>
      </c>
      <c r="I171" s="134" t="str">
        <f t="shared" si="27"/>
        <v/>
      </c>
      <c r="J171" s="134"/>
      <c r="K171" s="134"/>
      <c r="L171" s="134"/>
      <c r="M171" s="134"/>
    </row>
    <row r="172" spans="2:13">
      <c r="B172" s="324"/>
      <c r="C172" s="111">
        <f t="shared" si="23"/>
        <v>8</v>
      </c>
      <c r="D172" s="110">
        <v>0.30145302100638677</v>
      </c>
      <c r="E172" s="110">
        <v>0.32512222568081245</v>
      </c>
      <c r="F172" s="110">
        <f t="shared" si="24"/>
        <v>0.19144248153463689</v>
      </c>
      <c r="G172" s="110">
        <f t="shared" si="25"/>
        <v>0.3097109732651192</v>
      </c>
      <c r="H172" s="111">
        <f t="shared" si="26"/>
        <v>7352</v>
      </c>
      <c r="I172" s="134">
        <f t="shared" si="27"/>
        <v>6.3448038489756324E-3</v>
      </c>
      <c r="J172" s="134"/>
      <c r="K172" s="134"/>
      <c r="L172" s="134"/>
      <c r="M172" s="134"/>
    </row>
    <row r="173" spans="2:13">
      <c r="B173" s="324"/>
      <c r="C173" s="111">
        <f t="shared" si="23"/>
        <v>9</v>
      </c>
      <c r="D173" s="110">
        <v>0.31749672474443413</v>
      </c>
      <c r="E173" s="110">
        <v>0.33587747260862522</v>
      </c>
      <c r="F173" s="110">
        <f t="shared" si="24"/>
        <v>0.19857395141410011</v>
      </c>
      <c r="G173" s="110">
        <f t="shared" si="25"/>
        <v>0.31510490532097263</v>
      </c>
      <c r="H173" s="111">
        <f t="shared" si="26"/>
        <v>6320</v>
      </c>
      <c r="I173" s="134">
        <f t="shared" si="27"/>
        <v>3.6389234609448757E-3</v>
      </c>
      <c r="J173" s="134"/>
      <c r="K173" s="134"/>
      <c r="L173" s="134"/>
      <c r="M173" s="134"/>
    </row>
    <row r="174" spans="2:13">
      <c r="B174" s="324"/>
      <c r="C174" s="111">
        <f t="shared" si="23"/>
        <v>10</v>
      </c>
      <c r="D174" s="110">
        <v>0.35416350529710289</v>
      </c>
      <c r="E174" s="110">
        <v>0.35962009987235588</v>
      </c>
      <c r="F174" s="110">
        <f t="shared" si="24"/>
        <v>0.2144134308724942</v>
      </c>
      <c r="G174" s="110">
        <f t="shared" si="25"/>
        <v>0.3265753455864539</v>
      </c>
      <c r="H174" s="111">
        <f t="shared" si="26"/>
        <v>4751</v>
      </c>
      <c r="I174" s="134">
        <f t="shared" si="27"/>
        <v>-2.6019216970721211E-4</v>
      </c>
      <c r="J174" s="134"/>
      <c r="K174" s="134"/>
      <c r="L174" s="134"/>
      <c r="M174" s="134"/>
    </row>
    <row r="175" spans="2:13">
      <c r="B175" s="324"/>
      <c r="C175" s="111">
        <f t="shared" si="23"/>
        <v>11</v>
      </c>
      <c r="D175" s="110">
        <v>0.33199996562511463</v>
      </c>
      <c r="E175" s="110">
        <v>0.34509758513280792</v>
      </c>
      <c r="F175" s="110">
        <f t="shared" si="24"/>
        <v>0.20502775733071435</v>
      </c>
      <c r="G175" s="110">
        <f t="shared" si="25"/>
        <v>0.31967435812893591</v>
      </c>
      <c r="H175" s="111">
        <f t="shared" si="26"/>
        <v>5596</v>
      </c>
      <c r="I175" s="134">
        <f t="shared" si="27"/>
        <v>1.5660315406159115E-3</v>
      </c>
      <c r="J175" s="134"/>
      <c r="K175" s="134"/>
      <c r="L175" s="134"/>
      <c r="M175" s="134"/>
    </row>
    <row r="176" spans="2:13">
      <c r="B176" s="324"/>
      <c r="C176" s="111">
        <f t="shared" si="23"/>
        <v>12</v>
      </c>
      <c r="D176" s="110">
        <v>0.35796989517903993</v>
      </c>
      <c r="E176" s="110">
        <v>0.36205505457159581</v>
      </c>
      <c r="F176" s="110">
        <f t="shared" si="24"/>
        <v>0.21601144624814947</v>
      </c>
      <c r="G176" s="110">
        <f t="shared" si="25"/>
        <v>0.32771485959879554</v>
      </c>
      <c r="H176" s="111">
        <f t="shared" si="26"/>
        <v>4630</v>
      </c>
      <c r="I176" s="134">
        <f t="shared" si="27"/>
        <v>-4.7090748955378505E-4</v>
      </c>
      <c r="J176" s="134"/>
      <c r="K176" s="134"/>
      <c r="L176" s="134"/>
      <c r="M176" s="134"/>
    </row>
    <row r="177" spans="2:13">
      <c r="B177" s="324"/>
      <c r="C177" s="111">
        <f t="shared" si="23"/>
        <v>13</v>
      </c>
      <c r="D177" s="110">
        <v>0.34711328749100773</v>
      </c>
      <c r="E177" s="110">
        <v>0.35522551128688168</v>
      </c>
      <c r="F177" s="110">
        <f t="shared" si="24"/>
        <v>0.21138120887547926</v>
      </c>
      <c r="G177" s="110">
        <f t="shared" si="25"/>
        <v>0.32448195173676464</v>
      </c>
      <c r="H177" s="111">
        <f t="shared" si="26"/>
        <v>4992</v>
      </c>
      <c r="I177" s="134">
        <f t="shared" si="27"/>
        <v>2.8926696049187071E-4</v>
      </c>
      <c r="J177" s="134"/>
      <c r="K177" s="134"/>
      <c r="L177" s="134"/>
      <c r="M177" s="134"/>
    </row>
    <row r="178" spans="2:13">
      <c r="B178" s="324"/>
      <c r="C178" s="111">
        <f t="shared" si="23"/>
        <v>14</v>
      </c>
      <c r="D178" s="110">
        <v>0.343462972802975</v>
      </c>
      <c r="E178" s="110">
        <v>0.35282557775603418</v>
      </c>
      <c r="F178" s="110">
        <f t="shared" si="24"/>
        <v>0.20984510171054443</v>
      </c>
      <c r="G178" s="110">
        <f t="shared" si="25"/>
        <v>0.32334803943816248</v>
      </c>
      <c r="H178" s="111">
        <f t="shared" si="26"/>
        <v>5126</v>
      </c>
      <c r="I178" s="134">
        <f t="shared" si="27"/>
        <v>5.6409575616025672E-4</v>
      </c>
      <c r="J178" s="134"/>
      <c r="K178" s="134"/>
      <c r="L178" s="134"/>
      <c r="M178" s="134"/>
    </row>
    <row r="179" spans="2:13">
      <c r="B179" s="324"/>
      <c r="C179" s="111">
        <f t="shared" si="23"/>
        <v>15</v>
      </c>
      <c r="D179" s="110">
        <v>0.38197480422588409</v>
      </c>
      <c r="E179" s="110">
        <v>0.37813052955485843</v>
      </c>
      <c r="F179" s="110">
        <f t="shared" si="24"/>
        <v>0.22556623354269556</v>
      </c>
      <c r="G179" s="110">
        <f t="shared" si="25"/>
        <v>0.33494413137556833</v>
      </c>
      <c r="H179" s="111">
        <f t="shared" si="26"/>
        <v>3996</v>
      </c>
      <c r="I179" s="134">
        <f t="shared" si="27"/>
        <v>-6.2262780485221087E-4</v>
      </c>
      <c r="J179" s="134"/>
      <c r="K179" s="134"/>
      <c r="L179" s="134"/>
      <c r="M179" s="134"/>
    </row>
    <row r="180" spans="2:13">
      <c r="B180" s="324"/>
      <c r="C180" s="111">
        <f t="shared" si="23"/>
        <v>16</v>
      </c>
      <c r="D180" s="110">
        <v>0.318142921446049</v>
      </c>
      <c r="E180" s="110">
        <v>0.33617294897818845</v>
      </c>
      <c r="F180" s="110">
        <f t="shared" si="24"/>
        <v>0.1989080254772268</v>
      </c>
      <c r="G180" s="110">
        <f t="shared" si="25"/>
        <v>0.31527102911567106</v>
      </c>
      <c r="H180" s="111">
        <f t="shared" si="26"/>
        <v>6285</v>
      </c>
      <c r="I180" s="134">
        <f t="shared" si="27"/>
        <v>3.4754910774440866E-3</v>
      </c>
      <c r="J180" s="134"/>
      <c r="K180" s="134"/>
      <c r="L180" s="134"/>
      <c r="M180" s="134"/>
    </row>
    <row r="181" spans="2:13">
      <c r="B181" s="324"/>
      <c r="C181" s="111">
        <f t="shared" si="23"/>
        <v>17</v>
      </c>
      <c r="D181" s="110">
        <v>0.29804050793478176</v>
      </c>
      <c r="E181" s="110">
        <v>0.32340992998663598</v>
      </c>
      <c r="F181" s="110">
        <f t="shared" si="24"/>
        <v>0.18968858138103942</v>
      </c>
      <c r="G181" s="110">
        <f t="shared" si="25"/>
        <v>0.30875251445919455</v>
      </c>
      <c r="H181" s="111">
        <f t="shared" si="26"/>
        <v>7602</v>
      </c>
      <c r="I181" s="134">
        <f t="shared" si="27"/>
        <v>7.3042768991438316E-3</v>
      </c>
      <c r="J181" s="134"/>
      <c r="K181" s="134"/>
      <c r="L181" s="134"/>
      <c r="M181" s="134"/>
    </row>
    <row r="182" spans="2:13">
      <c r="B182" s="324"/>
      <c r="C182" s="111">
        <f t="shared" si="23"/>
        <v>18</v>
      </c>
      <c r="D182" s="110">
        <v>0.30631377670805909</v>
      </c>
      <c r="E182" s="110">
        <v>0.32896679373302079</v>
      </c>
      <c r="F182" s="110">
        <f t="shared" si="24"/>
        <v>0.19341122984366477</v>
      </c>
      <c r="G182" s="110">
        <f t="shared" si="25"/>
        <v>0.31157203980873094</v>
      </c>
      <c r="H182" s="111">
        <f t="shared" si="26"/>
        <v>7001</v>
      </c>
      <c r="I182" s="134">
        <f t="shared" si="27"/>
        <v>5.7429053419671494E-3</v>
      </c>
      <c r="J182" s="134"/>
      <c r="K182" s="134"/>
      <c r="L182" s="134"/>
      <c r="M182" s="134"/>
    </row>
    <row r="183" spans="2:13">
      <c r="B183" s="324"/>
      <c r="C183" s="111">
        <f t="shared" si="23"/>
        <v>19</v>
      </c>
      <c r="D183" s="110">
        <v>0.25680116088341165</v>
      </c>
      <c r="E183" s="110">
        <v>0.29646648481862187</v>
      </c>
      <c r="F183" s="110">
        <f t="shared" si="24"/>
        <v>0.16995456800122349</v>
      </c>
      <c r="G183" s="110">
        <f t="shared" si="25"/>
        <v>0.29430844382202065</v>
      </c>
      <c r="H183" s="111">
        <f t="shared" si="26"/>
        <v>12749</v>
      </c>
      <c r="I183" s="134">
        <f t="shared" si="27"/>
        <v>1.8429021377270483E-2</v>
      </c>
      <c r="J183" s="134"/>
      <c r="K183" s="134"/>
      <c r="L183" s="134"/>
      <c r="M183" s="134"/>
    </row>
    <row r="184" spans="2:13">
      <c r="B184" s="324"/>
      <c r="C184" s="111">
        <f t="shared" si="23"/>
        <v>20</v>
      </c>
      <c r="D184" s="110">
        <v>0.32638023806552857</v>
      </c>
      <c r="E184" s="110">
        <v>0.34158399153448671</v>
      </c>
      <c r="F184" s="110">
        <f t="shared" si="24"/>
        <v>0.20252417674030196</v>
      </c>
      <c r="G184" s="110">
        <f t="shared" si="25"/>
        <v>0.31793752472522036</v>
      </c>
      <c r="H184" s="111">
        <f t="shared" si="26"/>
        <v>5858</v>
      </c>
      <c r="I184" s="134">
        <f t="shared" si="27"/>
        <v>2.3289938362263092E-3</v>
      </c>
      <c r="J184" s="134"/>
      <c r="K184" s="134"/>
      <c r="L184" s="134"/>
      <c r="M184" s="134"/>
    </row>
    <row r="185" spans="2:13">
      <c r="B185" s="324"/>
      <c r="C185" s="111">
        <f t="shared" si="23"/>
        <v>21</v>
      </c>
      <c r="D185" s="110">
        <v>0.33718177599189803</v>
      </c>
      <c r="E185" s="110">
        <v>0.34860946982261959</v>
      </c>
      <c r="F185" s="110">
        <f t="shared" si="24"/>
        <v>0.20721116096616424</v>
      </c>
      <c r="G185" s="110">
        <f t="shared" si="25"/>
        <v>0.32135087707474314</v>
      </c>
      <c r="H185" s="111">
        <f t="shared" si="26"/>
        <v>5374</v>
      </c>
      <c r="I185" s="134">
        <f t="shared" si="27"/>
        <v>1.0779290039357977E-3</v>
      </c>
      <c r="J185" s="134"/>
      <c r="K185" s="134"/>
      <c r="L185" s="134"/>
      <c r="M185" s="134"/>
    </row>
    <row r="186" spans="2:13">
      <c r="B186" s="324"/>
      <c r="C186" s="111">
        <f t="shared" si="23"/>
        <v>22</v>
      </c>
      <c r="D186" s="110">
        <v>0.25099392366004586</v>
      </c>
      <c r="E186" s="110">
        <v>0.29227457884246422</v>
      </c>
      <c r="F186" s="110">
        <f t="shared" si="24"/>
        <v>0.16718140773226403</v>
      </c>
      <c r="G186" s="110">
        <f t="shared" si="25"/>
        <v>0.29201628562980186</v>
      </c>
      <c r="H186" s="111">
        <f t="shared" si="26"/>
        <v>14044</v>
      </c>
      <c r="I186" s="134">
        <f t="shared" si="27"/>
        <v>2.0219913341889301E-2</v>
      </c>
      <c r="J186" s="134"/>
      <c r="K186" s="134"/>
      <c r="L186" s="134"/>
      <c r="M186" s="134"/>
    </row>
    <row r="187" spans="2:13">
      <c r="B187" s="324"/>
      <c r="C187" s="111">
        <f t="shared" si="23"/>
        <v>23</v>
      </c>
      <c r="D187" s="110">
        <v>0.28973326977167585</v>
      </c>
      <c r="E187" s="110">
        <v>0.31795944679084692</v>
      </c>
      <c r="F187" s="110">
        <f t="shared" si="24"/>
        <v>0.1858441913886881</v>
      </c>
      <c r="G187" s="110">
        <f t="shared" si="25"/>
        <v>0.30592404695087028</v>
      </c>
      <c r="H187" s="111">
        <f t="shared" si="26"/>
        <v>8305</v>
      </c>
      <c r="I187" s="134">
        <f t="shared" si="27"/>
        <v>9.1349412504145699E-3</v>
      </c>
      <c r="J187" s="134"/>
      <c r="K187" s="134"/>
      <c r="L187" s="134"/>
      <c r="M187" s="134"/>
    </row>
    <row r="188" spans="2:13">
      <c r="B188" s="324"/>
      <c r="C188" s="111">
        <f t="shared" si="23"/>
        <v>24</v>
      </c>
      <c r="D188" s="110">
        <v>0.24517983422452339</v>
      </c>
      <c r="E188" s="110">
        <v>0.28823450760056246</v>
      </c>
      <c r="F188" s="110">
        <f t="shared" si="24"/>
        <v>0.16431713596716313</v>
      </c>
      <c r="G188" s="110">
        <f t="shared" si="25"/>
        <v>0.28975793783548881</v>
      </c>
      <c r="H188" s="111">
        <f t="shared" si="26"/>
        <v>-15000</v>
      </c>
      <c r="I188" s="134">
        <f t="shared" si="27"/>
        <v>2.2214552967635949E-2</v>
      </c>
      <c r="J188" s="134"/>
      <c r="K188" s="134"/>
      <c r="L188" s="134"/>
      <c r="M188" s="134"/>
    </row>
    <row r="189" spans="2:13">
      <c r="B189" s="324"/>
      <c r="C189" s="111">
        <f t="shared" si="23"/>
        <v>25</v>
      </c>
      <c r="D189" s="110">
        <v>0.22152718079608394</v>
      </c>
      <c r="E189" s="110">
        <v>0.27205739335386631</v>
      </c>
      <c r="F189" s="110">
        <f t="shared" si="24"/>
        <v>0.15220961479091849</v>
      </c>
      <c r="G189" s="110">
        <f t="shared" si="25"/>
        <v>0.28039280029612557</v>
      </c>
      <c r="H189" s="111">
        <f t="shared" si="26"/>
        <v>-15000</v>
      </c>
      <c r="I189" s="134">
        <f t="shared" si="27"/>
        <v>3.3624526199206445E-2</v>
      </c>
      <c r="J189" s="134"/>
      <c r="K189" s="134"/>
      <c r="L189" s="134"/>
      <c r="M189" s="134"/>
    </row>
    <row r="190" spans="2:13">
      <c r="B190" s="324"/>
      <c r="C190" s="111">
        <f t="shared" si="23"/>
        <v>26</v>
      </c>
      <c r="D190" s="110" t="str">
        <v/>
      </c>
      <c r="E190" s="110" t="str">
        <v/>
      </c>
      <c r="F190" s="110">
        <f t="shared" si="24"/>
        <v>0</v>
      </c>
      <c r="G190" s="110">
        <f t="shared" si="25"/>
        <v>0</v>
      </c>
      <c r="H190" s="111" t="str">
        <f t="shared" si="26"/>
        <v/>
      </c>
      <c r="I190" s="134" t="str">
        <f t="shared" si="27"/>
        <v/>
      </c>
      <c r="J190" s="134"/>
      <c r="K190" s="134"/>
      <c r="L190" s="134"/>
      <c r="M190" s="134"/>
    </row>
    <row r="191" spans="2:13">
      <c r="B191" s="324"/>
      <c r="C191" s="111">
        <f t="shared" si="23"/>
        <v>27</v>
      </c>
      <c r="D191" s="110">
        <v>0.35769180431950898</v>
      </c>
      <c r="E191" s="110">
        <v>0.36208116277318969</v>
      </c>
      <c r="F191" s="110">
        <f t="shared" si="24"/>
        <v>0.2158153283837464</v>
      </c>
      <c r="G191" s="110">
        <f t="shared" si="25"/>
        <v>0.32769550812379067</v>
      </c>
      <c r="H191" s="111">
        <f t="shared" si="26"/>
        <v>4639</v>
      </c>
      <c r="I191" s="134">
        <f t="shared" si="27"/>
        <v>-3.5634729040724087E-4</v>
      </c>
      <c r="J191" s="134"/>
      <c r="K191" s="134"/>
      <c r="L191" s="134"/>
      <c r="M191" s="134"/>
    </row>
    <row r="192" spans="2:13">
      <c r="B192" s="324"/>
      <c r="C192" s="111">
        <f t="shared" si="23"/>
        <v>28</v>
      </c>
      <c r="D192" s="110">
        <v>0.25676895278276218</v>
      </c>
      <c r="E192" s="110">
        <v>0.29578505392806664</v>
      </c>
      <c r="F192" s="110">
        <f t="shared" si="24"/>
        <v>0.17016165739225045</v>
      </c>
      <c r="G192" s="110">
        <f t="shared" si="25"/>
        <v>0.29402664027008635</v>
      </c>
      <c r="H192" s="111">
        <f t="shared" si="26"/>
        <v>12820</v>
      </c>
      <c r="I192" s="134">
        <f t="shared" si="27"/>
        <v>1.8133666542718231E-2</v>
      </c>
      <c r="J192" s="134"/>
      <c r="K192" s="134"/>
      <c r="L192" s="134"/>
      <c r="M192" s="134"/>
    </row>
    <row r="193" spans="2:13">
      <c r="B193" s="324"/>
      <c r="C193" s="111">
        <f t="shared" si="23"/>
        <v>29</v>
      </c>
      <c r="D193" s="110">
        <v>0.4005950611294008</v>
      </c>
      <c r="E193" s="110">
        <v>0.39003612600487902</v>
      </c>
      <c r="F193" s="110">
        <f t="shared" si="24"/>
        <v>0.23292972115124541</v>
      </c>
      <c r="G193" s="110">
        <f t="shared" si="25"/>
        <v>0.34018519529331515</v>
      </c>
      <c r="H193" s="111">
        <f t="shared" si="26"/>
        <v>3619</v>
      </c>
      <c r="I193" s="134">
        <f t="shared" si="27"/>
        <v>-1.1110959468582651E-4</v>
      </c>
      <c r="J193" s="134"/>
      <c r="K193" s="134"/>
      <c r="L193" s="134"/>
      <c r="M193" s="134"/>
    </row>
    <row r="194" spans="2:13">
      <c r="B194" s="324"/>
      <c r="C194" s="111">
        <f t="shared" si="23"/>
        <v>30</v>
      </c>
      <c r="D194" s="110">
        <v>0.31660236838764116</v>
      </c>
      <c r="E194" s="110">
        <v>0.33531988174495037</v>
      </c>
      <c r="F194" s="110">
        <f t="shared" si="24"/>
        <v>0.19816648933924452</v>
      </c>
      <c r="G194" s="110">
        <f t="shared" si="25"/>
        <v>0.31482312076242197</v>
      </c>
      <c r="H194" s="111">
        <f t="shared" si="26"/>
        <v>6370</v>
      </c>
      <c r="I194" s="134">
        <f t="shared" si="27"/>
        <v>3.7917115861978452E-3</v>
      </c>
      <c r="J194" s="134"/>
      <c r="K194" s="134"/>
      <c r="L194" s="134"/>
      <c r="M194" s="134"/>
    </row>
    <row r="195" spans="2:13">
      <c r="B195" s="324"/>
      <c r="C195" s="111">
        <f t="shared" si="23"/>
        <v>31</v>
      </c>
      <c r="D195" s="110">
        <v>0.35747346781609857</v>
      </c>
      <c r="E195" s="110">
        <v>0.36222103677161721</v>
      </c>
      <c r="F195" s="110">
        <f t="shared" si="24"/>
        <v>0.21561480226332194</v>
      </c>
      <c r="G195" s="110">
        <f t="shared" si="25"/>
        <v>0.32771754095316324</v>
      </c>
      <c r="H195" s="111">
        <f t="shared" si="26"/>
        <v>4648</v>
      </c>
      <c r="I195" s="134">
        <f t="shared" si="27"/>
        <v>-2.0769377716273548E-4</v>
      </c>
      <c r="J195" s="134"/>
      <c r="K195" s="134"/>
      <c r="L195" s="134"/>
      <c r="M195" s="134"/>
    </row>
  </sheetData>
  <mergeCells count="9">
    <mergeCell ref="B68:B99"/>
    <mergeCell ref="B100:B131"/>
    <mergeCell ref="B132:B163"/>
    <mergeCell ref="B164:B195"/>
    <mergeCell ref="N2:Q2"/>
    <mergeCell ref="J10:M10"/>
    <mergeCell ref="J17:M17"/>
    <mergeCell ref="B4:B35"/>
    <mergeCell ref="B36:B6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19</vt:i4>
      </vt:variant>
    </vt:vector>
  </HeadingPairs>
  <TitlesOfParts>
    <vt:vector size="26" baseType="lpstr">
      <vt:lpstr>Summary</vt:lpstr>
      <vt:lpstr>Graphs</vt:lpstr>
      <vt:lpstr>Calculations</vt:lpstr>
      <vt:lpstr>data0</vt:lpstr>
      <vt:lpstr>Calibration</vt:lpstr>
      <vt:lpstr>DUTenable</vt:lpstr>
      <vt:lpstr>uvGraph</vt:lpstr>
      <vt:lpstr>attn</vt:lpstr>
      <vt:lpstr>balance</vt:lpstr>
      <vt:lpstr>cmpSet</vt:lpstr>
      <vt:lpstr>comp38</vt:lpstr>
      <vt:lpstr>DeltaComp</vt:lpstr>
      <vt:lpstr>Enable</vt:lpstr>
      <vt:lpstr>glass</vt:lpstr>
      <vt:lpstr>inputN</vt:lpstr>
      <vt:lpstr>inv125Comp</vt:lpstr>
      <vt:lpstr>Lux</vt:lpstr>
      <vt:lpstr>minComp</vt:lpstr>
      <vt:lpstr>partNumber</vt:lpstr>
      <vt:lpstr>data0!Print_Area</vt:lpstr>
      <vt:lpstr>Summary!Print_Area</vt:lpstr>
      <vt:lpstr>RangeN</vt:lpstr>
      <vt:lpstr>useDir</vt:lpstr>
      <vt:lpstr>UseEnableMask</vt:lpstr>
      <vt:lpstr>xOffset</vt:lpstr>
      <vt:lpstr>yOffset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2013-11-01T17:10:20Z</dcterms:modified>
</cp:coreProperties>
</file>