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2525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5" i="1" l="1"/>
  <c r="C34" i="1"/>
  <c r="K32" i="1" l="1"/>
  <c r="K33" i="1"/>
  <c r="M33" i="1"/>
  <c r="N33" i="1"/>
  <c r="M32" i="1"/>
  <c r="M31" i="1"/>
  <c r="J31" i="1"/>
  <c r="G41" i="1" s="1"/>
  <c r="G42" i="1" s="1"/>
  <c r="C38" i="1"/>
  <c r="J45" i="1"/>
  <c r="G40" i="1"/>
  <c r="G39" i="1"/>
  <c r="G38" i="1"/>
  <c r="G36" i="1"/>
  <c r="G35" i="1"/>
  <c r="G34" i="1"/>
  <c r="G33" i="1"/>
  <c r="G32" i="1"/>
  <c r="I37" i="1" l="1"/>
  <c r="E32" i="1"/>
  <c r="D32" i="1"/>
  <c r="C32" i="1"/>
  <c r="C31" i="1"/>
  <c r="K31" i="1"/>
  <c r="L33" i="1"/>
  <c r="J39" i="1"/>
  <c r="J40" i="1" l="1"/>
  <c r="J37" i="1"/>
  <c r="P33" i="1" l="1"/>
  <c r="O33" i="1"/>
  <c r="L32" i="1" l="1"/>
  <c r="N32" i="1"/>
  <c r="O32" i="1"/>
  <c r="P32" i="1"/>
  <c r="O37" i="1"/>
  <c r="K37" i="1"/>
  <c r="K38" i="1" s="1"/>
  <c r="L37" i="1"/>
  <c r="L38" i="1" s="1"/>
  <c r="M37" i="1"/>
  <c r="M38" i="1" s="1"/>
  <c r="N37" i="1"/>
  <c r="N38" i="1" s="1"/>
  <c r="J38" i="1"/>
  <c r="C44" i="1"/>
  <c r="C45" i="1" s="1"/>
  <c r="E33" i="1"/>
  <c r="D33" i="1"/>
  <c r="G37" i="1"/>
  <c r="C37" i="1"/>
  <c r="C36" i="1"/>
  <c r="Z31" i="1"/>
  <c r="AE31" i="1" l="1"/>
  <c r="AB31" i="1"/>
  <c r="AD31" i="1"/>
  <c r="AA31" i="1"/>
  <c r="AC31" i="1"/>
  <c r="C33" i="1"/>
  <c r="Y31" i="1" s="1"/>
  <c r="Q31" i="1"/>
  <c r="T31" i="1"/>
  <c r="S31" i="1"/>
  <c r="U31" i="1"/>
  <c r="R31" i="1"/>
  <c r="O31" i="1"/>
  <c r="N31" i="1"/>
  <c r="P31" i="1"/>
  <c r="L31" i="1" l="1"/>
  <c r="X31" i="1"/>
  <c r="W31" i="1"/>
  <c r="V31" i="1"/>
  <c r="I38" i="1" l="1"/>
  <c r="P37" i="1" l="1"/>
  <c r="P38" i="1" s="1"/>
</calcChain>
</file>

<file path=xl/sharedStrings.xml><?xml version="1.0" encoding="utf-8"?>
<sst xmlns="http://schemas.openxmlformats.org/spreadsheetml/2006/main" count="149" uniqueCount="117">
  <si>
    <t>_x0003_Zi·XOH</t>
  </si>
  <si>
    <t>Mi</t>
  </si>
  <si>
    <t>z_x0006_</t>
  </si>
  <si>
    <t>_x0002_nOH</t>
  </si>
  <si>
    <t>M2</t>
  </si>
  <si>
    <t>M3</t>
  </si>
  <si>
    <t>N</t>
  </si>
  <si>
    <t>calculations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</si>
  <si>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</si>
  <si>
    <r>
      <t>X</t>
    </r>
    <r>
      <rPr>
        <vertAlign val="subscript"/>
        <sz val="11"/>
        <color theme="1"/>
        <rFont val="Calibri"/>
        <family val="2"/>
        <scheme val="minor"/>
      </rPr>
      <t>l</t>
    </r>
  </si>
  <si>
    <r>
      <t>n</t>
    </r>
    <r>
      <rPr>
        <vertAlign val="subscript"/>
        <sz val="11"/>
        <color theme="1"/>
        <rFont val="Calibri"/>
        <family val="2"/>
        <scheme val="minor"/>
      </rPr>
      <t>s</t>
    </r>
  </si>
  <si>
    <r>
      <t>n</t>
    </r>
    <r>
      <rPr>
        <vertAlign val="subscript"/>
        <sz val="11"/>
        <color theme="1"/>
        <rFont val="Calibri"/>
        <family val="2"/>
        <scheme val="minor"/>
      </rPr>
      <t>c</t>
    </r>
  </si>
  <si>
    <r>
      <t>x</t>
    </r>
    <r>
      <rPr>
        <vertAlign val="subscript"/>
        <sz val="11"/>
        <color theme="1"/>
        <rFont val="Calibri"/>
        <family val="2"/>
        <scheme val="minor"/>
      </rPr>
      <t>M1</t>
    </r>
  </si>
  <si>
    <t>M1</t>
  </si>
  <si>
    <r>
      <t>x</t>
    </r>
    <r>
      <rPr>
        <vertAlign val="subscript"/>
        <sz val="11"/>
        <color theme="1"/>
        <rFont val="Calibri"/>
        <family val="2"/>
        <scheme val="minor"/>
      </rPr>
      <t>M2</t>
    </r>
  </si>
  <si>
    <r>
      <t>x</t>
    </r>
    <r>
      <rPr>
        <vertAlign val="subscript"/>
        <sz val="11"/>
        <color theme="1"/>
        <rFont val="Calibri"/>
        <family val="2"/>
        <scheme val="minor"/>
      </rPr>
      <t>M3</t>
    </r>
  </si>
  <si>
    <r>
      <t>x</t>
    </r>
    <r>
      <rPr>
        <vertAlign val="subscript"/>
        <sz val="11"/>
        <color theme="1"/>
        <rFont val="Calibri"/>
        <family val="2"/>
        <scheme val="minor"/>
      </rPr>
      <t>T1</t>
    </r>
  </si>
  <si>
    <r>
      <t>x</t>
    </r>
    <r>
      <rPr>
        <vertAlign val="subscript"/>
        <sz val="11"/>
        <color theme="1"/>
        <rFont val="Calibri"/>
        <family val="2"/>
        <scheme val="minor"/>
      </rPr>
      <t>Hi</t>
    </r>
  </si>
  <si>
    <r>
      <t>x</t>
    </r>
    <r>
      <rPr>
        <vertAlign val="subscript"/>
        <sz val="11"/>
        <color theme="1"/>
        <rFont val="Calibri"/>
        <family val="2"/>
        <scheme val="minor"/>
      </rPr>
      <t>He</t>
    </r>
  </si>
  <si>
    <t>Mg2+(o)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</si>
  <si>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Z+</t>
    </r>
    <r>
      <rPr>
        <sz val="11"/>
        <color theme="1"/>
        <rFont val="Calibri"/>
        <family val="2"/>
        <scheme val="minor"/>
      </rPr>
      <t>(o)</t>
    </r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</si>
  <si>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Z+</t>
    </r>
    <r>
      <rPr>
        <sz val="11"/>
        <color theme="1"/>
        <rFont val="Calibri"/>
        <family val="2"/>
        <scheme val="minor"/>
      </rPr>
      <t>(aq)</t>
    </r>
  </si>
  <si>
    <t>Fe2+(o)</t>
  </si>
  <si>
    <t>Al3+(o)</t>
  </si>
  <si>
    <t>Fe3+(o)</t>
  </si>
  <si>
    <r>
      <t>K</t>
    </r>
    <r>
      <rPr>
        <vertAlign val="subscript"/>
        <sz val="11"/>
        <color theme="1"/>
        <rFont val="Calibri"/>
        <family val="2"/>
        <scheme val="minor"/>
      </rPr>
      <t>mixing</t>
    </r>
    <r>
      <rPr>
        <sz val="11"/>
        <color theme="1"/>
        <rFont val="Calibri"/>
        <family val="2"/>
        <scheme val="minor"/>
      </rPr>
      <t>(Site I)</t>
    </r>
  </si>
  <si>
    <r>
      <t>K</t>
    </r>
    <r>
      <rPr>
        <vertAlign val="subscript"/>
        <sz val="11"/>
        <color theme="1"/>
        <rFont val="Calibri"/>
        <family val="2"/>
        <scheme val="minor"/>
      </rPr>
      <t>mixing</t>
    </r>
    <r>
      <rPr>
        <sz val="11"/>
        <color theme="1"/>
        <rFont val="Calibri"/>
        <family val="2"/>
        <scheme val="minor"/>
      </rPr>
      <t>(M2)</t>
    </r>
  </si>
  <si>
    <r>
      <t>K</t>
    </r>
    <r>
      <rPr>
        <vertAlign val="subscript"/>
        <sz val="11"/>
        <color theme="1"/>
        <rFont val="Calibri"/>
        <family val="2"/>
        <scheme val="minor"/>
      </rPr>
      <t>mixing</t>
    </r>
    <r>
      <rPr>
        <sz val="11"/>
        <color theme="1"/>
        <rFont val="Calibri"/>
        <family val="2"/>
        <scheme val="minor"/>
      </rPr>
      <t>(M3)</t>
    </r>
  </si>
  <si>
    <t>octahedral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</si>
  <si>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Z+</t>
    </r>
    <r>
      <rPr>
        <sz val="11"/>
        <color theme="1"/>
        <rFont val="Calibri"/>
        <family val="2"/>
        <scheme val="minor"/>
      </rPr>
      <t>(t)</t>
    </r>
  </si>
  <si>
    <t>Si4+(t)</t>
  </si>
  <si>
    <t>Al3+(t)</t>
  </si>
  <si>
    <t>Fe3+(t)</t>
  </si>
  <si>
    <t>tetrahedral</t>
  </si>
  <si>
    <t>Ion H+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</si>
  <si>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H+</t>
    </r>
    <r>
      <rPr>
        <sz val="11"/>
        <color theme="1"/>
        <rFont val="Calibri"/>
        <family val="2"/>
        <scheme val="minor"/>
      </rPr>
      <t>(o)</t>
    </r>
  </si>
  <si>
    <t>H+(i)</t>
  </si>
  <si>
    <t>H+(d)</t>
  </si>
  <si>
    <t>H+€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</si>
  <si>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H+</t>
    </r>
    <r>
      <rPr>
        <sz val="11"/>
        <color theme="1"/>
        <rFont val="Calibri"/>
        <family val="2"/>
        <scheme val="minor"/>
      </rPr>
      <t>(b)</t>
    </r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</si>
  <si>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H+</t>
    </r>
    <r>
      <rPr>
        <sz val="11"/>
        <color theme="1"/>
        <rFont val="Calibri"/>
        <family val="2"/>
        <scheme val="minor"/>
      </rPr>
      <t>(e)</t>
    </r>
  </si>
  <si>
    <r>
      <t>ΔH</t>
    </r>
    <r>
      <rPr>
        <vertAlign val="superscript"/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f</t>
    </r>
  </si>
  <si>
    <t>Na2O</t>
  </si>
  <si>
    <t>K2O</t>
  </si>
  <si>
    <t>CaO</t>
  </si>
  <si>
    <t>MgO</t>
  </si>
  <si>
    <t>FeO</t>
  </si>
  <si>
    <t>Fe2O3</t>
  </si>
  <si>
    <t>Al2O3</t>
  </si>
  <si>
    <t>SiO2</t>
  </si>
  <si>
    <t>H2Oice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</si>
  <si>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(M1)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</si>
  <si>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(M2)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</si>
  <si>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(M3)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</si>
  <si>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(T1)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</si>
  <si>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(Hi)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</si>
  <si>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(He)</t>
    </r>
  </si>
  <si>
    <t>T1</t>
  </si>
  <si>
    <t>T2</t>
  </si>
  <si>
    <t>Hi</t>
  </si>
  <si>
    <t>He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</si>
  <si>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(site)</t>
    </r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</si>
  <si>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(ox)</t>
    </r>
  </si>
  <si>
    <t>M1-M2</t>
  </si>
  <si>
    <t>M1-M3</t>
  </si>
  <si>
    <t>M1-T1</t>
  </si>
  <si>
    <t>M1-T2</t>
  </si>
  <si>
    <t>M1-Hi</t>
  </si>
  <si>
    <t>M1-He</t>
  </si>
  <si>
    <t>M2-M3</t>
  </si>
  <si>
    <t>M2-T1</t>
  </si>
  <si>
    <t>M2-Hi</t>
  </si>
  <si>
    <t>M2-He</t>
  </si>
  <si>
    <t>M3-T1</t>
  </si>
  <si>
    <t>M3-T2</t>
  </si>
  <si>
    <t>M3-Hi</t>
  </si>
  <si>
    <t>M3-He</t>
  </si>
  <si>
    <t>T1-T2</t>
  </si>
  <si>
    <t>T1-Hi</t>
  </si>
  <si>
    <t>T1-He</t>
  </si>
  <si>
    <t>T2-Hi</t>
  </si>
  <si>
    <t>T2-He</t>
  </si>
  <si>
    <t>Hi-He</t>
  </si>
  <si>
    <t>Xk</t>
  </si>
  <si>
    <t>Xl</t>
  </si>
  <si>
    <t>M2-T2</t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</si>
  <si>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(min)</t>
    </r>
  </si>
  <si>
    <t>Fe</t>
  </si>
  <si>
    <t>Mg</t>
  </si>
  <si>
    <t>Al</t>
  </si>
  <si>
    <t xml:space="preserve">Si </t>
  </si>
  <si>
    <t>H</t>
  </si>
  <si>
    <t>S</t>
  </si>
  <si>
    <t>Cp</t>
  </si>
  <si>
    <t>a</t>
  </si>
  <si>
    <t>b*103</t>
  </si>
  <si>
    <t>-c*10-5</t>
  </si>
  <si>
    <t>V</t>
  </si>
  <si>
    <t>Fe(OH)3</t>
  </si>
  <si>
    <t>Mg(OH)2</t>
  </si>
  <si>
    <t>Fe(OH)2</t>
  </si>
  <si>
    <t>Al(OH)3</t>
  </si>
  <si>
    <t>8-12</t>
  </si>
  <si>
    <t>6-8</t>
  </si>
  <si>
    <t>6</t>
  </si>
  <si>
    <t>4</t>
  </si>
  <si>
    <t>Fe(s)</t>
  </si>
  <si>
    <t>Mg(s)</t>
  </si>
  <si>
    <t>Al(s)</t>
  </si>
  <si>
    <t>Si(s)</t>
  </si>
  <si>
    <t>O2(g)</t>
  </si>
  <si>
    <t>H2(g)</t>
  </si>
  <si>
    <r>
      <t>ΔG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(min)</t>
    </r>
  </si>
  <si>
    <t>Fe2Mg0.5Al0.667(AlSi)O5(OH)4</t>
  </si>
  <si>
    <t>mass</t>
  </si>
  <si>
    <t>mol wt</t>
  </si>
  <si>
    <t>S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</si>
</sst>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6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278892</xdr:colOff>
      <xdr:row>20</xdr:row>
      <xdr:rowOff>77343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0"/>
          <a:ext cx="4546092" cy="20680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316992</xdr:colOff>
      <xdr:row>9</xdr:row>
      <xdr:rowOff>62751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584192" cy="16343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15</xdr:col>
      <xdr:colOff>239268</xdr:colOff>
      <xdr:row>11</xdr:row>
      <xdr:rowOff>63940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90500"/>
          <a:ext cx="4582668" cy="2016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5"/>
  <sheetViews>
    <sheetView tabSelected="1" workbookViewId="0">
      <selection activeCell="C36" sqref="C36"/>
    </sheetView>
  </sheetViews>
  <sheetFormatPr defaultRowHeight="15" x14ac:dyDescent="0.25"/>
  <cols>
    <col min="9" max="9" width="13.5703125" customWidth="1"/>
    <col min="10" max="10" width="14.85546875" customWidth="1"/>
    <col min="11" max="11" width="12" bestFit="1" customWidth="1"/>
    <col min="12" max="12" width="10.85546875" bestFit="1" customWidth="1"/>
  </cols>
  <sheetData>
    <row r="3" spans="10:31" ht="18.75" x14ac:dyDescent="0.35">
      <c r="W3" t="s">
        <v>41</v>
      </c>
      <c r="Z3" t="s">
        <v>92</v>
      </c>
      <c r="AA3" t="s">
        <v>93</v>
      </c>
      <c r="AB3" t="s">
        <v>94</v>
      </c>
      <c r="AC3" t="s">
        <v>95</v>
      </c>
      <c r="AD3" s="2" t="s">
        <v>96</v>
      </c>
      <c r="AE3" t="s">
        <v>97</v>
      </c>
    </row>
    <row r="4" spans="10:31" ht="14.45" x14ac:dyDescent="0.35">
      <c r="V4" t="s">
        <v>42</v>
      </c>
      <c r="W4">
        <v>-414.8</v>
      </c>
      <c r="X4" s="3" t="s">
        <v>102</v>
      </c>
      <c r="Y4" t="s">
        <v>42</v>
      </c>
      <c r="Z4">
        <v>186.15</v>
      </c>
      <c r="AA4">
        <v>70.2</v>
      </c>
      <c r="AB4">
        <v>43.27</v>
      </c>
      <c r="AC4">
        <v>395.84</v>
      </c>
      <c r="AD4">
        <v>-80.98</v>
      </c>
      <c r="AE4">
        <v>22.97</v>
      </c>
    </row>
    <row r="5" spans="10:31" ht="14.45" x14ac:dyDescent="0.35">
      <c r="V5" t="s">
        <v>43</v>
      </c>
      <c r="W5">
        <v>-363.17</v>
      </c>
      <c r="X5" s="2" t="s">
        <v>102</v>
      </c>
      <c r="Y5" t="s">
        <v>43</v>
      </c>
      <c r="Z5">
        <v>157.69999999999999</v>
      </c>
      <c r="AA5">
        <v>74.5</v>
      </c>
      <c r="AB5">
        <v>148.56</v>
      </c>
      <c r="AC5">
        <v>24.73</v>
      </c>
      <c r="AD5">
        <v>-72.39</v>
      </c>
      <c r="AE5">
        <v>27.26</v>
      </c>
    </row>
    <row r="6" spans="10:31" ht="14.45" x14ac:dyDescent="0.35">
      <c r="V6" t="s">
        <v>44</v>
      </c>
      <c r="W6">
        <v>-634.91999999999996</v>
      </c>
      <c r="X6" s="3" t="s">
        <v>103</v>
      </c>
      <c r="Y6" t="s">
        <v>44</v>
      </c>
      <c r="Z6">
        <v>133.08000000000001</v>
      </c>
      <c r="AA6">
        <v>42.43</v>
      </c>
      <c r="AB6">
        <v>63.88</v>
      </c>
      <c r="AC6">
        <v>315.36</v>
      </c>
      <c r="AD6">
        <v>-102.65</v>
      </c>
      <c r="AE6">
        <v>32.47</v>
      </c>
    </row>
    <row r="7" spans="10:31" ht="14.45" x14ac:dyDescent="0.35">
      <c r="V7" t="s">
        <v>45</v>
      </c>
      <c r="W7">
        <v>-601.6</v>
      </c>
      <c r="X7" s="2" t="s">
        <v>104</v>
      </c>
      <c r="Y7" t="s">
        <v>98</v>
      </c>
      <c r="Z7">
        <v>178.75</v>
      </c>
      <c r="AA7">
        <v>103.01</v>
      </c>
      <c r="AB7">
        <v>127.36</v>
      </c>
      <c r="AC7">
        <v>671.46</v>
      </c>
      <c r="AD7">
        <v>-199.61</v>
      </c>
      <c r="AE7">
        <v>24.98</v>
      </c>
    </row>
    <row r="8" spans="10:31" ht="14.45" x14ac:dyDescent="0.35">
      <c r="V8" t="s">
        <v>46</v>
      </c>
      <c r="W8">
        <v>-272.04000000000002</v>
      </c>
      <c r="X8" s="2" t="s">
        <v>104</v>
      </c>
      <c r="Y8" t="s">
        <v>99</v>
      </c>
      <c r="Z8">
        <v>61.12</v>
      </c>
      <c r="AA8">
        <v>72.19</v>
      </c>
      <c r="AB8">
        <v>71.47</v>
      </c>
      <c r="AC8">
        <v>66.540000000000006</v>
      </c>
      <c r="AD8">
        <v>-16.989999999999998</v>
      </c>
      <c r="AE8">
        <v>25.91</v>
      </c>
    </row>
    <row r="9" spans="10:31" ht="14.45" x14ac:dyDescent="0.35">
      <c r="V9" t="s">
        <v>47</v>
      </c>
      <c r="W9">
        <v>-826.23</v>
      </c>
      <c r="X9" s="2" t="s">
        <v>104</v>
      </c>
      <c r="Y9" t="s">
        <v>100</v>
      </c>
      <c r="Z9">
        <v>61.9</v>
      </c>
      <c r="AA9">
        <v>80.39</v>
      </c>
      <c r="AB9">
        <v>59.74</v>
      </c>
      <c r="AC9">
        <v>89.87</v>
      </c>
      <c r="AD9">
        <v>-5.46</v>
      </c>
      <c r="AE9">
        <v>21.61</v>
      </c>
    </row>
    <row r="10" spans="10:31" ht="14.45" x14ac:dyDescent="0.35">
      <c r="V10" t="s">
        <v>48</v>
      </c>
      <c r="W10">
        <v>-1675.7</v>
      </c>
      <c r="X10" s="2" t="s">
        <v>104</v>
      </c>
      <c r="Y10" t="s">
        <v>101</v>
      </c>
      <c r="Z10">
        <v>79.37</v>
      </c>
      <c r="AA10">
        <v>89.63</v>
      </c>
      <c r="AB10">
        <v>111.51</v>
      </c>
      <c r="AC10">
        <v>77.25</v>
      </c>
      <c r="AD10">
        <v>-39.92</v>
      </c>
      <c r="AE10">
        <v>34.96</v>
      </c>
    </row>
    <row r="11" spans="10:31" ht="14.45" x14ac:dyDescent="0.35">
      <c r="V11" t="s">
        <v>49</v>
      </c>
      <c r="W11">
        <v>-910.7</v>
      </c>
      <c r="X11" s="2" t="s">
        <v>104</v>
      </c>
      <c r="Y11" t="s">
        <v>48</v>
      </c>
      <c r="Z11">
        <v>55.02</v>
      </c>
      <c r="AA11">
        <v>74.89</v>
      </c>
      <c r="AB11">
        <v>299.02</v>
      </c>
      <c r="AC11">
        <v>-100.59</v>
      </c>
      <c r="AD11">
        <v>-172.58</v>
      </c>
      <c r="AE11">
        <v>4.91</v>
      </c>
    </row>
    <row r="12" spans="10:31" ht="14.45" x14ac:dyDescent="0.35">
      <c r="V12" t="s">
        <v>50</v>
      </c>
      <c r="W12">
        <v>-292.75</v>
      </c>
      <c r="X12" s="2" t="s">
        <v>104</v>
      </c>
      <c r="Y12" t="s">
        <v>46</v>
      </c>
      <c r="Z12">
        <v>55.74</v>
      </c>
      <c r="AA12">
        <v>42.35</v>
      </c>
      <c r="AB12">
        <v>141.77000000000001</v>
      </c>
      <c r="AC12">
        <v>-64.55</v>
      </c>
      <c r="AD12">
        <v>-71.27</v>
      </c>
      <c r="AE12">
        <v>10.59</v>
      </c>
    </row>
    <row r="13" spans="10:31" ht="14.45" x14ac:dyDescent="0.35">
      <c r="K13" t="s">
        <v>28</v>
      </c>
      <c r="O13" t="s">
        <v>33</v>
      </c>
      <c r="S13" t="s">
        <v>34</v>
      </c>
      <c r="X13" s="2" t="s">
        <v>104</v>
      </c>
      <c r="Y13" t="s">
        <v>45</v>
      </c>
      <c r="Z13">
        <v>27.89</v>
      </c>
      <c r="AA13">
        <v>30.84</v>
      </c>
      <c r="AB13">
        <v>131.03</v>
      </c>
      <c r="AC13">
        <v>-66.739999999999995</v>
      </c>
      <c r="AD13">
        <v>-71.38</v>
      </c>
      <c r="AE13">
        <v>4.57</v>
      </c>
    </row>
    <row r="14" spans="10:31" ht="18.75" x14ac:dyDescent="0.35">
      <c r="K14" t="s">
        <v>21</v>
      </c>
      <c r="L14" t="s">
        <v>20</v>
      </c>
      <c r="O14" t="s">
        <v>21</v>
      </c>
      <c r="P14" t="s">
        <v>29</v>
      </c>
      <c r="S14" t="s">
        <v>35</v>
      </c>
      <c r="T14" t="s">
        <v>39</v>
      </c>
      <c r="U14" t="s">
        <v>40</v>
      </c>
      <c r="X14" s="2" t="s">
        <v>104</v>
      </c>
      <c r="Y14" t="s">
        <v>47</v>
      </c>
      <c r="Z14">
        <v>0</v>
      </c>
      <c r="AA14">
        <v>104.41</v>
      </c>
      <c r="AB14">
        <v>221.92</v>
      </c>
      <c r="AC14">
        <v>-515.67999999999995</v>
      </c>
      <c r="AD14">
        <v>32.22</v>
      </c>
      <c r="AE14">
        <v>14.23</v>
      </c>
    </row>
    <row r="15" spans="10:31" ht="14.45" x14ac:dyDescent="0.35">
      <c r="J15" t="s">
        <v>19</v>
      </c>
      <c r="K15">
        <v>-134.6</v>
      </c>
      <c r="L15">
        <v>-191.72</v>
      </c>
      <c r="N15" t="s">
        <v>30</v>
      </c>
      <c r="O15">
        <v>-205</v>
      </c>
      <c r="P15">
        <v>-285.33</v>
      </c>
      <c r="R15" t="s">
        <v>36</v>
      </c>
      <c r="S15">
        <v>-249.58</v>
      </c>
      <c r="X15" s="2" t="s">
        <v>105</v>
      </c>
      <c r="Y15" t="s">
        <v>48</v>
      </c>
      <c r="Z15">
        <v>29.42</v>
      </c>
      <c r="AA15">
        <v>80.91</v>
      </c>
      <c r="AB15">
        <v>-93.35</v>
      </c>
      <c r="AC15">
        <v>177.61</v>
      </c>
      <c r="AD15">
        <v>107.83</v>
      </c>
      <c r="AE15">
        <v>46.72</v>
      </c>
    </row>
    <row r="16" spans="10:31" ht="14.45" x14ac:dyDescent="0.35">
      <c r="J16" t="s">
        <v>22</v>
      </c>
      <c r="K16">
        <v>-181.04</v>
      </c>
      <c r="L16">
        <v>-230.79</v>
      </c>
      <c r="N16" t="s">
        <v>31</v>
      </c>
      <c r="O16">
        <v>-199.63</v>
      </c>
      <c r="P16">
        <v>-260.45</v>
      </c>
      <c r="R16" t="s">
        <v>37</v>
      </c>
      <c r="T16">
        <v>-311.98</v>
      </c>
      <c r="X16" s="2" t="s">
        <v>105</v>
      </c>
      <c r="Y16" t="s">
        <v>49</v>
      </c>
      <c r="Z16">
        <v>35.94</v>
      </c>
      <c r="AA16">
        <v>47.61</v>
      </c>
      <c r="AB16">
        <v>14.99</v>
      </c>
      <c r="AC16">
        <v>44</v>
      </c>
      <c r="AD16">
        <v>17.329999999999998</v>
      </c>
      <c r="AE16">
        <v>25.7</v>
      </c>
    </row>
    <row r="17" spans="1:31" x14ac:dyDescent="0.25">
      <c r="J17" t="s">
        <v>23</v>
      </c>
      <c r="K17">
        <v>-199.63</v>
      </c>
      <c r="L17">
        <v>-251.75</v>
      </c>
      <c r="N17" t="s">
        <v>32</v>
      </c>
      <c r="O17">
        <v>-242.74</v>
      </c>
      <c r="P17">
        <v>-310</v>
      </c>
      <c r="R17" t="s">
        <v>38</v>
      </c>
      <c r="U17">
        <v>-287.2</v>
      </c>
    </row>
    <row r="18" spans="1:31" ht="14.45" x14ac:dyDescent="0.35">
      <c r="J18" t="s">
        <v>24</v>
      </c>
      <c r="K18">
        <v>-242.74</v>
      </c>
      <c r="L18">
        <v>-290.79000000000002</v>
      </c>
    </row>
    <row r="19" spans="1:31" x14ac:dyDescent="0.25">
      <c r="A19" t="s">
        <v>0</v>
      </c>
    </row>
    <row r="20" spans="1:31" ht="16.5" x14ac:dyDescent="0.45">
      <c r="A20" t="s">
        <v>1</v>
      </c>
      <c r="J20" t="s">
        <v>25</v>
      </c>
      <c r="K20">
        <v>-0.85699999999999998</v>
      </c>
    </row>
    <row r="21" spans="1:31" ht="18" x14ac:dyDescent="0.35">
      <c r="A21" t="s">
        <v>2</v>
      </c>
      <c r="J21" t="s">
        <v>26</v>
      </c>
      <c r="K21">
        <v>-0.57899999999999996</v>
      </c>
    </row>
    <row r="22" spans="1:31" ht="18" x14ac:dyDescent="0.35">
      <c r="A22" t="s">
        <v>3</v>
      </c>
      <c r="J22" t="s">
        <v>27</v>
      </c>
      <c r="K22">
        <v>-0.108</v>
      </c>
    </row>
    <row r="24" spans="1:31" ht="18" x14ac:dyDescent="0.35">
      <c r="B24" t="s">
        <v>6</v>
      </c>
      <c r="C24" t="s">
        <v>10</v>
      </c>
      <c r="D24" t="s">
        <v>11</v>
      </c>
      <c r="E24" t="s">
        <v>12</v>
      </c>
      <c r="F24" t="s">
        <v>14</v>
      </c>
      <c r="G24" t="s">
        <v>15</v>
      </c>
      <c r="H24" t="s">
        <v>16</v>
      </c>
      <c r="I24" t="s">
        <v>16</v>
      </c>
      <c r="J24" t="s">
        <v>17</v>
      </c>
      <c r="K24" t="s">
        <v>18</v>
      </c>
    </row>
    <row r="25" spans="1:31" x14ac:dyDescent="0.25">
      <c r="B25">
        <v>9</v>
      </c>
      <c r="C25">
        <v>7</v>
      </c>
      <c r="D25">
        <v>4</v>
      </c>
    </row>
    <row r="26" spans="1:31" x14ac:dyDescent="0.25">
      <c r="A26" t="s">
        <v>113</v>
      </c>
      <c r="D26" t="s">
        <v>13</v>
      </c>
      <c r="E26" t="s">
        <v>4</v>
      </c>
      <c r="F26" t="s">
        <v>5</v>
      </c>
      <c r="H26" t="s">
        <v>57</v>
      </c>
      <c r="I26" t="s">
        <v>58</v>
      </c>
      <c r="J26" t="s">
        <v>59</v>
      </c>
      <c r="K26" t="s">
        <v>60</v>
      </c>
      <c r="L26" t="s">
        <v>87</v>
      </c>
      <c r="M26" t="s">
        <v>88</v>
      </c>
      <c r="N26" t="s">
        <v>89</v>
      </c>
      <c r="O26" t="s">
        <v>90</v>
      </c>
      <c r="P26" t="s">
        <v>91</v>
      </c>
    </row>
    <row r="27" spans="1:31" x14ac:dyDescent="0.25">
      <c r="A27" t="s">
        <v>7</v>
      </c>
      <c r="C27" t="s">
        <v>87</v>
      </c>
      <c r="D27">
        <v>0.5</v>
      </c>
      <c r="E27">
        <v>0.75</v>
      </c>
      <c r="F27">
        <v>0.75</v>
      </c>
      <c r="H27">
        <v>1</v>
      </c>
      <c r="I27">
        <v>1</v>
      </c>
      <c r="J27">
        <v>1.0009999999999999</v>
      </c>
      <c r="K27">
        <v>1</v>
      </c>
      <c r="L27">
        <v>2</v>
      </c>
      <c r="M27">
        <v>2</v>
      </c>
      <c r="N27">
        <v>3</v>
      </c>
      <c r="O27">
        <v>4</v>
      </c>
      <c r="P27">
        <v>1</v>
      </c>
    </row>
    <row r="28" spans="1:31" ht="18" x14ac:dyDescent="0.35">
      <c r="B28" t="s">
        <v>8</v>
      </c>
      <c r="C28" t="s">
        <v>88</v>
      </c>
      <c r="D28">
        <v>0</v>
      </c>
      <c r="E28">
        <v>0.25</v>
      </c>
      <c r="F28">
        <v>0.25</v>
      </c>
    </row>
    <row r="29" spans="1:31" x14ac:dyDescent="0.25">
      <c r="C29" t="s">
        <v>89</v>
      </c>
      <c r="D29">
        <v>0.66700000000000004</v>
      </c>
    </row>
    <row r="30" spans="1:31" ht="18.75" x14ac:dyDescent="0.35">
      <c r="B30" t="s">
        <v>9</v>
      </c>
      <c r="C30" s="1" t="s">
        <v>61</v>
      </c>
      <c r="G30" s="1" t="s">
        <v>86</v>
      </c>
      <c r="J30" s="1" t="s">
        <v>62</v>
      </c>
      <c r="K30" t="s">
        <v>63</v>
      </c>
      <c r="L30" t="s">
        <v>64</v>
      </c>
      <c r="M30" t="s">
        <v>65</v>
      </c>
      <c r="N30" t="s">
        <v>66</v>
      </c>
      <c r="O30" t="s">
        <v>67</v>
      </c>
      <c r="P30" t="s">
        <v>68</v>
      </c>
      <c r="Q30" t="s">
        <v>69</v>
      </c>
      <c r="R30" t="s">
        <v>70</v>
      </c>
      <c r="S30" t="s">
        <v>85</v>
      </c>
      <c r="T30" t="s">
        <v>71</v>
      </c>
      <c r="U30" t="s">
        <v>72</v>
      </c>
      <c r="V30" t="s">
        <v>73</v>
      </c>
      <c r="W30" t="s">
        <v>74</v>
      </c>
      <c r="X30" t="s">
        <v>75</v>
      </c>
      <c r="Y30" t="s">
        <v>76</v>
      </c>
      <c r="Z30" t="s">
        <v>77</v>
      </c>
      <c r="AA30" t="s">
        <v>78</v>
      </c>
      <c r="AB30" t="s">
        <v>79</v>
      </c>
      <c r="AC30" t="s">
        <v>80</v>
      </c>
      <c r="AD30" t="s">
        <v>81</v>
      </c>
      <c r="AE30" t="s">
        <v>82</v>
      </c>
    </row>
    <row r="31" spans="1:31" ht="18.75" x14ac:dyDescent="0.35">
      <c r="B31" t="s">
        <v>51</v>
      </c>
      <c r="C31">
        <f>D27*L16+D28*L15+D29*L17</f>
        <v>-283.31225000000001</v>
      </c>
      <c r="J31">
        <f>-J34*SUM(K31:AE31)</f>
        <v>-86.826477361705855</v>
      </c>
      <c r="K31">
        <f>K32*K33*(C31-C32)</f>
        <v>-1.232197718084127</v>
      </c>
      <c r="L31">
        <f>L32*L33*(C31-C33)</f>
        <v>-0.98739517108981789</v>
      </c>
      <c r="M31">
        <f>M32*M33*(C31-C34)</f>
        <v>-0.63513303898352225</v>
      </c>
      <c r="N31">
        <f>N32*N33*(C31-C35)</f>
        <v>7.4739782212102909E-2</v>
      </c>
      <c r="O31">
        <f>O32*O33*(C31-C36)</f>
        <v>-0.6207384341824852</v>
      </c>
      <c r="P31">
        <f>P32*P33*(C31-C37)</f>
        <v>0.21601010156989586</v>
      </c>
      <c r="Q31">
        <f>Q32*Q33*(C32-C33)</f>
        <v>0.1631835725308641</v>
      </c>
      <c r="R31">
        <f>R32*R33*(C32-C34)</f>
        <v>0.80868586805555531</v>
      </c>
      <c r="S31">
        <f>S32*S33*(C32-C35)</f>
        <v>1.6925688117283946</v>
      </c>
      <c r="T31">
        <f>T32*T33*(C32-C36)</f>
        <v>0.40800761574074063</v>
      </c>
      <c r="U31">
        <f>U32*U33*(C32-C37)</f>
        <v>2.6081124768518511</v>
      </c>
      <c r="V31">
        <f>V32*V33*(C33-C34)</f>
        <v>0.56391050925925912</v>
      </c>
      <c r="W31">
        <f>W32*W33*(C33-C35)</f>
        <v>1.3662016666666663</v>
      </c>
      <c r="X31">
        <f>X32*X33*(C33-C36)</f>
        <v>0.24482404320987655</v>
      </c>
      <c r="Y31">
        <f>Y32*Y33*(C33-C37)</f>
        <v>2.1185617592592592</v>
      </c>
      <c r="Z31">
        <f>Z32*Z33*(C34-C35)</f>
        <v>0.92148148148148123</v>
      </c>
      <c r="AA31">
        <f>AA32*AA33*(C34-C36)</f>
        <v>-0.19667444444444435</v>
      </c>
      <c r="AB31">
        <f>AB32*AB33*(C34-C37)</f>
        <v>1.4861111111111109</v>
      </c>
      <c r="AC31">
        <f>AC32*AC33*(C35-C36)</f>
        <v>-0.87655358024691332</v>
      </c>
      <c r="AD31">
        <f>AD32*AD33*(C35-C37)</f>
        <v>0.13851851851851885</v>
      </c>
      <c r="AE31">
        <f>AE32*AE33*(C36-C37)</f>
        <v>1.3840896296296294</v>
      </c>
    </row>
    <row r="32" spans="1:31" ht="18.75" x14ac:dyDescent="0.35">
      <c r="B32" t="s">
        <v>52</v>
      </c>
      <c r="C32">
        <f>E32+D32</f>
        <v>-216.780963125</v>
      </c>
      <c r="D32">
        <f>E27*L16+E28*L15</f>
        <v>-221.02250000000001</v>
      </c>
      <c r="E32">
        <f>K21*E27*E28*(L16-L15)</f>
        <v>4.2415368749999987</v>
      </c>
      <c r="G32">
        <f>0.5*D29*W10+D27*W8+D28*W7</f>
        <v>-694.86595</v>
      </c>
      <c r="J32" t="s">
        <v>83</v>
      </c>
      <c r="K32">
        <f>($D27+$D28+$D29*3/2)/$J34</f>
        <v>0.16670369958893458</v>
      </c>
      <c r="L32">
        <f t="shared" ref="L32:P32" si="0">($D27+$D28+$D29*3/2)/$J34</f>
        <v>0.16670369958893458</v>
      </c>
      <c r="M32">
        <f>($D27+$D28+$D29*3/2)/$J34</f>
        <v>0.16670369958893458</v>
      </c>
      <c r="N32">
        <f t="shared" si="0"/>
        <v>0.16670369958893458</v>
      </c>
      <c r="O32">
        <f t="shared" si="0"/>
        <v>0.16670369958893458</v>
      </c>
      <c r="P32">
        <f t="shared" si="0"/>
        <v>0.16670369958893458</v>
      </c>
      <c r="Q32">
        <v>0.1111111111111111</v>
      </c>
      <c r="R32">
        <v>0.1111111111111111</v>
      </c>
      <c r="S32">
        <v>0.1111111111111111</v>
      </c>
      <c r="T32">
        <v>0.1111111111111111</v>
      </c>
      <c r="U32">
        <v>0.1111111111111111</v>
      </c>
      <c r="V32">
        <v>0.1111111111111111</v>
      </c>
      <c r="W32">
        <v>0.1111111111111111</v>
      </c>
      <c r="X32">
        <v>0.1111111111111111</v>
      </c>
      <c r="Y32">
        <v>0.1111111111111111</v>
      </c>
      <c r="Z32">
        <v>0.16666666666666666</v>
      </c>
      <c r="AA32">
        <v>0.16666666666666666</v>
      </c>
      <c r="AB32">
        <v>0.16666666666666666</v>
      </c>
      <c r="AC32">
        <v>0.22222222222222221</v>
      </c>
      <c r="AD32">
        <v>0.22222222222222221</v>
      </c>
      <c r="AE32">
        <v>0.1111111111111111</v>
      </c>
    </row>
    <row r="33" spans="2:31" ht="18.75" x14ac:dyDescent="0.35">
      <c r="B33" t="s">
        <v>53</v>
      </c>
      <c r="C33">
        <f>E33+D33</f>
        <v>-229.99883249999999</v>
      </c>
      <c r="D33">
        <f>F27*L16+F28*L16</f>
        <v>-230.79</v>
      </c>
      <c r="E33">
        <f>K22*F27*F28*(L16-L15)</f>
        <v>0.79116749999999991</v>
      </c>
      <c r="G33">
        <f>E27*W8</f>
        <v>-204.03000000000003</v>
      </c>
      <c r="J33" t="s">
        <v>84</v>
      </c>
      <c r="K33">
        <f>(E27+E28)/$J$34</f>
        <v>0.11109876680368849</v>
      </c>
      <c r="L33">
        <f>(F27+F28)/$J$34</f>
        <v>0.11109876680368849</v>
      </c>
      <c r="M33">
        <f>(H27*3/2)/$J$34</f>
        <v>0.16664815020553272</v>
      </c>
      <c r="N33">
        <f>(I27*2)/$J$34</f>
        <v>0.22219753360737698</v>
      </c>
      <c r="O33">
        <f>(J27)/$J$34</f>
        <v>0.11120986557049216</v>
      </c>
      <c r="P33">
        <f>(K27*3)/$J$34</f>
        <v>0.33329630041106545</v>
      </c>
      <c r="Q33">
        <v>0.1111111111111111</v>
      </c>
      <c r="R33">
        <v>0.16666666666666666</v>
      </c>
      <c r="S33">
        <v>0.22222222222222221</v>
      </c>
      <c r="T33">
        <v>0.1111111111111111</v>
      </c>
      <c r="U33">
        <v>0.33333333333333331</v>
      </c>
      <c r="V33">
        <v>0.16666666666666666</v>
      </c>
      <c r="W33">
        <v>0.22222222222222221</v>
      </c>
      <c r="X33">
        <v>0.1111111111111111</v>
      </c>
      <c r="Y33">
        <v>0.33333333333333331</v>
      </c>
      <c r="Z33">
        <v>0.22222222222222221</v>
      </c>
      <c r="AA33">
        <v>0.1111111111111111</v>
      </c>
      <c r="AB33">
        <v>0.33333333333333331</v>
      </c>
      <c r="AC33">
        <v>0.1111111111111111</v>
      </c>
      <c r="AD33">
        <v>0.33333333333333331</v>
      </c>
      <c r="AE33">
        <v>0.33333333333333331</v>
      </c>
    </row>
    <row r="34" spans="2:31" ht="18.75" x14ac:dyDescent="0.35">
      <c r="B34" t="s">
        <v>54</v>
      </c>
      <c r="C34">
        <f>H27*P16</f>
        <v>-260.45</v>
      </c>
      <c r="G34">
        <f>E28*W7</f>
        <v>-150.4</v>
      </c>
      <c r="J34">
        <v>9.0009999999999994</v>
      </c>
    </row>
    <row r="35" spans="2:31" ht="18.75" x14ac:dyDescent="0.35">
      <c r="B35" t="s">
        <v>54</v>
      </c>
      <c r="C35">
        <f>I27*P15</f>
        <v>-285.33</v>
      </c>
      <c r="G35">
        <f>F27*W8</f>
        <v>-204.03000000000003</v>
      </c>
    </row>
    <row r="36" spans="2:31" ht="18.75" x14ac:dyDescent="0.35">
      <c r="B36" t="s">
        <v>55</v>
      </c>
      <c r="C36">
        <f>J27*S15</f>
        <v>-249.82957999999999</v>
      </c>
      <c r="G36">
        <f>F28*W7</f>
        <v>-150.4</v>
      </c>
      <c r="I36" s="1" t="s">
        <v>86</v>
      </c>
      <c r="J36" t="s">
        <v>92</v>
      </c>
      <c r="K36" t="s">
        <v>93</v>
      </c>
      <c r="L36" t="s">
        <v>94</v>
      </c>
      <c r="M36" t="s">
        <v>95</v>
      </c>
      <c r="N36" s="2" t="s">
        <v>96</v>
      </c>
      <c r="O36" t="s">
        <v>97</v>
      </c>
      <c r="P36" s="1" t="s">
        <v>112</v>
      </c>
    </row>
    <row r="37" spans="2:31" ht="18.75" x14ac:dyDescent="0.35">
      <c r="B37" t="s">
        <v>56</v>
      </c>
      <c r="C37">
        <f>K27*U17</f>
        <v>-287.2</v>
      </c>
      <c r="G37">
        <f>0.5*W10</f>
        <v>-837.85</v>
      </c>
      <c r="I37">
        <f>G41</f>
        <v>-3824.6024273617058</v>
      </c>
      <c r="J37">
        <f t="shared" ref="J37:O37" si="1">$D27*Z9*0.5+$D27*Z12*0.5+$D28*Z8*0.5+$D28*Z13*0.5+$D29*Z10*0.75+$D29*Z11*0.25/2+$E27*Z9+$E28*Z8+$F27*Z12+$F28*Z13+$H27*0.5*Z15+$I27*Z16</f>
        <v>234.83463500000002</v>
      </c>
      <c r="K37">
        <f t="shared" si="1"/>
        <v>287.64386125000004</v>
      </c>
      <c r="L37">
        <f t="shared" si="1"/>
        <v>301.16367000000002</v>
      </c>
      <c r="M37">
        <f t="shared" si="1"/>
        <v>188.33262125000002</v>
      </c>
      <c r="N37">
        <f t="shared" si="1"/>
        <v>-61.936337499999993</v>
      </c>
      <c r="O37">
        <f t="shared" si="1"/>
        <v>106.77811125000001</v>
      </c>
      <c r="P37" s="4">
        <f>(I37*1000-298.15*(J37-J39))/1000</f>
        <v>-3513.969747024456</v>
      </c>
    </row>
    <row r="38" spans="2:31" x14ac:dyDescent="0.25">
      <c r="C38">
        <f>SUM(C31:C37)</f>
        <v>-1812.9016256250002</v>
      </c>
      <c r="G38">
        <f>I27*W11</f>
        <v>-910.7</v>
      </c>
      <c r="H38">
        <v>4.1858000000000004</v>
      </c>
      <c r="I38" s="4">
        <f>I37/$H$38</f>
        <v>-913.70883161204677</v>
      </c>
      <c r="J38">
        <f t="shared" ref="J38:P38" si="2">J37/$H$38</f>
        <v>56.102688852787999</v>
      </c>
      <c r="K38">
        <f t="shared" si="2"/>
        <v>68.718969193463622</v>
      </c>
      <c r="L38">
        <f t="shared" si="2"/>
        <v>71.948891490276651</v>
      </c>
      <c r="M38">
        <f t="shared" si="2"/>
        <v>44.993220232691478</v>
      </c>
      <c r="N38">
        <f t="shared" si="2"/>
        <v>-14.796774212814752</v>
      </c>
      <c r="P38">
        <f t="shared" si="2"/>
        <v>-839.49776554647985</v>
      </c>
    </row>
    <row r="39" spans="2:31" x14ac:dyDescent="0.25">
      <c r="G39">
        <f>1*W12*0.5</f>
        <v>-146.375</v>
      </c>
      <c r="I39" t="s">
        <v>116</v>
      </c>
      <c r="J39">
        <f>SUM(D27:F27)*J$42+SUM(D28:F28)*K$42+2*SUM(D29,H27)+M$42+J34/2*N$42+(J27+3*K27)/2*O$42</f>
        <v>1276.7017499999999</v>
      </c>
    </row>
    <row r="40" spans="2:31" x14ac:dyDescent="0.25">
      <c r="G40">
        <f>3*W12*0.5</f>
        <v>-439.125</v>
      </c>
      <c r="I40" t="s">
        <v>115</v>
      </c>
      <c r="J40">
        <f>SUM(D27:F27)*J$43+SUM(D28:F28)*K$43+SUM(D29,H27)*L$43+SUM(H28,I27)*M$43+0.5*J34*N$43+(J27+3*K27)/2*O$43</f>
        <v>344.94957784999997</v>
      </c>
    </row>
    <row r="41" spans="2:31" x14ac:dyDescent="0.25">
      <c r="G41">
        <f>SUM(G32:G40)+J31</f>
        <v>-3824.6024273617058</v>
      </c>
      <c r="J41" t="s">
        <v>106</v>
      </c>
      <c r="K41" t="s">
        <v>107</v>
      </c>
      <c r="L41" t="s">
        <v>108</v>
      </c>
      <c r="M41" t="s">
        <v>109</v>
      </c>
      <c r="N41" t="s">
        <v>110</v>
      </c>
      <c r="O41" t="s">
        <v>111</v>
      </c>
    </row>
    <row r="42" spans="2:31" x14ac:dyDescent="0.25">
      <c r="G42">
        <f>2*G41</f>
        <v>-7649.2048547234117</v>
      </c>
      <c r="I42" t="s">
        <v>92</v>
      </c>
      <c r="J42">
        <v>27.2</v>
      </c>
      <c r="K42">
        <v>32.6</v>
      </c>
      <c r="L42">
        <v>28.5</v>
      </c>
      <c r="M42">
        <v>19</v>
      </c>
      <c r="N42">
        <v>205</v>
      </c>
      <c r="O42">
        <v>130.5</v>
      </c>
    </row>
    <row r="43" spans="2:31" x14ac:dyDescent="0.25">
      <c r="I43" t="s">
        <v>114</v>
      </c>
      <c r="J43">
        <v>55.844999999999999</v>
      </c>
      <c r="K43">
        <v>24.305</v>
      </c>
      <c r="L43">
        <v>26.981529999999999</v>
      </c>
      <c r="M43">
        <v>28.0855</v>
      </c>
      <c r="N43">
        <v>31.998799999999999</v>
      </c>
      <c r="O43">
        <v>2.0158800000000001</v>
      </c>
    </row>
    <row r="44" spans="2:31" x14ac:dyDescent="0.25">
      <c r="C44">
        <f>0.667*0.25/2</f>
        <v>8.3375000000000005E-2</v>
      </c>
      <c r="O44">
        <v>2</v>
      </c>
    </row>
    <row r="45" spans="2:31" x14ac:dyDescent="0.25">
      <c r="C45">
        <f>C44*3</f>
        <v>0.25012500000000004</v>
      </c>
      <c r="J45">
        <f>2*J43+0.5*K43+1.667*L43+1*M43+9.001/2*N43+4.001/2*O43</f>
        <v>344.94957784999997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dkirste</dc:creator>
  <cp:lastModifiedBy>Jeff</cp:lastModifiedBy>
  <dcterms:created xsi:type="dcterms:W3CDTF">2015-12-14T02:02:49Z</dcterms:created>
  <dcterms:modified xsi:type="dcterms:W3CDTF">2017-04-19T18:52:38Z</dcterms:modified>
</cp:coreProperties>
</file>