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R_stuff/R_Research/MPAs/"/>
    </mc:Choice>
  </mc:AlternateContent>
  <bookViews>
    <workbookView xWindow="2140" yWindow="460" windowWidth="26480" windowHeight="16580" tabRatio="500"/>
  </bookViews>
  <sheets>
    <sheet name="Fest_noab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  <c r="C43" i="1"/>
  <c r="C42" i="1"/>
  <c r="C41" i="1"/>
  <c r="C39" i="1"/>
  <c r="C38" i="1"/>
  <c r="P60" i="1"/>
  <c r="Q60" i="1"/>
  <c r="R60" i="1"/>
  <c r="M60" i="1"/>
  <c r="L60" i="1"/>
  <c r="G60" i="1"/>
  <c r="H60" i="1"/>
  <c r="D60" i="1"/>
  <c r="C60" i="1"/>
  <c r="H103" i="1"/>
  <c r="H102" i="1"/>
  <c r="H101" i="1"/>
  <c r="H100" i="1"/>
  <c r="H99" i="1"/>
  <c r="H98" i="1"/>
  <c r="P84" i="1"/>
  <c r="Q84" i="1"/>
  <c r="R84" i="1"/>
  <c r="M84" i="1"/>
  <c r="L84" i="1"/>
  <c r="G84" i="1"/>
  <c r="H84" i="1"/>
  <c r="D84" i="1"/>
  <c r="C84" i="1"/>
  <c r="N96" i="1"/>
  <c r="P96" i="1"/>
  <c r="Q96" i="1"/>
  <c r="R96" i="1"/>
  <c r="M96" i="1"/>
  <c r="L96" i="1"/>
  <c r="G96" i="1"/>
  <c r="H96" i="1"/>
  <c r="C96" i="1"/>
  <c r="N47" i="1"/>
  <c r="P47" i="1"/>
  <c r="Q47" i="1"/>
  <c r="R47" i="1"/>
  <c r="M47" i="1"/>
  <c r="L47" i="1"/>
  <c r="G47" i="1"/>
  <c r="H47" i="1"/>
  <c r="C47" i="1"/>
  <c r="N53" i="1"/>
  <c r="P53" i="1"/>
  <c r="Q53" i="1"/>
  <c r="R53" i="1"/>
  <c r="M53" i="1"/>
  <c r="L53" i="1"/>
  <c r="G53" i="1"/>
  <c r="H53" i="1"/>
  <c r="C53" i="1"/>
  <c r="P102" i="1"/>
  <c r="Q102" i="1"/>
  <c r="R102" i="1"/>
  <c r="M102" i="1"/>
  <c r="L102" i="1"/>
  <c r="G102" i="1"/>
  <c r="P101" i="1"/>
  <c r="Q101" i="1"/>
  <c r="R101" i="1"/>
  <c r="M101" i="1"/>
  <c r="L101" i="1"/>
  <c r="G101" i="1"/>
  <c r="C102" i="1"/>
  <c r="C101" i="1"/>
  <c r="N95" i="1"/>
  <c r="P95" i="1"/>
  <c r="Q95" i="1"/>
  <c r="R95" i="1"/>
  <c r="M95" i="1"/>
  <c r="L95" i="1"/>
  <c r="G95" i="1"/>
  <c r="H95" i="1"/>
  <c r="C95" i="1"/>
  <c r="D89" i="1"/>
  <c r="G89" i="1"/>
  <c r="H89" i="1"/>
  <c r="L89" i="1"/>
  <c r="M89" i="1"/>
  <c r="P89" i="1"/>
  <c r="Q89" i="1"/>
  <c r="R89" i="1"/>
  <c r="C89" i="1"/>
  <c r="P90" i="1"/>
  <c r="Q90" i="1"/>
  <c r="R90" i="1"/>
  <c r="M90" i="1"/>
  <c r="L90" i="1"/>
  <c r="G90" i="1"/>
  <c r="H90" i="1"/>
  <c r="D90" i="1"/>
  <c r="C90" i="1"/>
  <c r="P83" i="1"/>
  <c r="Q83" i="1"/>
  <c r="R83" i="1"/>
  <c r="M83" i="1"/>
  <c r="L83" i="1"/>
  <c r="G83" i="1"/>
  <c r="H83" i="1"/>
  <c r="D83" i="1"/>
  <c r="C83" i="1"/>
  <c r="P78" i="1"/>
  <c r="Q78" i="1"/>
  <c r="R78" i="1"/>
  <c r="M78" i="1"/>
  <c r="L78" i="1"/>
  <c r="G78" i="1"/>
  <c r="H78" i="1"/>
  <c r="D78" i="1"/>
  <c r="C78" i="1"/>
  <c r="P77" i="1"/>
  <c r="Q77" i="1"/>
  <c r="R77" i="1"/>
  <c r="M77" i="1"/>
  <c r="L77" i="1"/>
  <c r="G77" i="1"/>
  <c r="H77" i="1"/>
  <c r="D77" i="1"/>
  <c r="C77" i="1"/>
  <c r="P66" i="1"/>
  <c r="Q66" i="1"/>
  <c r="R66" i="1"/>
  <c r="M66" i="1"/>
  <c r="L66" i="1"/>
  <c r="G66" i="1"/>
  <c r="H66" i="1"/>
  <c r="D66" i="1"/>
  <c r="C66" i="1"/>
  <c r="P65" i="1"/>
  <c r="Q65" i="1"/>
  <c r="R65" i="1"/>
  <c r="M65" i="1"/>
  <c r="L65" i="1"/>
  <c r="G65" i="1"/>
  <c r="H65" i="1"/>
  <c r="D65" i="1"/>
  <c r="C65" i="1"/>
  <c r="P59" i="1"/>
  <c r="Q59" i="1"/>
  <c r="R59" i="1"/>
  <c r="M59" i="1"/>
  <c r="L59" i="1"/>
  <c r="G59" i="1"/>
  <c r="H59" i="1"/>
  <c r="D59" i="1"/>
  <c r="C59" i="1"/>
  <c r="N41" i="1"/>
  <c r="P41" i="1"/>
  <c r="Q41" i="1"/>
  <c r="R41" i="1"/>
  <c r="M41" i="1"/>
  <c r="L41" i="1"/>
  <c r="G41" i="1"/>
  <c r="H41" i="1"/>
  <c r="N35" i="1"/>
  <c r="P35" i="1"/>
  <c r="Q35" i="1"/>
  <c r="R35" i="1"/>
  <c r="M35" i="1"/>
  <c r="L35" i="1"/>
  <c r="G35" i="1"/>
  <c r="H35" i="1"/>
  <c r="C35" i="1"/>
  <c r="N29" i="1"/>
  <c r="P29" i="1"/>
  <c r="Q29" i="1"/>
  <c r="R29" i="1"/>
  <c r="M29" i="1"/>
  <c r="L29" i="1"/>
  <c r="G29" i="1"/>
  <c r="H29" i="1"/>
  <c r="C29" i="1"/>
  <c r="C23" i="1"/>
  <c r="N23" i="1"/>
  <c r="P23" i="1"/>
  <c r="Q23" i="1"/>
  <c r="R23" i="1"/>
  <c r="M23" i="1"/>
  <c r="L23" i="1"/>
  <c r="G23" i="1"/>
  <c r="H23" i="1"/>
  <c r="N17" i="1"/>
  <c r="P17" i="1"/>
  <c r="Q17" i="1"/>
  <c r="R17" i="1"/>
  <c r="M17" i="1"/>
  <c r="L17" i="1"/>
  <c r="G17" i="1"/>
  <c r="H17" i="1"/>
  <c r="C17" i="1"/>
  <c r="N11" i="1"/>
  <c r="P11" i="1"/>
  <c r="Q11" i="1"/>
  <c r="R11" i="1"/>
  <c r="M11" i="1"/>
  <c r="L11" i="1"/>
  <c r="G11" i="1"/>
  <c r="H11" i="1"/>
  <c r="C11" i="1"/>
  <c r="N5" i="1"/>
  <c r="P5" i="1"/>
  <c r="Q5" i="1"/>
  <c r="R5" i="1"/>
  <c r="M5" i="1"/>
  <c r="L5" i="1"/>
  <c r="G5" i="1"/>
  <c r="H5" i="1"/>
  <c r="C5" i="1"/>
  <c r="P71" i="1"/>
  <c r="Q71" i="1"/>
  <c r="R71" i="1"/>
  <c r="M71" i="1"/>
  <c r="L71" i="1"/>
  <c r="G71" i="1"/>
  <c r="H71" i="1"/>
  <c r="D71" i="1"/>
  <c r="C71" i="1"/>
  <c r="P72" i="1"/>
  <c r="Q72" i="1"/>
  <c r="R72" i="1"/>
  <c r="M72" i="1"/>
  <c r="L72" i="1"/>
  <c r="G72" i="1"/>
  <c r="H72" i="1"/>
  <c r="D72" i="1"/>
  <c r="C72" i="1"/>
  <c r="P103" i="1"/>
  <c r="Q103" i="1"/>
  <c r="R103" i="1"/>
  <c r="M103" i="1"/>
  <c r="L103" i="1"/>
  <c r="G103" i="1"/>
  <c r="P100" i="1"/>
  <c r="Q100" i="1"/>
  <c r="R100" i="1"/>
  <c r="M100" i="1"/>
  <c r="L100" i="1"/>
  <c r="G100" i="1"/>
  <c r="P99" i="1"/>
  <c r="Q99" i="1"/>
  <c r="R99" i="1"/>
  <c r="M99" i="1"/>
  <c r="L99" i="1"/>
  <c r="G99" i="1"/>
  <c r="P98" i="1"/>
  <c r="Q98" i="1"/>
  <c r="R98" i="1"/>
  <c r="M98" i="1"/>
  <c r="L98" i="1"/>
  <c r="G98" i="1"/>
  <c r="C97" i="1"/>
  <c r="C94" i="1"/>
  <c r="C93" i="1"/>
  <c r="C92" i="1"/>
  <c r="N97" i="1"/>
  <c r="P97" i="1"/>
  <c r="Q97" i="1"/>
  <c r="R97" i="1"/>
  <c r="M97" i="1"/>
  <c r="L97" i="1"/>
  <c r="G97" i="1"/>
  <c r="H97" i="1"/>
  <c r="N94" i="1"/>
  <c r="P94" i="1"/>
  <c r="Q94" i="1"/>
  <c r="R94" i="1"/>
  <c r="M94" i="1"/>
  <c r="L94" i="1"/>
  <c r="G94" i="1"/>
  <c r="H94" i="1"/>
  <c r="N93" i="1"/>
  <c r="P93" i="1"/>
  <c r="Q93" i="1"/>
  <c r="R93" i="1"/>
  <c r="M93" i="1"/>
  <c r="L93" i="1"/>
  <c r="G93" i="1"/>
  <c r="H93" i="1"/>
  <c r="N92" i="1"/>
  <c r="P92" i="1"/>
  <c r="Q92" i="1"/>
  <c r="R92" i="1"/>
  <c r="M92" i="1"/>
  <c r="L92" i="1"/>
  <c r="G92" i="1"/>
  <c r="H92" i="1"/>
  <c r="G3" i="1"/>
  <c r="G4" i="1"/>
  <c r="G6" i="1"/>
  <c r="G7" i="1"/>
  <c r="G8" i="1"/>
  <c r="G9" i="1"/>
  <c r="G10" i="1"/>
  <c r="G12" i="1"/>
  <c r="G13" i="1"/>
  <c r="G14" i="1"/>
  <c r="G15" i="1"/>
  <c r="G16" i="1"/>
  <c r="G18" i="1"/>
  <c r="G19" i="1"/>
  <c r="G20" i="1"/>
  <c r="G21" i="1"/>
  <c r="G22" i="1"/>
  <c r="G24" i="1"/>
  <c r="G25" i="1"/>
  <c r="G26" i="1"/>
  <c r="G27" i="1"/>
  <c r="G28" i="1"/>
  <c r="G30" i="1"/>
  <c r="G31" i="1"/>
  <c r="G32" i="1"/>
  <c r="G33" i="1"/>
  <c r="G34" i="1"/>
  <c r="G36" i="1"/>
  <c r="G37" i="1"/>
  <c r="G38" i="1"/>
  <c r="G39" i="1"/>
  <c r="G40" i="1"/>
  <c r="G42" i="1"/>
  <c r="G43" i="1"/>
  <c r="G44" i="1"/>
  <c r="G45" i="1"/>
  <c r="G46" i="1"/>
  <c r="G48" i="1"/>
  <c r="G49" i="1"/>
  <c r="G50" i="1"/>
  <c r="G51" i="1"/>
  <c r="G52" i="1"/>
  <c r="G54" i="1"/>
  <c r="G55" i="1"/>
  <c r="G56" i="1"/>
  <c r="G57" i="1"/>
  <c r="G58" i="1"/>
  <c r="G61" i="1"/>
  <c r="G62" i="1"/>
  <c r="G63" i="1"/>
  <c r="G64" i="1"/>
  <c r="G67" i="1"/>
  <c r="G68" i="1"/>
  <c r="G69" i="1"/>
  <c r="G70" i="1"/>
  <c r="G73" i="1"/>
  <c r="G74" i="1"/>
  <c r="G75" i="1"/>
  <c r="G76" i="1"/>
  <c r="G79" i="1"/>
  <c r="G80" i="1"/>
  <c r="G81" i="1"/>
  <c r="G82" i="1"/>
  <c r="G85" i="1"/>
  <c r="G86" i="1"/>
  <c r="G87" i="1"/>
  <c r="G88" i="1"/>
  <c r="G91" i="1"/>
  <c r="G2" i="1"/>
  <c r="P87" i="1"/>
  <c r="Q87" i="1"/>
  <c r="R87" i="1"/>
  <c r="P88" i="1"/>
  <c r="Q88" i="1"/>
  <c r="R88" i="1"/>
  <c r="P91" i="1"/>
  <c r="Q91" i="1"/>
  <c r="R91" i="1"/>
  <c r="P86" i="1"/>
  <c r="Q86" i="1"/>
  <c r="R86" i="1"/>
  <c r="L87" i="1"/>
  <c r="L88" i="1"/>
  <c r="L91" i="1"/>
  <c r="L86" i="1"/>
  <c r="H87" i="1"/>
  <c r="H88" i="1"/>
  <c r="H91" i="1"/>
  <c r="H86" i="1"/>
  <c r="M87" i="1"/>
  <c r="M88" i="1"/>
  <c r="M91" i="1"/>
  <c r="M86" i="1"/>
  <c r="D87" i="1"/>
  <c r="D88" i="1"/>
  <c r="D91" i="1"/>
  <c r="D86" i="1"/>
  <c r="C91" i="1"/>
  <c r="C88" i="1"/>
  <c r="C87" i="1"/>
  <c r="P81" i="1"/>
  <c r="Q81" i="1"/>
  <c r="R81" i="1"/>
  <c r="P82" i="1"/>
  <c r="Q82" i="1"/>
  <c r="R82" i="1"/>
  <c r="P85" i="1"/>
  <c r="Q85" i="1"/>
  <c r="R85" i="1"/>
  <c r="P80" i="1"/>
  <c r="Q80" i="1"/>
  <c r="R80" i="1"/>
  <c r="M81" i="1"/>
  <c r="M82" i="1"/>
  <c r="M85" i="1"/>
  <c r="L81" i="1"/>
  <c r="L82" i="1"/>
  <c r="L85" i="1"/>
  <c r="L80" i="1"/>
  <c r="H85" i="1"/>
  <c r="H82" i="1"/>
  <c r="H81" i="1"/>
  <c r="H80" i="1"/>
  <c r="M80" i="1"/>
  <c r="D81" i="1"/>
  <c r="D82" i="1"/>
  <c r="D85" i="1"/>
  <c r="D80" i="1"/>
  <c r="P75" i="1"/>
  <c r="Q75" i="1"/>
  <c r="R75" i="1"/>
  <c r="P76" i="1"/>
  <c r="Q76" i="1"/>
  <c r="R76" i="1"/>
  <c r="P79" i="1"/>
  <c r="Q79" i="1"/>
  <c r="R79" i="1"/>
  <c r="P74" i="1"/>
  <c r="Q74" i="1"/>
  <c r="R74" i="1"/>
  <c r="M75" i="1"/>
  <c r="M76" i="1"/>
  <c r="M79" i="1"/>
  <c r="L75" i="1"/>
  <c r="L76" i="1"/>
  <c r="L79" i="1"/>
  <c r="L74" i="1"/>
  <c r="H79" i="1"/>
  <c r="H76" i="1"/>
  <c r="H75" i="1"/>
  <c r="H74" i="1"/>
  <c r="M74" i="1"/>
  <c r="D75" i="1"/>
  <c r="D76" i="1"/>
  <c r="D79" i="1"/>
  <c r="D74" i="1"/>
  <c r="P69" i="1"/>
  <c r="Q69" i="1"/>
  <c r="R69" i="1"/>
  <c r="P70" i="1"/>
  <c r="Q70" i="1"/>
  <c r="R70" i="1"/>
  <c r="P73" i="1"/>
  <c r="Q73" i="1"/>
  <c r="R73" i="1"/>
  <c r="P68" i="1"/>
  <c r="Q68" i="1"/>
  <c r="R68" i="1"/>
  <c r="M69" i="1"/>
  <c r="M70" i="1"/>
  <c r="M73" i="1"/>
  <c r="H73" i="1"/>
  <c r="H70" i="1"/>
  <c r="H69" i="1"/>
  <c r="H68" i="1"/>
  <c r="M68" i="1"/>
  <c r="D69" i="1"/>
  <c r="D70" i="1"/>
  <c r="D73" i="1"/>
  <c r="L69" i="1"/>
  <c r="L70" i="1"/>
  <c r="L73" i="1"/>
  <c r="L68" i="1"/>
  <c r="D68" i="1"/>
  <c r="P63" i="1"/>
  <c r="Q63" i="1"/>
  <c r="R63" i="1"/>
  <c r="P64" i="1"/>
  <c r="Q64" i="1"/>
  <c r="R64" i="1"/>
  <c r="P67" i="1"/>
  <c r="Q67" i="1"/>
  <c r="R67" i="1"/>
  <c r="P62" i="1"/>
  <c r="Q62" i="1"/>
  <c r="R62" i="1"/>
  <c r="M62" i="1"/>
  <c r="M63" i="1"/>
  <c r="M64" i="1"/>
  <c r="M67" i="1"/>
  <c r="L63" i="1"/>
  <c r="L64" i="1"/>
  <c r="L67" i="1"/>
  <c r="L62" i="1"/>
  <c r="H67" i="1"/>
  <c r="H64" i="1"/>
  <c r="H63" i="1"/>
  <c r="H62" i="1"/>
  <c r="D63" i="1"/>
  <c r="D64" i="1"/>
  <c r="D67" i="1"/>
  <c r="D62" i="1"/>
  <c r="P61" i="1"/>
  <c r="Q61" i="1"/>
  <c r="R61" i="1"/>
  <c r="P58" i="1"/>
  <c r="Q58" i="1"/>
  <c r="R58" i="1"/>
  <c r="P57" i="1"/>
  <c r="Q57" i="1"/>
  <c r="R57" i="1"/>
  <c r="P56" i="1"/>
  <c r="Q56" i="1"/>
  <c r="R56" i="1"/>
  <c r="M57" i="1"/>
  <c r="M58" i="1"/>
  <c r="M61" i="1"/>
  <c r="L57" i="1"/>
  <c r="L58" i="1"/>
  <c r="L61" i="1"/>
  <c r="L56" i="1"/>
  <c r="M56" i="1"/>
  <c r="H61" i="1"/>
  <c r="H58" i="1"/>
  <c r="H57" i="1"/>
  <c r="D57" i="1"/>
  <c r="D58" i="1"/>
  <c r="D61" i="1"/>
  <c r="H56" i="1"/>
  <c r="D56" i="1"/>
  <c r="C85" i="1"/>
  <c r="C82" i="1"/>
  <c r="C81" i="1"/>
  <c r="C80" i="1"/>
  <c r="C73" i="1"/>
  <c r="C70" i="1"/>
  <c r="C69" i="1"/>
  <c r="C79" i="1"/>
  <c r="C76" i="1"/>
  <c r="C75" i="1"/>
  <c r="C74" i="1"/>
  <c r="C67" i="1"/>
  <c r="C64" i="1"/>
  <c r="C63" i="1"/>
  <c r="C62" i="1"/>
  <c r="C61" i="1"/>
  <c r="C58" i="1"/>
  <c r="C57" i="1"/>
  <c r="C56" i="1"/>
  <c r="N3" i="1"/>
  <c r="P3" i="1"/>
  <c r="Q3" i="1"/>
  <c r="R3" i="1"/>
  <c r="N4" i="1"/>
  <c r="P4" i="1"/>
  <c r="Q4" i="1"/>
  <c r="R4" i="1"/>
  <c r="N6" i="1"/>
  <c r="P6" i="1"/>
  <c r="Q6" i="1"/>
  <c r="R6" i="1"/>
  <c r="N7" i="1"/>
  <c r="P7" i="1"/>
  <c r="Q7" i="1"/>
  <c r="R7" i="1"/>
  <c r="N8" i="1"/>
  <c r="P8" i="1"/>
  <c r="Q8" i="1"/>
  <c r="R8" i="1"/>
  <c r="N9" i="1"/>
  <c r="P9" i="1"/>
  <c r="Q9" i="1"/>
  <c r="R9" i="1"/>
  <c r="N10" i="1"/>
  <c r="P10" i="1"/>
  <c r="Q10" i="1"/>
  <c r="R10" i="1"/>
  <c r="N12" i="1"/>
  <c r="P12" i="1"/>
  <c r="Q12" i="1"/>
  <c r="R12" i="1"/>
  <c r="N13" i="1"/>
  <c r="P13" i="1"/>
  <c r="Q13" i="1"/>
  <c r="R13" i="1"/>
  <c r="N14" i="1"/>
  <c r="P14" i="1"/>
  <c r="Q14" i="1"/>
  <c r="R14" i="1"/>
  <c r="N15" i="1"/>
  <c r="P15" i="1"/>
  <c r="Q15" i="1"/>
  <c r="R15" i="1"/>
  <c r="N16" i="1"/>
  <c r="P16" i="1"/>
  <c r="Q16" i="1"/>
  <c r="R16" i="1"/>
  <c r="N18" i="1"/>
  <c r="P18" i="1"/>
  <c r="Q18" i="1"/>
  <c r="R18" i="1"/>
  <c r="N19" i="1"/>
  <c r="P19" i="1"/>
  <c r="Q19" i="1"/>
  <c r="R19" i="1"/>
  <c r="N20" i="1"/>
  <c r="P20" i="1"/>
  <c r="Q20" i="1"/>
  <c r="R20" i="1"/>
  <c r="N21" i="1"/>
  <c r="P21" i="1"/>
  <c r="Q21" i="1"/>
  <c r="R21" i="1"/>
  <c r="N22" i="1"/>
  <c r="P22" i="1"/>
  <c r="Q22" i="1"/>
  <c r="R22" i="1"/>
  <c r="N24" i="1"/>
  <c r="P24" i="1"/>
  <c r="Q24" i="1"/>
  <c r="R24" i="1"/>
  <c r="N25" i="1"/>
  <c r="P25" i="1"/>
  <c r="Q25" i="1"/>
  <c r="R25" i="1"/>
  <c r="N26" i="1"/>
  <c r="P26" i="1"/>
  <c r="Q26" i="1"/>
  <c r="R26" i="1"/>
  <c r="N27" i="1"/>
  <c r="P27" i="1"/>
  <c r="Q27" i="1"/>
  <c r="R27" i="1"/>
  <c r="N28" i="1"/>
  <c r="P28" i="1"/>
  <c r="Q28" i="1"/>
  <c r="R28" i="1"/>
  <c r="N30" i="1"/>
  <c r="P30" i="1"/>
  <c r="Q30" i="1"/>
  <c r="R30" i="1"/>
  <c r="N31" i="1"/>
  <c r="P31" i="1"/>
  <c r="Q31" i="1"/>
  <c r="R31" i="1"/>
  <c r="N32" i="1"/>
  <c r="P32" i="1"/>
  <c r="Q32" i="1"/>
  <c r="R32" i="1"/>
  <c r="N33" i="1"/>
  <c r="P33" i="1"/>
  <c r="Q33" i="1"/>
  <c r="R33" i="1"/>
  <c r="N34" i="1"/>
  <c r="P34" i="1"/>
  <c r="Q34" i="1"/>
  <c r="R34" i="1"/>
  <c r="N36" i="1"/>
  <c r="P36" i="1"/>
  <c r="Q36" i="1"/>
  <c r="R36" i="1"/>
  <c r="N37" i="1"/>
  <c r="P37" i="1"/>
  <c r="Q37" i="1"/>
  <c r="R37" i="1"/>
  <c r="N38" i="1"/>
  <c r="P38" i="1"/>
  <c r="Q38" i="1"/>
  <c r="R38" i="1"/>
  <c r="N39" i="1"/>
  <c r="P39" i="1"/>
  <c r="Q39" i="1"/>
  <c r="R39" i="1"/>
  <c r="N40" i="1"/>
  <c r="P40" i="1"/>
  <c r="Q40" i="1"/>
  <c r="R40" i="1"/>
  <c r="N42" i="1"/>
  <c r="P42" i="1"/>
  <c r="Q42" i="1"/>
  <c r="R42" i="1"/>
  <c r="N43" i="1"/>
  <c r="P43" i="1"/>
  <c r="Q43" i="1"/>
  <c r="R43" i="1"/>
  <c r="N44" i="1"/>
  <c r="P44" i="1"/>
  <c r="Q44" i="1"/>
  <c r="R44" i="1"/>
  <c r="N45" i="1"/>
  <c r="P45" i="1"/>
  <c r="Q45" i="1"/>
  <c r="R45" i="1"/>
  <c r="N46" i="1"/>
  <c r="P46" i="1"/>
  <c r="Q46" i="1"/>
  <c r="R46" i="1"/>
  <c r="N48" i="1"/>
  <c r="P48" i="1"/>
  <c r="Q48" i="1"/>
  <c r="R48" i="1"/>
  <c r="N49" i="1"/>
  <c r="P49" i="1"/>
  <c r="Q49" i="1"/>
  <c r="R49" i="1"/>
  <c r="N50" i="1"/>
  <c r="P50" i="1"/>
  <c r="Q50" i="1"/>
  <c r="R50" i="1"/>
  <c r="N51" i="1"/>
  <c r="P51" i="1"/>
  <c r="Q51" i="1"/>
  <c r="R51" i="1"/>
  <c r="N52" i="1"/>
  <c r="P52" i="1"/>
  <c r="Q52" i="1"/>
  <c r="R52" i="1"/>
  <c r="N54" i="1"/>
  <c r="P54" i="1"/>
  <c r="Q54" i="1"/>
  <c r="R54" i="1"/>
  <c r="N55" i="1"/>
  <c r="P55" i="1"/>
  <c r="Q55" i="1"/>
  <c r="R55" i="1"/>
  <c r="N2" i="1"/>
  <c r="P2" i="1"/>
  <c r="Q2" i="1"/>
  <c r="R2" i="1"/>
  <c r="H8" i="1"/>
  <c r="M8" i="1"/>
  <c r="M14" i="1"/>
  <c r="M20" i="1"/>
  <c r="M26" i="1"/>
  <c r="M32" i="1"/>
  <c r="M38" i="1"/>
  <c r="M44" i="1"/>
  <c r="M50" i="1"/>
  <c r="M3" i="1"/>
  <c r="M9" i="1"/>
  <c r="M15" i="1"/>
  <c r="M21" i="1"/>
  <c r="M27" i="1"/>
  <c r="M33" i="1"/>
  <c r="M39" i="1"/>
  <c r="M45" i="1"/>
  <c r="M51" i="1"/>
  <c r="M4" i="1"/>
  <c r="M10" i="1"/>
  <c r="M16" i="1"/>
  <c r="M22" i="1"/>
  <c r="M28" i="1"/>
  <c r="M34" i="1"/>
  <c r="M40" i="1"/>
  <c r="M46" i="1"/>
  <c r="M52" i="1"/>
  <c r="M6" i="1"/>
  <c r="M12" i="1"/>
  <c r="M18" i="1"/>
  <c r="M24" i="1"/>
  <c r="M30" i="1"/>
  <c r="M36" i="1"/>
  <c r="M42" i="1"/>
  <c r="M48" i="1"/>
  <c r="M54" i="1"/>
  <c r="M7" i="1"/>
  <c r="M13" i="1"/>
  <c r="M19" i="1"/>
  <c r="M25" i="1"/>
  <c r="M31" i="1"/>
  <c r="M37" i="1"/>
  <c r="M43" i="1"/>
  <c r="M49" i="1"/>
  <c r="M55" i="1"/>
  <c r="M2" i="1"/>
  <c r="L3" i="1"/>
  <c r="L4" i="1"/>
  <c r="L6" i="1"/>
  <c r="L7" i="1"/>
  <c r="L8" i="1"/>
  <c r="L9" i="1"/>
  <c r="L10" i="1"/>
  <c r="L12" i="1"/>
  <c r="L13" i="1"/>
  <c r="L14" i="1"/>
  <c r="L15" i="1"/>
  <c r="L16" i="1"/>
  <c r="L18" i="1"/>
  <c r="L19" i="1"/>
  <c r="L20" i="1"/>
  <c r="L21" i="1"/>
  <c r="L22" i="1"/>
  <c r="L24" i="1"/>
  <c r="L25" i="1"/>
  <c r="L26" i="1"/>
  <c r="L27" i="1"/>
  <c r="L28" i="1"/>
  <c r="L30" i="1"/>
  <c r="L31" i="1"/>
  <c r="L32" i="1"/>
  <c r="L33" i="1"/>
  <c r="L34" i="1"/>
  <c r="L36" i="1"/>
  <c r="L37" i="1"/>
  <c r="L38" i="1"/>
  <c r="L39" i="1"/>
  <c r="L40" i="1"/>
  <c r="L42" i="1"/>
  <c r="L43" i="1"/>
  <c r="L44" i="1"/>
  <c r="L45" i="1"/>
  <c r="L46" i="1"/>
  <c r="L48" i="1"/>
  <c r="L49" i="1"/>
  <c r="L50" i="1"/>
  <c r="L51" i="1"/>
  <c r="L52" i="1"/>
  <c r="L54" i="1"/>
  <c r="L55" i="1"/>
  <c r="L2" i="1"/>
  <c r="H49" i="1"/>
  <c r="H48" i="1"/>
  <c r="H46" i="1"/>
  <c r="H45" i="1"/>
  <c r="H44" i="1"/>
  <c r="H43" i="1"/>
  <c r="H42" i="1"/>
  <c r="H40" i="1"/>
  <c r="H39" i="1"/>
  <c r="H38" i="1"/>
  <c r="H25" i="1"/>
  <c r="H24" i="1"/>
  <c r="H22" i="1"/>
  <c r="H21" i="1"/>
  <c r="H20" i="1"/>
  <c r="H19" i="1"/>
  <c r="H18" i="1"/>
  <c r="H16" i="1"/>
  <c r="H15" i="1"/>
  <c r="H14" i="1"/>
  <c r="H7" i="1"/>
  <c r="H6" i="1"/>
  <c r="H4" i="1"/>
  <c r="H3" i="1"/>
  <c r="H2" i="1"/>
  <c r="H55" i="1"/>
  <c r="H54" i="1"/>
  <c r="H52" i="1"/>
  <c r="H51" i="1"/>
  <c r="H50" i="1"/>
  <c r="H37" i="1"/>
  <c r="H36" i="1"/>
  <c r="H34" i="1"/>
  <c r="H33" i="1"/>
  <c r="H32" i="1"/>
  <c r="H31" i="1"/>
  <c r="H30" i="1"/>
  <c r="H28" i="1"/>
  <c r="H27" i="1"/>
  <c r="H26" i="1"/>
  <c r="H13" i="1"/>
  <c r="H12" i="1"/>
  <c r="H10" i="1"/>
  <c r="H9" i="1"/>
</calcChain>
</file>

<file path=xl/sharedStrings.xml><?xml version="1.0" encoding="utf-8"?>
<sst xmlns="http://schemas.openxmlformats.org/spreadsheetml/2006/main" count="121" uniqueCount="36">
  <si>
    <t>F_values</t>
  </si>
  <si>
    <t>F_est</t>
  </si>
  <si>
    <t>Lfish_Linf</t>
  </si>
  <si>
    <t>k</t>
  </si>
  <si>
    <t>M</t>
  </si>
  <si>
    <t>k_M</t>
  </si>
  <si>
    <t>k_M_F</t>
  </si>
  <si>
    <t>Max_age</t>
  </si>
  <si>
    <t>Lmat</t>
  </si>
  <si>
    <t>Lfish_Lmat</t>
  </si>
  <si>
    <t>Lfish</t>
  </si>
  <si>
    <t>Lfish_k</t>
  </si>
  <si>
    <t>AgeLfish_AgeHalfsat</t>
  </si>
  <si>
    <t>AgeLfish</t>
  </si>
  <si>
    <t>AgeHalfsat</t>
  </si>
  <si>
    <t>Linf</t>
  </si>
  <si>
    <t>t0</t>
  </si>
  <si>
    <t>species</t>
  </si>
  <si>
    <t>stock_assess_F</t>
  </si>
  <si>
    <t>Kelp bass</t>
  </si>
  <si>
    <t>Lingcod</t>
  </si>
  <si>
    <t>Brown rockfish</t>
  </si>
  <si>
    <t>Gopher rockfish</t>
  </si>
  <si>
    <t>Blue rockfish</t>
  </si>
  <si>
    <t>Black rockfish</t>
  </si>
  <si>
    <t>Kelp rockfish</t>
  </si>
  <si>
    <t>Copper rockfish</t>
  </si>
  <si>
    <t>Yellowtail rockfish</t>
  </si>
  <si>
    <t>Kelp greenling</t>
  </si>
  <si>
    <t>China rockfish</t>
  </si>
  <si>
    <t>Cabezon</t>
  </si>
  <si>
    <t>Bocaccio rockfish</t>
  </si>
  <si>
    <t>Olive rockfish</t>
  </si>
  <si>
    <t>Scorpionfish</t>
  </si>
  <si>
    <t>Vermilion rockfish</t>
  </si>
  <si>
    <t>Red urchin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</si>
</sst>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zoomScale="104" workbookViewId="0">
      <pane xSplit="3" ySplit="20" topLeftCell="D32" activePane="bottomRight" state="frozen"/>
      <selection pane="topRight" activeCell="D1" sqref="D1"/>
      <selection pane="bottomLeft" activeCell="A18" sqref="A18"/>
      <selection pane="bottomRight" activeCell="C42" sqref="C42"/>
    </sheetView>
  </sheetViews>
  <sheetFormatPr baseColWidth="10" defaultRowHeight="16" x14ac:dyDescent="0.2"/>
  <cols>
    <col min="3" max="3" width="10.83203125" style="2"/>
  </cols>
  <sheetData>
    <row r="1" spans="1:19" x14ac:dyDescent="0.2">
      <c r="A1" t="s">
        <v>0</v>
      </c>
      <c r="B1" t="s">
        <v>17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8</v>
      </c>
      <c r="L1" t="s">
        <v>9</v>
      </c>
      <c r="M1" t="s">
        <v>11</v>
      </c>
      <c r="N1" t="s">
        <v>15</v>
      </c>
      <c r="O1" t="s">
        <v>16</v>
      </c>
      <c r="P1" t="s">
        <v>13</v>
      </c>
      <c r="Q1" t="s">
        <v>14</v>
      </c>
      <c r="R1" t="s">
        <v>12</v>
      </c>
      <c r="S1" t="s">
        <v>18</v>
      </c>
    </row>
    <row r="2" spans="1:19" x14ac:dyDescent="0.2">
      <c r="A2">
        <v>0</v>
      </c>
      <c r="B2" t="s">
        <v>19</v>
      </c>
      <c r="C2" s="2">
        <v>3.3300000000000002E-4</v>
      </c>
      <c r="D2" s="1">
        <v>0.44</v>
      </c>
      <c r="E2" s="1">
        <v>0.06</v>
      </c>
      <c r="F2">
        <v>0.17799999999999999</v>
      </c>
      <c r="G2">
        <f t="shared" ref="G2:G39" si="0">E2/F2</f>
        <v>0.33707865168539325</v>
      </c>
      <c r="H2">
        <f t="shared" ref="H2:H8" si="1">G2-A2</f>
        <v>0.33707865168539325</v>
      </c>
      <c r="I2">
        <v>33</v>
      </c>
      <c r="J2">
        <v>30.48</v>
      </c>
      <c r="K2">
        <v>22.3</v>
      </c>
      <c r="L2">
        <f t="shared" ref="L2:L39" si="2">J2/K2</f>
        <v>1.3668161434977579</v>
      </c>
      <c r="M2">
        <f t="shared" ref="M2:M39" si="3">J2/E2</f>
        <v>508</v>
      </c>
      <c r="N2">
        <f t="shared" ref="N2:N55" si="4">(D2/J2)^(-1)</f>
        <v>69.27272727272728</v>
      </c>
      <c r="O2">
        <v>-3.5</v>
      </c>
      <c r="P2">
        <f t="shared" ref="P2:P39" si="5">LN((N2/(N2-J2)))+(E2*O2)</f>
        <v>0.36981849525294219</v>
      </c>
      <c r="Q2">
        <f t="shared" ref="Q2:Q39" si="6">LN(2)+(E2*O2)</f>
        <v>0.48314718055994532</v>
      </c>
      <c r="R2">
        <f t="shared" ref="R2:R39" si="7">P2/Q2</f>
        <v>0.76543651734516926</v>
      </c>
      <c r="S2">
        <v>0.12</v>
      </c>
    </row>
    <row r="3" spans="1:19" x14ac:dyDescent="0.2">
      <c r="A3">
        <v>0.05</v>
      </c>
      <c r="B3" t="s">
        <v>19</v>
      </c>
      <c r="C3" s="2">
        <v>-4.0800000000000003E-2</v>
      </c>
      <c r="D3" s="1">
        <v>0.44</v>
      </c>
      <c r="E3" s="1">
        <v>0.06</v>
      </c>
      <c r="F3">
        <v>0.17799999999999999</v>
      </c>
      <c r="G3">
        <f t="shared" si="0"/>
        <v>0.33707865168539325</v>
      </c>
      <c r="H3">
        <f t="shared" si="1"/>
        <v>0.28707865168539326</v>
      </c>
      <c r="I3">
        <v>33</v>
      </c>
      <c r="J3">
        <v>30.48</v>
      </c>
      <c r="K3">
        <v>22.3</v>
      </c>
      <c r="L3">
        <f t="shared" si="2"/>
        <v>1.3668161434977579</v>
      </c>
      <c r="M3">
        <f t="shared" si="3"/>
        <v>508</v>
      </c>
      <c r="N3">
        <f t="shared" si="4"/>
        <v>69.27272727272728</v>
      </c>
      <c r="O3">
        <v>-3.5</v>
      </c>
      <c r="P3">
        <f t="shared" si="5"/>
        <v>0.36981849525294219</v>
      </c>
      <c r="Q3">
        <f t="shared" si="6"/>
        <v>0.48314718055994532</v>
      </c>
      <c r="R3">
        <f t="shared" si="7"/>
        <v>0.76543651734516926</v>
      </c>
      <c r="S3">
        <v>0.12</v>
      </c>
    </row>
    <row r="4" spans="1:19" x14ac:dyDescent="0.2">
      <c r="A4">
        <v>0.1</v>
      </c>
      <c r="B4" t="s">
        <v>19</v>
      </c>
      <c r="C4" s="2">
        <v>-3.4700000000000002E-2</v>
      </c>
      <c r="D4" s="1">
        <v>0.44</v>
      </c>
      <c r="E4" s="1">
        <v>0.06</v>
      </c>
      <c r="F4">
        <v>0.17799999999999999</v>
      </c>
      <c r="G4">
        <f t="shared" si="0"/>
        <v>0.33707865168539325</v>
      </c>
      <c r="H4">
        <f t="shared" si="1"/>
        <v>0.23707865168539324</v>
      </c>
      <c r="I4">
        <v>33</v>
      </c>
      <c r="J4">
        <v>30.48</v>
      </c>
      <c r="K4">
        <v>22.3</v>
      </c>
      <c r="L4">
        <f t="shared" si="2"/>
        <v>1.3668161434977579</v>
      </c>
      <c r="M4">
        <f t="shared" si="3"/>
        <v>508</v>
      </c>
      <c r="N4">
        <f t="shared" si="4"/>
        <v>69.27272727272728</v>
      </c>
      <c r="O4">
        <v>-3.5</v>
      </c>
      <c r="P4">
        <f t="shared" si="5"/>
        <v>0.36981849525294219</v>
      </c>
      <c r="Q4">
        <f t="shared" si="6"/>
        <v>0.48314718055994532</v>
      </c>
      <c r="R4">
        <f t="shared" si="7"/>
        <v>0.76543651734516926</v>
      </c>
      <c r="S4">
        <v>0.12</v>
      </c>
    </row>
    <row r="5" spans="1:19" x14ac:dyDescent="0.2">
      <c r="A5">
        <v>0.15</v>
      </c>
      <c r="B5" t="s">
        <v>19</v>
      </c>
      <c r="C5" s="2">
        <f>0.1348-0.15</f>
        <v>-1.5199999999999991E-2</v>
      </c>
      <c r="D5" s="1">
        <v>0.44</v>
      </c>
      <c r="E5" s="1">
        <v>0.06</v>
      </c>
      <c r="F5">
        <v>0.17799999999999999</v>
      </c>
      <c r="G5">
        <f t="shared" ref="G5" si="8">E5/F5</f>
        <v>0.33707865168539325</v>
      </c>
      <c r="H5">
        <f t="shared" ref="H5" si="9">G5-A5</f>
        <v>0.18707865168539325</v>
      </c>
      <c r="I5">
        <v>33</v>
      </c>
      <c r="J5">
        <v>30.48</v>
      </c>
      <c r="K5">
        <v>22.3</v>
      </c>
      <c r="L5">
        <f t="shared" ref="L5" si="10">J5/K5</f>
        <v>1.3668161434977579</v>
      </c>
      <c r="M5">
        <f t="shared" ref="M5" si="11">J5/E5</f>
        <v>508</v>
      </c>
      <c r="N5">
        <f t="shared" ref="N5" si="12">(D5/J5)^(-1)</f>
        <v>69.27272727272728</v>
      </c>
      <c r="O5">
        <v>-3.5</v>
      </c>
      <c r="P5">
        <f t="shared" ref="P5" si="13">LN((N5/(N5-J5)))+(E5*O5)</f>
        <v>0.36981849525294219</v>
      </c>
      <c r="Q5">
        <f t="shared" ref="Q5" si="14">LN(2)+(E5*O5)</f>
        <v>0.48314718055994532</v>
      </c>
      <c r="R5">
        <f t="shared" ref="R5" si="15">P5/Q5</f>
        <v>0.76543651734516926</v>
      </c>
      <c r="S5">
        <v>0.12</v>
      </c>
    </row>
    <row r="6" spans="1:19" x14ac:dyDescent="0.2">
      <c r="A6">
        <v>0.2</v>
      </c>
      <c r="B6" t="s">
        <v>19</v>
      </c>
      <c r="C6" s="2">
        <v>-1.55E-2</v>
      </c>
      <c r="D6" s="1">
        <v>0.44</v>
      </c>
      <c r="E6" s="1">
        <v>0.06</v>
      </c>
      <c r="F6">
        <v>0.17799999999999999</v>
      </c>
      <c r="G6">
        <f t="shared" si="0"/>
        <v>0.33707865168539325</v>
      </c>
      <c r="H6">
        <f t="shared" si="1"/>
        <v>0.13707865168539324</v>
      </c>
      <c r="I6">
        <v>33</v>
      </c>
      <c r="J6">
        <v>30.48</v>
      </c>
      <c r="K6">
        <v>22.3</v>
      </c>
      <c r="L6">
        <f t="shared" si="2"/>
        <v>1.3668161434977579</v>
      </c>
      <c r="M6">
        <f t="shared" si="3"/>
        <v>508</v>
      </c>
      <c r="N6">
        <f t="shared" si="4"/>
        <v>69.27272727272728</v>
      </c>
      <c r="O6">
        <v>-3.5</v>
      </c>
      <c r="P6">
        <f t="shared" si="5"/>
        <v>0.36981849525294219</v>
      </c>
      <c r="Q6">
        <f t="shared" si="6"/>
        <v>0.48314718055994532</v>
      </c>
      <c r="R6">
        <f t="shared" si="7"/>
        <v>0.76543651734516926</v>
      </c>
      <c r="S6">
        <v>0.12</v>
      </c>
    </row>
    <row r="7" spans="1:19" x14ac:dyDescent="0.2">
      <c r="A7">
        <v>0.25</v>
      </c>
      <c r="B7" t="s">
        <v>19</v>
      </c>
      <c r="C7" s="2">
        <v>-5.7999999999999996E-3</v>
      </c>
      <c r="D7" s="1">
        <v>0.44</v>
      </c>
      <c r="E7" s="1">
        <v>0.06</v>
      </c>
      <c r="F7">
        <v>0.17799999999999999</v>
      </c>
      <c r="G7">
        <f t="shared" si="0"/>
        <v>0.33707865168539325</v>
      </c>
      <c r="H7">
        <f t="shared" si="1"/>
        <v>8.7078651685393249E-2</v>
      </c>
      <c r="I7">
        <v>33</v>
      </c>
      <c r="J7">
        <v>30.48</v>
      </c>
      <c r="K7">
        <v>22.3</v>
      </c>
      <c r="L7">
        <f t="shared" si="2"/>
        <v>1.3668161434977579</v>
      </c>
      <c r="M7">
        <f t="shared" si="3"/>
        <v>508</v>
      </c>
      <c r="N7">
        <f t="shared" si="4"/>
        <v>69.27272727272728</v>
      </c>
      <c r="O7">
        <v>-3.5</v>
      </c>
      <c r="P7">
        <f t="shared" si="5"/>
        <v>0.36981849525294219</v>
      </c>
      <c r="Q7">
        <f t="shared" si="6"/>
        <v>0.48314718055994532</v>
      </c>
      <c r="R7">
        <f t="shared" si="7"/>
        <v>0.76543651734516926</v>
      </c>
      <c r="S7">
        <v>0.12</v>
      </c>
    </row>
    <row r="8" spans="1:19" x14ac:dyDescent="0.2">
      <c r="A8">
        <v>0</v>
      </c>
      <c r="B8" t="s">
        <v>20</v>
      </c>
      <c r="C8" s="2">
        <v>1.1999999999999999E-3</v>
      </c>
      <c r="D8">
        <v>0.62</v>
      </c>
      <c r="E8">
        <v>0.17130000000000001</v>
      </c>
      <c r="F8">
        <v>0.25</v>
      </c>
      <c r="G8">
        <f t="shared" si="0"/>
        <v>0.68520000000000003</v>
      </c>
      <c r="H8">
        <f t="shared" si="1"/>
        <v>0.68520000000000003</v>
      </c>
      <c r="I8">
        <v>25</v>
      </c>
      <c r="J8">
        <v>60.1</v>
      </c>
      <c r="K8">
        <v>49.3</v>
      </c>
      <c r="L8">
        <f t="shared" si="2"/>
        <v>1.2190669371196756</v>
      </c>
      <c r="M8">
        <f t="shared" si="3"/>
        <v>350.84646818447169</v>
      </c>
      <c r="N8">
        <f t="shared" si="4"/>
        <v>96.935483870967744</v>
      </c>
      <c r="O8">
        <v>-1.559596</v>
      </c>
      <c r="P8">
        <f t="shared" si="5"/>
        <v>0.70042523146170566</v>
      </c>
      <c r="Q8">
        <f t="shared" si="6"/>
        <v>0.4259883857599453</v>
      </c>
      <c r="R8">
        <f t="shared" si="7"/>
        <v>1.6442355117550367</v>
      </c>
      <c r="S8">
        <v>0.23</v>
      </c>
    </row>
    <row r="9" spans="1:19" x14ac:dyDescent="0.2">
      <c r="A9">
        <v>0.05</v>
      </c>
      <c r="B9" t="s">
        <v>20</v>
      </c>
      <c r="C9" s="2">
        <v>-2.9700000000000001E-2</v>
      </c>
      <c r="D9">
        <v>0.62</v>
      </c>
      <c r="E9">
        <v>0.17130000000000001</v>
      </c>
      <c r="F9">
        <v>0.25</v>
      </c>
      <c r="G9">
        <f t="shared" si="0"/>
        <v>0.68520000000000003</v>
      </c>
      <c r="H9">
        <f>G9-A3</f>
        <v>0.63519999999999999</v>
      </c>
      <c r="I9">
        <v>25</v>
      </c>
      <c r="J9">
        <v>60.1</v>
      </c>
      <c r="K9">
        <v>49.3</v>
      </c>
      <c r="L9">
        <f t="shared" si="2"/>
        <v>1.2190669371196756</v>
      </c>
      <c r="M9">
        <f t="shared" si="3"/>
        <v>350.84646818447169</v>
      </c>
      <c r="N9">
        <f t="shared" si="4"/>
        <v>96.935483870967744</v>
      </c>
      <c r="O9">
        <v>-1.559596</v>
      </c>
      <c r="P9">
        <f t="shared" si="5"/>
        <v>0.70042523146170566</v>
      </c>
      <c r="Q9">
        <f t="shared" si="6"/>
        <v>0.4259883857599453</v>
      </c>
      <c r="R9">
        <f t="shared" si="7"/>
        <v>1.6442355117550367</v>
      </c>
      <c r="S9">
        <v>0.23</v>
      </c>
    </row>
    <row r="10" spans="1:19" x14ac:dyDescent="0.2">
      <c r="A10">
        <v>0.1</v>
      </c>
      <c r="B10" t="s">
        <v>20</v>
      </c>
      <c r="C10" s="2">
        <v>-3.39E-2</v>
      </c>
      <c r="D10">
        <v>0.62</v>
      </c>
      <c r="E10">
        <v>0.17130000000000001</v>
      </c>
      <c r="F10">
        <v>0.25</v>
      </c>
      <c r="G10">
        <f t="shared" si="0"/>
        <v>0.68520000000000003</v>
      </c>
      <c r="H10">
        <f>G10-A4</f>
        <v>0.58520000000000005</v>
      </c>
      <c r="I10">
        <v>25</v>
      </c>
      <c r="J10">
        <v>60.1</v>
      </c>
      <c r="K10">
        <v>49.3</v>
      </c>
      <c r="L10">
        <f t="shared" si="2"/>
        <v>1.2190669371196756</v>
      </c>
      <c r="M10">
        <f t="shared" si="3"/>
        <v>350.84646818447169</v>
      </c>
      <c r="N10">
        <f t="shared" si="4"/>
        <v>96.935483870967744</v>
      </c>
      <c r="O10">
        <v>-1.559596</v>
      </c>
      <c r="P10">
        <f t="shared" si="5"/>
        <v>0.70042523146170566</v>
      </c>
      <c r="Q10">
        <f t="shared" si="6"/>
        <v>0.4259883857599453</v>
      </c>
      <c r="R10">
        <f t="shared" si="7"/>
        <v>1.6442355117550367</v>
      </c>
      <c r="S10">
        <v>0.23</v>
      </c>
    </row>
    <row r="11" spans="1:19" x14ac:dyDescent="0.2">
      <c r="A11">
        <v>0.15</v>
      </c>
      <c r="B11" t="s">
        <v>20</v>
      </c>
      <c r="C11" s="2">
        <f>0.1231-0.15</f>
        <v>-2.6899999999999993E-2</v>
      </c>
      <c r="D11">
        <v>0.62</v>
      </c>
      <c r="E11">
        <v>0.17130000000000001</v>
      </c>
      <c r="F11">
        <v>0.25</v>
      </c>
      <c r="G11">
        <f t="shared" ref="G11" si="16">E11/F11</f>
        <v>0.68520000000000003</v>
      </c>
      <c r="H11">
        <f>G11-A5</f>
        <v>0.53520000000000001</v>
      </c>
      <c r="I11">
        <v>25</v>
      </c>
      <c r="J11">
        <v>60.1</v>
      </c>
      <c r="K11">
        <v>49.3</v>
      </c>
      <c r="L11">
        <f t="shared" ref="L11" si="17">J11/K11</f>
        <v>1.2190669371196756</v>
      </c>
      <c r="M11">
        <f t="shared" ref="M11" si="18">J11/E11</f>
        <v>350.84646818447169</v>
      </c>
      <c r="N11">
        <f t="shared" ref="N11" si="19">(D11/J11)^(-1)</f>
        <v>96.935483870967744</v>
      </c>
      <c r="O11">
        <v>-1.559596</v>
      </c>
      <c r="P11">
        <f t="shared" ref="P11" si="20">LN((N11/(N11-J11)))+(E11*O11)</f>
        <v>0.70042523146170566</v>
      </c>
      <c r="Q11">
        <f t="shared" ref="Q11" si="21">LN(2)+(E11*O11)</f>
        <v>0.4259883857599453</v>
      </c>
      <c r="R11">
        <f t="shared" ref="R11" si="22">P11/Q11</f>
        <v>1.6442355117550367</v>
      </c>
      <c r="S11">
        <v>0.23</v>
      </c>
    </row>
    <row r="12" spans="1:19" x14ac:dyDescent="0.2">
      <c r="A12">
        <v>0.2</v>
      </c>
      <c r="B12" t="s">
        <v>20</v>
      </c>
      <c r="C12" s="2">
        <v>-3.85E-2</v>
      </c>
      <c r="D12">
        <v>0.62</v>
      </c>
      <c r="E12">
        <v>0.17130000000000001</v>
      </c>
      <c r="F12">
        <v>0.25</v>
      </c>
      <c r="G12">
        <f t="shared" si="0"/>
        <v>0.68520000000000003</v>
      </c>
      <c r="H12">
        <f>G12-A6</f>
        <v>0.48520000000000002</v>
      </c>
      <c r="I12">
        <v>25</v>
      </c>
      <c r="J12">
        <v>60.1</v>
      </c>
      <c r="K12">
        <v>49.3</v>
      </c>
      <c r="L12">
        <f t="shared" si="2"/>
        <v>1.2190669371196756</v>
      </c>
      <c r="M12">
        <f t="shared" si="3"/>
        <v>350.84646818447169</v>
      </c>
      <c r="N12">
        <f t="shared" si="4"/>
        <v>96.935483870967744</v>
      </c>
      <c r="O12">
        <v>-1.559596</v>
      </c>
      <c r="P12">
        <f t="shared" si="5"/>
        <v>0.70042523146170566</v>
      </c>
      <c r="Q12">
        <f t="shared" si="6"/>
        <v>0.4259883857599453</v>
      </c>
      <c r="R12">
        <f t="shared" si="7"/>
        <v>1.6442355117550367</v>
      </c>
      <c r="S12">
        <v>0.23</v>
      </c>
    </row>
    <row r="13" spans="1:19" x14ac:dyDescent="0.2">
      <c r="A13">
        <v>0.25</v>
      </c>
      <c r="B13" t="s">
        <v>20</v>
      </c>
      <c r="C13" s="2">
        <v>-3.4200000000000001E-2</v>
      </c>
      <c r="D13">
        <v>0.62</v>
      </c>
      <c r="E13">
        <v>0.17130000000000001</v>
      </c>
      <c r="F13">
        <v>0.25</v>
      </c>
      <c r="G13">
        <f t="shared" si="0"/>
        <v>0.68520000000000003</v>
      </c>
      <c r="H13">
        <f>G13-A7</f>
        <v>0.43520000000000003</v>
      </c>
      <c r="I13">
        <v>25</v>
      </c>
      <c r="J13">
        <v>60.1</v>
      </c>
      <c r="K13">
        <v>49.3</v>
      </c>
      <c r="L13">
        <f t="shared" si="2"/>
        <v>1.2190669371196756</v>
      </c>
      <c r="M13">
        <f t="shared" si="3"/>
        <v>350.84646818447169</v>
      </c>
      <c r="N13">
        <f t="shared" si="4"/>
        <v>96.935483870967744</v>
      </c>
      <c r="O13">
        <v>-1.559596</v>
      </c>
      <c r="P13">
        <f t="shared" si="5"/>
        <v>0.70042523146170566</v>
      </c>
      <c r="Q13">
        <f t="shared" si="6"/>
        <v>0.4259883857599453</v>
      </c>
      <c r="R13">
        <f t="shared" si="7"/>
        <v>1.6442355117550367</v>
      </c>
      <c r="S13">
        <v>0.23</v>
      </c>
    </row>
    <row r="14" spans="1:19" x14ac:dyDescent="0.2">
      <c r="A14">
        <v>0</v>
      </c>
      <c r="B14" t="s">
        <v>21</v>
      </c>
      <c r="C14" s="2">
        <v>2.0000000000000001E-4</v>
      </c>
      <c r="D14" s="1">
        <v>0.54</v>
      </c>
      <c r="E14" s="1">
        <v>0.16</v>
      </c>
      <c r="F14">
        <v>0.14000000000000001</v>
      </c>
      <c r="G14">
        <f t="shared" si="0"/>
        <v>1.1428571428571428</v>
      </c>
      <c r="H14">
        <f t="shared" ref="H14:H55" si="23">G14-A14</f>
        <v>1.1428571428571428</v>
      </c>
      <c r="I14">
        <v>34</v>
      </c>
      <c r="J14">
        <v>27.5</v>
      </c>
      <c r="K14">
        <v>27.5</v>
      </c>
      <c r="L14">
        <f t="shared" si="2"/>
        <v>1</v>
      </c>
      <c r="M14">
        <f t="shared" si="3"/>
        <v>171.875</v>
      </c>
      <c r="N14">
        <f t="shared" si="4"/>
        <v>50.925925925925917</v>
      </c>
      <c r="O14">
        <v>-0.55000000000000004</v>
      </c>
      <c r="P14">
        <f t="shared" si="5"/>
        <v>0.68852878949899654</v>
      </c>
      <c r="Q14">
        <f t="shared" si="6"/>
        <v>0.60514718055994532</v>
      </c>
      <c r="R14">
        <f t="shared" si="7"/>
        <v>1.1377873211966349</v>
      </c>
      <c r="S14">
        <v>0.13</v>
      </c>
    </row>
    <row r="15" spans="1:19" x14ac:dyDescent="0.2">
      <c r="A15">
        <v>0.05</v>
      </c>
      <c r="B15" t="s">
        <v>21</v>
      </c>
      <c r="C15" s="2">
        <v>-3.8899999999999997E-2</v>
      </c>
      <c r="D15" s="1">
        <v>0.54</v>
      </c>
      <c r="E15" s="1">
        <v>0.16</v>
      </c>
      <c r="F15">
        <v>0.14000000000000001</v>
      </c>
      <c r="G15">
        <f t="shared" si="0"/>
        <v>1.1428571428571428</v>
      </c>
      <c r="H15">
        <f t="shared" si="23"/>
        <v>1.0928571428571427</v>
      </c>
      <c r="I15">
        <v>34</v>
      </c>
      <c r="J15">
        <v>27.5</v>
      </c>
      <c r="K15">
        <v>27.5</v>
      </c>
      <c r="L15">
        <f t="shared" si="2"/>
        <v>1</v>
      </c>
      <c r="M15">
        <f t="shared" si="3"/>
        <v>171.875</v>
      </c>
      <c r="N15">
        <f t="shared" si="4"/>
        <v>50.925925925925917</v>
      </c>
      <c r="O15">
        <v>-0.55000000000000004</v>
      </c>
      <c r="P15">
        <f t="shared" si="5"/>
        <v>0.68852878949899654</v>
      </c>
      <c r="Q15">
        <f t="shared" si="6"/>
        <v>0.60514718055994532</v>
      </c>
      <c r="R15">
        <f t="shared" si="7"/>
        <v>1.1377873211966349</v>
      </c>
      <c r="S15">
        <v>0.13</v>
      </c>
    </row>
    <row r="16" spans="1:19" x14ac:dyDescent="0.2">
      <c r="A16">
        <v>0.1</v>
      </c>
      <c r="B16" t="s">
        <v>21</v>
      </c>
      <c r="C16" s="2">
        <v>-2.9499999999999998E-2</v>
      </c>
      <c r="D16" s="1">
        <v>0.54</v>
      </c>
      <c r="E16" s="1">
        <v>0.16</v>
      </c>
      <c r="F16">
        <v>0.14000000000000001</v>
      </c>
      <c r="G16">
        <f t="shared" si="0"/>
        <v>1.1428571428571428</v>
      </c>
      <c r="H16">
        <f t="shared" si="23"/>
        <v>1.0428571428571427</v>
      </c>
      <c r="I16">
        <v>34</v>
      </c>
      <c r="J16">
        <v>27.5</v>
      </c>
      <c r="K16">
        <v>27.5</v>
      </c>
      <c r="L16">
        <f t="shared" si="2"/>
        <v>1</v>
      </c>
      <c r="M16">
        <f t="shared" si="3"/>
        <v>171.875</v>
      </c>
      <c r="N16">
        <f t="shared" si="4"/>
        <v>50.925925925925917</v>
      </c>
      <c r="O16">
        <v>-0.55000000000000004</v>
      </c>
      <c r="P16">
        <f t="shared" si="5"/>
        <v>0.68852878949899654</v>
      </c>
      <c r="Q16">
        <f t="shared" si="6"/>
        <v>0.60514718055994532</v>
      </c>
      <c r="R16">
        <f t="shared" si="7"/>
        <v>1.1377873211966349</v>
      </c>
      <c r="S16">
        <v>0.13</v>
      </c>
    </row>
    <row r="17" spans="1:19" x14ac:dyDescent="0.2">
      <c r="A17">
        <v>0.15</v>
      </c>
      <c r="B17" t="s">
        <v>21</v>
      </c>
      <c r="C17" s="2">
        <f>0.1212-0.15</f>
        <v>-2.8799999999999992E-2</v>
      </c>
      <c r="D17" s="1">
        <v>0.54</v>
      </c>
      <c r="E17" s="1">
        <v>0.16</v>
      </c>
      <c r="F17">
        <v>0.14000000000000001</v>
      </c>
      <c r="G17">
        <f t="shared" ref="G17" si="24">E17/F17</f>
        <v>1.1428571428571428</v>
      </c>
      <c r="H17">
        <f t="shared" ref="H17" si="25">G17-A17</f>
        <v>0.99285714285714277</v>
      </c>
      <c r="I17">
        <v>34</v>
      </c>
      <c r="J17">
        <v>27.5</v>
      </c>
      <c r="K17">
        <v>27.5</v>
      </c>
      <c r="L17">
        <f t="shared" ref="L17" si="26">J17/K17</f>
        <v>1</v>
      </c>
      <c r="M17">
        <f t="shared" ref="M17" si="27">J17/E17</f>
        <v>171.875</v>
      </c>
      <c r="N17">
        <f t="shared" ref="N17" si="28">(D17/J17)^(-1)</f>
        <v>50.925925925925917</v>
      </c>
      <c r="O17">
        <v>-0.55000000000000004</v>
      </c>
      <c r="P17">
        <f t="shared" ref="P17" si="29">LN((N17/(N17-J17)))+(E17*O17)</f>
        <v>0.68852878949899654</v>
      </c>
      <c r="Q17">
        <f t="shared" ref="Q17" si="30">LN(2)+(E17*O17)</f>
        <v>0.60514718055994532</v>
      </c>
      <c r="R17">
        <f t="shared" ref="R17" si="31">P17/Q17</f>
        <v>1.1377873211966349</v>
      </c>
      <c r="S17">
        <v>0.13</v>
      </c>
    </row>
    <row r="18" spans="1:19" x14ac:dyDescent="0.2">
      <c r="A18">
        <v>0.2</v>
      </c>
      <c r="B18" t="s">
        <v>21</v>
      </c>
      <c r="C18" s="2">
        <v>-4.1300000000000003E-2</v>
      </c>
      <c r="D18" s="1">
        <v>0.54</v>
      </c>
      <c r="E18" s="1">
        <v>0.16</v>
      </c>
      <c r="F18">
        <v>0.14000000000000001</v>
      </c>
      <c r="G18">
        <f t="shared" si="0"/>
        <v>1.1428571428571428</v>
      </c>
      <c r="H18">
        <f t="shared" si="23"/>
        <v>0.94285714285714284</v>
      </c>
      <c r="I18">
        <v>34</v>
      </c>
      <c r="J18">
        <v>27.5</v>
      </c>
      <c r="K18">
        <v>27.5</v>
      </c>
      <c r="L18">
        <f t="shared" si="2"/>
        <v>1</v>
      </c>
      <c r="M18">
        <f t="shared" si="3"/>
        <v>171.875</v>
      </c>
      <c r="N18">
        <f t="shared" si="4"/>
        <v>50.925925925925917</v>
      </c>
      <c r="O18">
        <v>-0.55000000000000004</v>
      </c>
      <c r="P18">
        <f t="shared" si="5"/>
        <v>0.68852878949899654</v>
      </c>
      <c r="Q18">
        <f t="shared" si="6"/>
        <v>0.60514718055994532</v>
      </c>
      <c r="R18">
        <f t="shared" si="7"/>
        <v>1.1377873211966349</v>
      </c>
      <c r="S18">
        <v>0.13</v>
      </c>
    </row>
    <row r="19" spans="1:19" x14ac:dyDescent="0.2">
      <c r="A19">
        <v>0.25</v>
      </c>
      <c r="B19" t="s">
        <v>21</v>
      </c>
      <c r="C19" s="2">
        <v>-3.9899999999999998E-2</v>
      </c>
      <c r="D19" s="1">
        <v>0.54</v>
      </c>
      <c r="E19" s="1">
        <v>0.16</v>
      </c>
      <c r="F19">
        <v>0.14000000000000001</v>
      </c>
      <c r="G19">
        <f t="shared" si="0"/>
        <v>1.1428571428571428</v>
      </c>
      <c r="H19">
        <f t="shared" si="23"/>
        <v>0.89285714285714279</v>
      </c>
      <c r="I19">
        <v>34</v>
      </c>
      <c r="J19">
        <v>27.5</v>
      </c>
      <c r="K19">
        <v>27.5</v>
      </c>
      <c r="L19">
        <f t="shared" si="2"/>
        <v>1</v>
      </c>
      <c r="M19">
        <f t="shared" si="3"/>
        <v>171.875</v>
      </c>
      <c r="N19">
        <f t="shared" si="4"/>
        <v>50.925925925925917</v>
      </c>
      <c r="O19">
        <v>-0.55000000000000004</v>
      </c>
      <c r="P19">
        <f t="shared" si="5"/>
        <v>0.68852878949899654</v>
      </c>
      <c r="Q19">
        <f t="shared" si="6"/>
        <v>0.60514718055994532</v>
      </c>
      <c r="R19">
        <f t="shared" si="7"/>
        <v>1.1377873211966349</v>
      </c>
      <c r="S19">
        <v>0.13</v>
      </c>
    </row>
    <row r="20" spans="1:19" x14ac:dyDescent="0.2">
      <c r="A20">
        <v>0</v>
      </c>
      <c r="B20" t="s">
        <v>22</v>
      </c>
      <c r="C20" s="2">
        <v>4.8999999999999998E-3</v>
      </c>
      <c r="D20" s="1">
        <v>0.75</v>
      </c>
      <c r="E20" s="1">
        <v>0.23</v>
      </c>
      <c r="F20">
        <v>0.2</v>
      </c>
      <c r="G20">
        <f t="shared" si="0"/>
        <v>1.1499999999999999</v>
      </c>
      <c r="H20">
        <f t="shared" si="23"/>
        <v>1.1499999999999999</v>
      </c>
      <c r="I20">
        <v>35</v>
      </c>
      <c r="J20">
        <v>25.5</v>
      </c>
      <c r="K20">
        <v>17</v>
      </c>
      <c r="L20">
        <f t="shared" si="2"/>
        <v>1.5</v>
      </c>
      <c r="M20">
        <f t="shared" si="3"/>
        <v>110.8695652173913</v>
      </c>
      <c r="N20">
        <f t="shared" si="4"/>
        <v>34</v>
      </c>
      <c r="O20" s="1">
        <v>-0.5</v>
      </c>
      <c r="P20">
        <f t="shared" si="5"/>
        <v>1.2712943611198906</v>
      </c>
      <c r="Q20">
        <f t="shared" si="6"/>
        <v>0.5781471805599453</v>
      </c>
      <c r="R20">
        <f t="shared" si="7"/>
        <v>2.1989112874140813</v>
      </c>
      <c r="S20">
        <v>0.17</v>
      </c>
    </row>
    <row r="21" spans="1:19" x14ac:dyDescent="0.2">
      <c r="A21">
        <v>0.05</v>
      </c>
      <c r="B21" t="s">
        <v>22</v>
      </c>
      <c r="C21" s="2">
        <v>-2.1600000000000001E-2</v>
      </c>
      <c r="D21" s="1">
        <v>0.75</v>
      </c>
      <c r="E21" s="1">
        <v>0.23</v>
      </c>
      <c r="F21">
        <v>0.2</v>
      </c>
      <c r="G21">
        <f t="shared" si="0"/>
        <v>1.1499999999999999</v>
      </c>
      <c r="H21">
        <f t="shared" si="23"/>
        <v>1.0999999999999999</v>
      </c>
      <c r="I21">
        <v>35</v>
      </c>
      <c r="J21">
        <v>25.5</v>
      </c>
      <c r="K21">
        <v>17</v>
      </c>
      <c r="L21">
        <f t="shared" si="2"/>
        <v>1.5</v>
      </c>
      <c r="M21">
        <f t="shared" si="3"/>
        <v>110.8695652173913</v>
      </c>
      <c r="N21">
        <f t="shared" si="4"/>
        <v>34</v>
      </c>
      <c r="O21" s="1">
        <v>-0.5</v>
      </c>
      <c r="P21">
        <f t="shared" si="5"/>
        <v>1.2712943611198906</v>
      </c>
      <c r="Q21">
        <f t="shared" si="6"/>
        <v>0.5781471805599453</v>
      </c>
      <c r="R21">
        <f t="shared" si="7"/>
        <v>2.1989112874140813</v>
      </c>
      <c r="S21">
        <v>0.17</v>
      </c>
    </row>
    <row r="22" spans="1:19" x14ac:dyDescent="0.2">
      <c r="A22">
        <v>0.1</v>
      </c>
      <c r="B22" t="s">
        <v>22</v>
      </c>
      <c r="C22" s="2">
        <v>-1.55E-2</v>
      </c>
      <c r="D22" s="1">
        <v>0.75</v>
      </c>
      <c r="E22" s="1">
        <v>0.23</v>
      </c>
      <c r="F22">
        <v>0.2</v>
      </c>
      <c r="G22">
        <f t="shared" si="0"/>
        <v>1.1499999999999999</v>
      </c>
      <c r="H22">
        <f t="shared" si="23"/>
        <v>1.0499999999999998</v>
      </c>
      <c r="I22">
        <v>35</v>
      </c>
      <c r="J22">
        <v>25.5</v>
      </c>
      <c r="K22">
        <v>17</v>
      </c>
      <c r="L22">
        <f t="shared" si="2"/>
        <v>1.5</v>
      </c>
      <c r="M22">
        <f t="shared" si="3"/>
        <v>110.8695652173913</v>
      </c>
      <c r="N22">
        <f t="shared" si="4"/>
        <v>34</v>
      </c>
      <c r="O22" s="1">
        <v>-0.5</v>
      </c>
      <c r="P22">
        <f t="shared" si="5"/>
        <v>1.2712943611198906</v>
      </c>
      <c r="Q22">
        <f t="shared" si="6"/>
        <v>0.5781471805599453</v>
      </c>
      <c r="R22">
        <f t="shared" si="7"/>
        <v>2.1989112874140813</v>
      </c>
      <c r="S22">
        <v>0.17</v>
      </c>
    </row>
    <row r="23" spans="1:19" x14ac:dyDescent="0.2">
      <c r="A23">
        <v>0.15</v>
      </c>
      <c r="B23" t="s">
        <v>22</v>
      </c>
      <c r="C23" s="2">
        <f>0.1427-0.15</f>
        <v>-7.3000000000000009E-3</v>
      </c>
      <c r="D23" s="1">
        <v>0.75</v>
      </c>
      <c r="E23" s="1">
        <v>0.23</v>
      </c>
      <c r="F23">
        <v>0.2</v>
      </c>
      <c r="G23">
        <f t="shared" ref="G23" si="32">E23/F23</f>
        <v>1.1499999999999999</v>
      </c>
      <c r="H23">
        <f t="shared" ref="H23" si="33">G23-A23</f>
        <v>0.99999999999999989</v>
      </c>
      <c r="I23">
        <v>35</v>
      </c>
      <c r="J23">
        <v>25.5</v>
      </c>
      <c r="K23">
        <v>17</v>
      </c>
      <c r="L23">
        <f t="shared" ref="L23" si="34">J23/K23</f>
        <v>1.5</v>
      </c>
      <c r="M23">
        <f t="shared" ref="M23" si="35">J23/E23</f>
        <v>110.8695652173913</v>
      </c>
      <c r="N23">
        <f t="shared" ref="N23" si="36">(D23/J23)^(-1)</f>
        <v>34</v>
      </c>
      <c r="O23" s="1">
        <v>-0.5</v>
      </c>
      <c r="P23">
        <f t="shared" ref="P23" si="37">LN((N23/(N23-J23)))+(E23*O23)</f>
        <v>1.2712943611198906</v>
      </c>
      <c r="Q23">
        <f t="shared" ref="Q23" si="38">LN(2)+(E23*O23)</f>
        <v>0.5781471805599453</v>
      </c>
      <c r="R23">
        <f t="shared" ref="R23" si="39">P23/Q23</f>
        <v>2.1989112874140813</v>
      </c>
      <c r="S23">
        <v>0.17</v>
      </c>
    </row>
    <row r="24" spans="1:19" x14ac:dyDescent="0.2">
      <c r="A24">
        <v>0.2</v>
      </c>
      <c r="B24" t="s">
        <v>22</v>
      </c>
      <c r="C24" s="2">
        <v>-5.0000000000000001E-3</v>
      </c>
      <c r="D24" s="1">
        <v>0.75</v>
      </c>
      <c r="E24" s="1">
        <v>0.23</v>
      </c>
      <c r="F24">
        <v>0.2</v>
      </c>
      <c r="G24">
        <f t="shared" si="0"/>
        <v>1.1499999999999999</v>
      </c>
      <c r="H24">
        <f t="shared" si="23"/>
        <v>0.95</v>
      </c>
      <c r="I24">
        <v>35</v>
      </c>
      <c r="J24">
        <v>25.5</v>
      </c>
      <c r="K24">
        <v>17</v>
      </c>
      <c r="L24">
        <f t="shared" si="2"/>
        <v>1.5</v>
      </c>
      <c r="M24">
        <f t="shared" si="3"/>
        <v>110.8695652173913</v>
      </c>
      <c r="N24">
        <f t="shared" si="4"/>
        <v>34</v>
      </c>
      <c r="O24" s="1">
        <v>-0.5</v>
      </c>
      <c r="P24">
        <f t="shared" si="5"/>
        <v>1.2712943611198906</v>
      </c>
      <c r="Q24">
        <f t="shared" si="6"/>
        <v>0.5781471805599453</v>
      </c>
      <c r="R24">
        <f t="shared" si="7"/>
        <v>2.1989112874140813</v>
      </c>
      <c r="S24">
        <v>0.17</v>
      </c>
    </row>
    <row r="25" spans="1:19" x14ac:dyDescent="0.2">
      <c r="A25">
        <v>0.25</v>
      </c>
      <c r="B25" t="s">
        <v>22</v>
      </c>
      <c r="C25" s="2">
        <v>-1.35E-2</v>
      </c>
      <c r="D25" s="1">
        <v>0.75</v>
      </c>
      <c r="E25" s="1">
        <v>0.23</v>
      </c>
      <c r="F25">
        <v>0.2</v>
      </c>
      <c r="G25">
        <f t="shared" si="0"/>
        <v>1.1499999999999999</v>
      </c>
      <c r="H25">
        <f t="shared" si="23"/>
        <v>0.89999999999999991</v>
      </c>
      <c r="I25">
        <v>35</v>
      </c>
      <c r="J25">
        <v>25.5</v>
      </c>
      <c r="K25">
        <v>17</v>
      </c>
      <c r="L25">
        <f t="shared" si="2"/>
        <v>1.5</v>
      </c>
      <c r="M25">
        <f t="shared" si="3"/>
        <v>110.8695652173913</v>
      </c>
      <c r="N25">
        <f t="shared" si="4"/>
        <v>34</v>
      </c>
      <c r="O25" s="1">
        <v>-0.5</v>
      </c>
      <c r="P25">
        <f t="shared" si="5"/>
        <v>1.2712943611198906</v>
      </c>
      <c r="Q25">
        <f t="shared" si="6"/>
        <v>0.5781471805599453</v>
      </c>
      <c r="R25">
        <f t="shared" si="7"/>
        <v>2.1989112874140813</v>
      </c>
      <c r="S25">
        <v>0.17</v>
      </c>
    </row>
    <row r="26" spans="1:19" x14ac:dyDescent="0.2">
      <c r="A26">
        <v>0</v>
      </c>
      <c r="B26" t="s">
        <v>23</v>
      </c>
      <c r="C26" s="2">
        <v>2.3999999999999998E-3</v>
      </c>
      <c r="D26">
        <v>0.55000000000000004</v>
      </c>
      <c r="E26">
        <v>0.17199999999999999</v>
      </c>
      <c r="F26">
        <v>0.14000000000000001</v>
      </c>
      <c r="G26">
        <f t="shared" si="0"/>
        <v>1.2285714285714284</v>
      </c>
      <c r="H26">
        <f t="shared" si="23"/>
        <v>1.2285714285714284</v>
      </c>
      <c r="I26">
        <v>30</v>
      </c>
      <c r="J26">
        <v>21.029499999999999</v>
      </c>
      <c r="K26">
        <v>27.085999999999999</v>
      </c>
      <c r="L26">
        <f t="shared" si="2"/>
        <v>0.77639740087129883</v>
      </c>
      <c r="M26">
        <f t="shared" si="3"/>
        <v>122.26453488372093</v>
      </c>
      <c r="N26">
        <f t="shared" si="4"/>
        <v>38.235454545454544</v>
      </c>
      <c r="O26" s="1">
        <v>-1.145</v>
      </c>
      <c r="P26">
        <f t="shared" si="5"/>
        <v>0.60156769621777162</v>
      </c>
      <c r="Q26">
        <f t="shared" si="6"/>
        <v>0.49620718055994528</v>
      </c>
      <c r="R26">
        <f t="shared" si="7"/>
        <v>1.2123317029369309</v>
      </c>
      <c r="S26">
        <v>0.17</v>
      </c>
    </row>
    <row r="27" spans="1:19" x14ac:dyDescent="0.2">
      <c r="A27">
        <v>0.05</v>
      </c>
      <c r="B27" t="s">
        <v>23</v>
      </c>
      <c r="C27" s="2">
        <v>2.6999999999999902E-3</v>
      </c>
      <c r="D27">
        <v>0.55000000000000004</v>
      </c>
      <c r="E27">
        <v>0.17199999999999999</v>
      </c>
      <c r="F27">
        <v>0.14000000000000001</v>
      </c>
      <c r="G27">
        <f t="shared" si="0"/>
        <v>1.2285714285714284</v>
      </c>
      <c r="H27">
        <f t="shared" si="23"/>
        <v>1.1785714285714284</v>
      </c>
      <c r="I27">
        <v>30</v>
      </c>
      <c r="J27">
        <v>21.029499999999999</v>
      </c>
      <c r="K27">
        <v>27.085999999999999</v>
      </c>
      <c r="L27">
        <f t="shared" si="2"/>
        <v>0.77639740087129883</v>
      </c>
      <c r="M27">
        <f t="shared" si="3"/>
        <v>122.26453488372093</v>
      </c>
      <c r="N27">
        <f t="shared" si="4"/>
        <v>38.235454545454544</v>
      </c>
      <c r="O27" s="1">
        <v>-1.145</v>
      </c>
      <c r="P27">
        <f t="shared" si="5"/>
        <v>0.60156769621777162</v>
      </c>
      <c r="Q27">
        <f t="shared" si="6"/>
        <v>0.49620718055994528</v>
      </c>
      <c r="R27">
        <f t="shared" si="7"/>
        <v>1.2123317029369309</v>
      </c>
      <c r="S27">
        <v>0.17</v>
      </c>
    </row>
    <row r="28" spans="1:19" x14ac:dyDescent="0.2">
      <c r="A28">
        <v>0.1</v>
      </c>
      <c r="B28" t="s">
        <v>23</v>
      </c>
      <c r="C28" s="2">
        <v>2.6999999999999902E-3</v>
      </c>
      <c r="D28">
        <v>0.55000000000000004</v>
      </c>
      <c r="E28">
        <v>0.17199999999999999</v>
      </c>
      <c r="F28">
        <v>0.14000000000000001</v>
      </c>
      <c r="G28">
        <f t="shared" si="0"/>
        <v>1.2285714285714284</v>
      </c>
      <c r="H28">
        <f t="shared" si="23"/>
        <v>1.1285714285714283</v>
      </c>
      <c r="I28">
        <v>30</v>
      </c>
      <c r="J28">
        <v>21.029499999999999</v>
      </c>
      <c r="K28">
        <v>27.085999999999999</v>
      </c>
      <c r="L28">
        <f t="shared" si="2"/>
        <v>0.77639740087129883</v>
      </c>
      <c r="M28">
        <f t="shared" si="3"/>
        <v>122.26453488372093</v>
      </c>
      <c r="N28">
        <f t="shared" si="4"/>
        <v>38.235454545454544</v>
      </c>
      <c r="O28" s="1">
        <v>-1.145</v>
      </c>
      <c r="P28">
        <f t="shared" si="5"/>
        <v>0.60156769621777162</v>
      </c>
      <c r="Q28">
        <f t="shared" si="6"/>
        <v>0.49620718055994528</v>
      </c>
      <c r="R28">
        <f t="shared" si="7"/>
        <v>1.2123317029369309</v>
      </c>
      <c r="S28">
        <v>0.17</v>
      </c>
    </row>
    <row r="29" spans="1:19" x14ac:dyDescent="0.2">
      <c r="A29">
        <v>0.15</v>
      </c>
      <c r="B29" t="s">
        <v>23</v>
      </c>
      <c r="C29" s="2">
        <f>0.151-0.15</f>
        <v>1.0000000000000009E-3</v>
      </c>
      <c r="D29">
        <v>0.55000000000000004</v>
      </c>
      <c r="E29">
        <v>0.17199999999999999</v>
      </c>
      <c r="F29">
        <v>0.14000000000000001</v>
      </c>
      <c r="G29">
        <f t="shared" ref="G29" si="40">E29/F29</f>
        <v>1.2285714285714284</v>
      </c>
      <c r="H29">
        <f t="shared" ref="H29" si="41">G29-A29</f>
        <v>1.0785714285714285</v>
      </c>
      <c r="I29">
        <v>30</v>
      </c>
      <c r="J29">
        <v>21.029499999999999</v>
      </c>
      <c r="K29">
        <v>27.085999999999999</v>
      </c>
      <c r="L29">
        <f t="shared" ref="L29" si="42">J29/K29</f>
        <v>0.77639740087129883</v>
      </c>
      <c r="M29">
        <f t="shared" ref="M29" si="43">J29/E29</f>
        <v>122.26453488372093</v>
      </c>
      <c r="N29">
        <f t="shared" ref="N29" si="44">(D29/J29)^(-1)</f>
        <v>38.235454545454544</v>
      </c>
      <c r="O29" s="1">
        <v>-1.145</v>
      </c>
      <c r="P29">
        <f t="shared" ref="P29" si="45">LN((N29/(N29-J29)))+(E29*O29)</f>
        <v>0.60156769621777162</v>
      </c>
      <c r="Q29">
        <f t="shared" ref="Q29" si="46">LN(2)+(E29*O29)</f>
        <v>0.49620718055994528</v>
      </c>
      <c r="R29">
        <f t="shared" ref="R29" si="47">P29/Q29</f>
        <v>1.2123317029369309</v>
      </c>
      <c r="S29">
        <v>0.17</v>
      </c>
    </row>
    <row r="30" spans="1:19" x14ac:dyDescent="0.2">
      <c r="A30">
        <v>0.2</v>
      </c>
      <c r="B30" t="s">
        <v>23</v>
      </c>
      <c r="C30" s="2">
        <v>1.52E-2</v>
      </c>
      <c r="D30">
        <v>0.55000000000000004</v>
      </c>
      <c r="E30">
        <v>0.17199999999999999</v>
      </c>
      <c r="F30">
        <v>0.14000000000000001</v>
      </c>
      <c r="G30">
        <f t="shared" si="0"/>
        <v>1.2285714285714284</v>
      </c>
      <c r="H30">
        <f t="shared" si="23"/>
        <v>1.0285714285714285</v>
      </c>
      <c r="I30">
        <v>30</v>
      </c>
      <c r="J30">
        <v>21.029499999999999</v>
      </c>
      <c r="K30">
        <v>27.085999999999999</v>
      </c>
      <c r="L30">
        <f t="shared" si="2"/>
        <v>0.77639740087129883</v>
      </c>
      <c r="M30">
        <f t="shared" si="3"/>
        <v>122.26453488372093</v>
      </c>
      <c r="N30">
        <f t="shared" si="4"/>
        <v>38.235454545454544</v>
      </c>
      <c r="O30" s="1">
        <v>-1.145</v>
      </c>
      <c r="P30">
        <f t="shared" si="5"/>
        <v>0.60156769621777162</v>
      </c>
      <c r="Q30">
        <f t="shared" si="6"/>
        <v>0.49620718055994528</v>
      </c>
      <c r="R30">
        <f t="shared" si="7"/>
        <v>1.2123317029369309</v>
      </c>
      <c r="S30">
        <v>0.17</v>
      </c>
    </row>
    <row r="31" spans="1:19" x14ac:dyDescent="0.2">
      <c r="A31">
        <v>0.25</v>
      </c>
      <c r="B31" t="s">
        <v>23</v>
      </c>
      <c r="C31" s="2">
        <v>2.07E-2</v>
      </c>
      <c r="D31">
        <v>0.55000000000000004</v>
      </c>
      <c r="E31">
        <v>0.17199999999999999</v>
      </c>
      <c r="F31">
        <v>0.14000000000000001</v>
      </c>
      <c r="G31">
        <f t="shared" si="0"/>
        <v>1.2285714285714284</v>
      </c>
      <c r="H31">
        <f t="shared" si="23"/>
        <v>0.97857142857142843</v>
      </c>
      <c r="I31">
        <v>30</v>
      </c>
      <c r="J31">
        <v>21.029499999999999</v>
      </c>
      <c r="K31">
        <v>27.085999999999999</v>
      </c>
      <c r="L31">
        <f t="shared" si="2"/>
        <v>0.77639740087129883</v>
      </c>
      <c r="M31">
        <f t="shared" si="3"/>
        <v>122.26453488372093</v>
      </c>
      <c r="N31">
        <f t="shared" si="4"/>
        <v>38.235454545454544</v>
      </c>
      <c r="O31" s="1">
        <v>-1.145</v>
      </c>
      <c r="P31">
        <f t="shared" si="5"/>
        <v>0.60156769621777162</v>
      </c>
      <c r="Q31">
        <f t="shared" si="6"/>
        <v>0.49620718055994528</v>
      </c>
      <c r="R31">
        <f t="shared" si="7"/>
        <v>1.2123317029369309</v>
      </c>
      <c r="S31">
        <v>0.17</v>
      </c>
    </row>
    <row r="32" spans="1:19" x14ac:dyDescent="0.2">
      <c r="A32">
        <v>0</v>
      </c>
      <c r="B32" t="s">
        <v>24</v>
      </c>
      <c r="C32" s="2">
        <v>1.2999999999999999E-3</v>
      </c>
      <c r="D32">
        <v>0.56899999999999995</v>
      </c>
      <c r="E32">
        <v>0.33</v>
      </c>
      <c r="F32">
        <v>0.14000000000000001</v>
      </c>
      <c r="G32">
        <f t="shared" si="0"/>
        <v>2.3571428571428572</v>
      </c>
      <c r="H32">
        <f t="shared" si="23"/>
        <v>2.3571428571428572</v>
      </c>
      <c r="I32">
        <v>50</v>
      </c>
      <c r="J32">
        <v>29.040400000000002</v>
      </c>
      <c r="K32">
        <v>40.229300000000002</v>
      </c>
      <c r="L32">
        <f t="shared" si="2"/>
        <v>0.72187186950804516</v>
      </c>
      <c r="M32">
        <f t="shared" si="3"/>
        <v>88.00121212121212</v>
      </c>
      <c r="N32">
        <f t="shared" si="4"/>
        <v>51.037609841827773</v>
      </c>
      <c r="O32" s="1">
        <v>0.75</v>
      </c>
      <c r="P32">
        <f t="shared" si="5"/>
        <v>1.0891471888783892</v>
      </c>
      <c r="Q32">
        <f t="shared" si="6"/>
        <v>0.94064718055994523</v>
      </c>
      <c r="R32">
        <f t="shared" si="7"/>
        <v>1.1578700403163336</v>
      </c>
      <c r="S32">
        <v>0.05</v>
      </c>
    </row>
    <row r="33" spans="1:19" x14ac:dyDescent="0.2">
      <c r="A33">
        <v>0.05</v>
      </c>
      <c r="B33" t="s">
        <v>24</v>
      </c>
      <c r="C33" s="2">
        <v>-1.06E-2</v>
      </c>
      <c r="D33">
        <v>0.56899999999999995</v>
      </c>
      <c r="E33">
        <v>0.33</v>
      </c>
      <c r="F33">
        <v>0.14000000000000001</v>
      </c>
      <c r="G33">
        <f t="shared" si="0"/>
        <v>2.3571428571428572</v>
      </c>
      <c r="H33">
        <f t="shared" si="23"/>
        <v>2.3071428571428574</v>
      </c>
      <c r="I33">
        <v>50</v>
      </c>
      <c r="J33">
        <v>29.040400000000002</v>
      </c>
      <c r="K33">
        <v>40.229300000000002</v>
      </c>
      <c r="L33">
        <f t="shared" si="2"/>
        <v>0.72187186950804516</v>
      </c>
      <c r="M33">
        <f t="shared" si="3"/>
        <v>88.00121212121212</v>
      </c>
      <c r="N33">
        <f t="shared" si="4"/>
        <v>51.037609841827773</v>
      </c>
      <c r="O33" s="1">
        <v>0.75</v>
      </c>
      <c r="P33">
        <f t="shared" si="5"/>
        <v>1.0891471888783892</v>
      </c>
      <c r="Q33">
        <f t="shared" si="6"/>
        <v>0.94064718055994523</v>
      </c>
      <c r="R33">
        <f t="shared" si="7"/>
        <v>1.1578700403163336</v>
      </c>
      <c r="S33">
        <v>0.05</v>
      </c>
    </row>
    <row r="34" spans="1:19" x14ac:dyDescent="0.2">
      <c r="A34">
        <v>0.1</v>
      </c>
      <c r="B34" t="s">
        <v>24</v>
      </c>
      <c r="C34" s="2">
        <v>7.7000000000000002E-3</v>
      </c>
      <c r="D34">
        <v>0.56899999999999995</v>
      </c>
      <c r="E34">
        <v>0.33</v>
      </c>
      <c r="F34">
        <v>0.14000000000000001</v>
      </c>
      <c r="G34">
        <f t="shared" si="0"/>
        <v>2.3571428571428572</v>
      </c>
      <c r="H34">
        <f t="shared" si="23"/>
        <v>2.2571428571428571</v>
      </c>
      <c r="I34">
        <v>50</v>
      </c>
      <c r="J34">
        <v>29.040400000000002</v>
      </c>
      <c r="K34">
        <v>40.229300000000002</v>
      </c>
      <c r="L34">
        <f t="shared" si="2"/>
        <v>0.72187186950804516</v>
      </c>
      <c r="M34">
        <f t="shared" si="3"/>
        <v>88.00121212121212</v>
      </c>
      <c r="N34">
        <f t="shared" si="4"/>
        <v>51.037609841827773</v>
      </c>
      <c r="O34" s="1">
        <v>0.75</v>
      </c>
      <c r="P34">
        <f t="shared" si="5"/>
        <v>1.0891471888783892</v>
      </c>
      <c r="Q34">
        <f t="shared" si="6"/>
        <v>0.94064718055994523</v>
      </c>
      <c r="R34">
        <f t="shared" si="7"/>
        <v>1.1578700403163336</v>
      </c>
      <c r="S34">
        <v>0.05</v>
      </c>
    </row>
    <row r="35" spans="1:19" x14ac:dyDescent="0.2">
      <c r="A35">
        <v>0.15</v>
      </c>
      <c r="B35" t="s">
        <v>24</v>
      </c>
      <c r="C35" s="2">
        <f>0.1704-0.15</f>
        <v>2.0400000000000001E-2</v>
      </c>
      <c r="D35">
        <v>0.56899999999999995</v>
      </c>
      <c r="E35">
        <v>0.33</v>
      </c>
      <c r="F35">
        <v>0.14000000000000001</v>
      </c>
      <c r="G35">
        <f t="shared" ref="G35" si="48">E35/F35</f>
        <v>2.3571428571428572</v>
      </c>
      <c r="H35">
        <f t="shared" ref="H35" si="49">G35-A35</f>
        <v>2.2071428571428573</v>
      </c>
      <c r="I35">
        <v>50</v>
      </c>
      <c r="J35">
        <v>29.040400000000002</v>
      </c>
      <c r="K35">
        <v>40.229300000000002</v>
      </c>
      <c r="L35">
        <f t="shared" ref="L35" si="50">J35/K35</f>
        <v>0.72187186950804516</v>
      </c>
      <c r="M35">
        <f t="shared" ref="M35" si="51">J35/E35</f>
        <v>88.00121212121212</v>
      </c>
      <c r="N35">
        <f t="shared" ref="N35" si="52">(D35/J35)^(-1)</f>
        <v>51.037609841827773</v>
      </c>
      <c r="O35" s="1">
        <v>0.75</v>
      </c>
      <c r="P35">
        <f t="shared" ref="P35" si="53">LN((N35/(N35-J35)))+(E35*O35)</f>
        <v>1.0891471888783892</v>
      </c>
      <c r="Q35">
        <f t="shared" ref="Q35" si="54">LN(2)+(E35*O35)</f>
        <v>0.94064718055994523</v>
      </c>
      <c r="R35">
        <f t="shared" ref="R35" si="55">P35/Q35</f>
        <v>1.1578700403163336</v>
      </c>
      <c r="S35">
        <v>0.05</v>
      </c>
    </row>
    <row r="36" spans="1:19" x14ac:dyDescent="0.2">
      <c r="A36">
        <v>0.2</v>
      </c>
      <c r="B36" t="s">
        <v>24</v>
      </c>
      <c r="C36" s="2">
        <v>2.9899999999999999E-2</v>
      </c>
      <c r="D36">
        <v>0.56899999999999995</v>
      </c>
      <c r="E36">
        <v>0.33</v>
      </c>
      <c r="F36">
        <v>0.14000000000000001</v>
      </c>
      <c r="G36">
        <f t="shared" si="0"/>
        <v>2.3571428571428572</v>
      </c>
      <c r="H36">
        <f t="shared" si="23"/>
        <v>2.157142857142857</v>
      </c>
      <c r="I36">
        <v>50</v>
      </c>
      <c r="J36">
        <v>29.040400000000002</v>
      </c>
      <c r="K36">
        <v>40.229300000000002</v>
      </c>
      <c r="L36">
        <f t="shared" si="2"/>
        <v>0.72187186950804516</v>
      </c>
      <c r="M36">
        <f t="shared" si="3"/>
        <v>88.00121212121212</v>
      </c>
      <c r="N36">
        <f t="shared" si="4"/>
        <v>51.037609841827773</v>
      </c>
      <c r="O36" s="1">
        <v>0.75</v>
      </c>
      <c r="P36">
        <f t="shared" si="5"/>
        <v>1.0891471888783892</v>
      </c>
      <c r="Q36">
        <f t="shared" si="6"/>
        <v>0.94064718055994523</v>
      </c>
      <c r="R36">
        <f t="shared" si="7"/>
        <v>1.1578700403163336</v>
      </c>
      <c r="S36">
        <v>0.05</v>
      </c>
    </row>
    <row r="37" spans="1:19" x14ac:dyDescent="0.2">
      <c r="A37">
        <v>0.25</v>
      </c>
      <c r="B37" t="s">
        <v>24</v>
      </c>
      <c r="C37" s="2">
        <v>3.5000000000000003E-2</v>
      </c>
      <c r="D37">
        <v>0.56899999999999995</v>
      </c>
      <c r="E37">
        <v>0.33</v>
      </c>
      <c r="F37">
        <v>0.14000000000000001</v>
      </c>
      <c r="G37">
        <f t="shared" si="0"/>
        <v>2.3571428571428572</v>
      </c>
      <c r="H37">
        <f t="shared" si="23"/>
        <v>2.1071428571428572</v>
      </c>
      <c r="I37">
        <v>50</v>
      </c>
      <c r="J37">
        <v>29.040400000000002</v>
      </c>
      <c r="K37">
        <v>40.229300000000002</v>
      </c>
      <c r="L37">
        <f t="shared" si="2"/>
        <v>0.72187186950804516</v>
      </c>
      <c r="M37">
        <f t="shared" si="3"/>
        <v>88.00121212121212</v>
      </c>
      <c r="N37">
        <f t="shared" si="4"/>
        <v>51.037609841827773</v>
      </c>
      <c r="O37" s="1">
        <v>0.75</v>
      </c>
      <c r="P37">
        <f t="shared" si="5"/>
        <v>1.0891471888783892</v>
      </c>
      <c r="Q37">
        <f t="shared" si="6"/>
        <v>0.94064718055994523</v>
      </c>
      <c r="R37">
        <f t="shared" si="7"/>
        <v>1.1578700403163336</v>
      </c>
      <c r="S37">
        <v>0.05</v>
      </c>
    </row>
    <row r="38" spans="1:19" s="3" customFormat="1" x14ac:dyDescent="0.2">
      <c r="A38" s="3">
        <v>0</v>
      </c>
      <c r="B38" s="3" t="s">
        <v>25</v>
      </c>
      <c r="C38" s="4">
        <f>0.0051-0</f>
        <v>5.1000000000000004E-3</v>
      </c>
      <c r="D38" s="5">
        <v>0.75409999999999999</v>
      </c>
      <c r="E38" s="5">
        <v>0.29499999999999998</v>
      </c>
      <c r="F38" s="3">
        <v>0.2</v>
      </c>
      <c r="G38" s="3">
        <f t="shared" si="0"/>
        <v>1.4749999999999999</v>
      </c>
      <c r="H38" s="3">
        <f t="shared" si="23"/>
        <v>1.4749999999999999</v>
      </c>
      <c r="I38" s="3">
        <v>25</v>
      </c>
      <c r="J38" s="3">
        <v>25</v>
      </c>
      <c r="K38" s="3">
        <v>18</v>
      </c>
      <c r="L38" s="3">
        <f t="shared" si="2"/>
        <v>1.3888888888888888</v>
      </c>
      <c r="M38" s="3">
        <f t="shared" si="3"/>
        <v>84.745762711864415</v>
      </c>
      <c r="N38" s="3">
        <f t="shared" si="4"/>
        <v>33.152101843256865</v>
      </c>
      <c r="O38" s="5">
        <v>-0.02</v>
      </c>
      <c r="P38" s="3">
        <f t="shared" si="5"/>
        <v>1.39693032975999</v>
      </c>
      <c r="Q38" s="3">
        <f t="shared" si="6"/>
        <v>0.68724718055994527</v>
      </c>
      <c r="R38" s="3">
        <f t="shared" si="7"/>
        <v>2.0326461414098773</v>
      </c>
      <c r="S38" s="3">
        <v>0.17</v>
      </c>
    </row>
    <row r="39" spans="1:19" s="3" customFormat="1" x14ac:dyDescent="0.2">
      <c r="A39" s="3">
        <v>0.05</v>
      </c>
      <c r="B39" s="3" t="s">
        <v>25</v>
      </c>
      <c r="C39" s="4">
        <f>0.0654-0.05</f>
        <v>1.5399999999999997E-2</v>
      </c>
      <c r="D39" s="5">
        <v>0.75409999999999999</v>
      </c>
      <c r="E39" s="5">
        <v>0.29499999999999998</v>
      </c>
      <c r="F39" s="3">
        <v>0.2</v>
      </c>
      <c r="G39" s="3">
        <f t="shared" si="0"/>
        <v>1.4749999999999999</v>
      </c>
      <c r="H39" s="3">
        <f t="shared" si="23"/>
        <v>1.4249999999999998</v>
      </c>
      <c r="I39" s="3">
        <v>25</v>
      </c>
      <c r="J39" s="3">
        <v>25</v>
      </c>
      <c r="K39" s="3">
        <v>18</v>
      </c>
      <c r="L39" s="3">
        <f t="shared" si="2"/>
        <v>1.3888888888888888</v>
      </c>
      <c r="M39" s="3">
        <f t="shared" si="3"/>
        <v>84.745762711864415</v>
      </c>
      <c r="N39" s="3">
        <f t="shared" si="4"/>
        <v>33.152101843256865</v>
      </c>
      <c r="O39" s="5">
        <v>-0.02</v>
      </c>
      <c r="P39" s="3">
        <f t="shared" si="5"/>
        <v>1.39693032975999</v>
      </c>
      <c r="Q39" s="3">
        <f t="shared" si="6"/>
        <v>0.68724718055994527</v>
      </c>
      <c r="R39" s="3">
        <f t="shared" si="7"/>
        <v>2.0326461414098773</v>
      </c>
      <c r="S39" s="3">
        <v>0.17</v>
      </c>
    </row>
    <row r="40" spans="1:19" s="3" customFormat="1" x14ac:dyDescent="0.2">
      <c r="A40" s="3">
        <v>0.1</v>
      </c>
      <c r="B40" s="3" t="s">
        <v>25</v>
      </c>
      <c r="C40" s="4">
        <f xml:space="preserve"> 0.1368-0.1</f>
        <v>3.6799999999999999E-2</v>
      </c>
      <c r="D40" s="5">
        <v>0.75409999999999999</v>
      </c>
      <c r="E40" s="5">
        <v>0.29499999999999998</v>
      </c>
      <c r="F40" s="3">
        <v>0.2</v>
      </c>
      <c r="G40" s="3">
        <f t="shared" ref="G40:G62" si="56">E40/F40</f>
        <v>1.4749999999999999</v>
      </c>
      <c r="H40" s="3">
        <f t="shared" si="23"/>
        <v>1.3749999999999998</v>
      </c>
      <c r="I40" s="3">
        <v>25</v>
      </c>
      <c r="J40" s="3">
        <v>25</v>
      </c>
      <c r="K40" s="3">
        <v>18</v>
      </c>
      <c r="L40" s="3">
        <f t="shared" ref="L40:L74" si="57">J40/K40</f>
        <v>1.3888888888888888</v>
      </c>
      <c r="M40" s="3">
        <f t="shared" ref="M40:M82" si="58">J40/E40</f>
        <v>84.745762711864415</v>
      </c>
      <c r="N40" s="3">
        <f t="shared" si="4"/>
        <v>33.152101843256865</v>
      </c>
      <c r="O40" s="5">
        <v>-0.02</v>
      </c>
      <c r="P40" s="3">
        <f t="shared" ref="P40:P62" si="59">LN((N40/(N40-J40)))+(E40*O40)</f>
        <v>1.39693032975999</v>
      </c>
      <c r="Q40" s="3">
        <f t="shared" ref="Q40:Q63" si="60">LN(2)+(E40*O40)</f>
        <v>0.68724718055994527</v>
      </c>
      <c r="R40" s="3">
        <f t="shared" ref="R40:R63" si="61">P40/Q40</f>
        <v>2.0326461414098773</v>
      </c>
      <c r="S40" s="3">
        <v>0.17</v>
      </c>
    </row>
    <row r="41" spans="1:19" x14ac:dyDescent="0.2">
      <c r="A41">
        <v>0.15</v>
      </c>
      <c r="B41" t="s">
        <v>25</v>
      </c>
      <c r="C41" s="2">
        <f>0.2034-0.15</f>
        <v>5.3400000000000003E-2</v>
      </c>
      <c r="D41" s="5">
        <v>0.75409999999999999</v>
      </c>
      <c r="E41" s="1">
        <v>0.29499999999999998</v>
      </c>
      <c r="F41">
        <v>0.2</v>
      </c>
      <c r="G41">
        <f t="shared" ref="G41" si="62">E41/F41</f>
        <v>1.4749999999999999</v>
      </c>
      <c r="H41">
        <f t="shared" ref="H41" si="63">G41-A41</f>
        <v>1.325</v>
      </c>
      <c r="I41" s="3">
        <v>25</v>
      </c>
      <c r="J41">
        <v>25</v>
      </c>
      <c r="K41">
        <v>18</v>
      </c>
      <c r="L41">
        <f t="shared" ref="L41" si="64">J41/K41</f>
        <v>1.3888888888888888</v>
      </c>
      <c r="M41">
        <f t="shared" ref="M41" si="65">J41/E41</f>
        <v>84.745762711864415</v>
      </c>
      <c r="N41">
        <f t="shared" ref="N41" si="66">(D41/J41)^(-1)</f>
        <v>33.152101843256865</v>
      </c>
      <c r="O41" s="1">
        <v>-0.02</v>
      </c>
      <c r="P41">
        <f t="shared" ref="P41" si="67">LN((N41/(N41-J41)))+(E41*O41)</f>
        <v>1.39693032975999</v>
      </c>
      <c r="Q41">
        <f t="shared" ref="Q41" si="68">LN(2)+(E41*O41)</f>
        <v>0.68724718055994527</v>
      </c>
      <c r="R41">
        <f t="shared" ref="R41" si="69">P41/Q41</f>
        <v>2.0326461414098773</v>
      </c>
      <c r="S41">
        <v>0.17</v>
      </c>
    </row>
    <row r="42" spans="1:19" x14ac:dyDescent="0.2">
      <c r="A42">
        <v>0.2</v>
      </c>
      <c r="B42" t="s">
        <v>25</v>
      </c>
      <c r="C42" s="2">
        <f>0.2686-0.2</f>
        <v>6.8599999999999994E-2</v>
      </c>
      <c r="D42" s="5">
        <v>0.75409999999999999</v>
      </c>
      <c r="E42" s="1">
        <v>0.29499999999999998</v>
      </c>
      <c r="F42">
        <v>0.2</v>
      </c>
      <c r="G42">
        <f t="shared" si="56"/>
        <v>1.4749999999999999</v>
      </c>
      <c r="H42">
        <f t="shared" si="23"/>
        <v>1.2749999999999999</v>
      </c>
      <c r="I42" s="3">
        <v>25</v>
      </c>
      <c r="J42">
        <v>25</v>
      </c>
      <c r="K42">
        <v>18</v>
      </c>
      <c r="L42">
        <f t="shared" si="57"/>
        <v>1.3888888888888888</v>
      </c>
      <c r="M42">
        <f t="shared" si="58"/>
        <v>84.745762711864415</v>
      </c>
      <c r="N42">
        <f t="shared" si="4"/>
        <v>33.152101843256865</v>
      </c>
      <c r="O42" s="1">
        <v>-0.02</v>
      </c>
      <c r="P42">
        <f t="shared" si="59"/>
        <v>1.39693032975999</v>
      </c>
      <c r="Q42">
        <f t="shared" si="60"/>
        <v>0.68724718055994527</v>
      </c>
      <c r="R42">
        <f t="shared" si="61"/>
        <v>2.0326461414098773</v>
      </c>
      <c r="S42">
        <v>0.17</v>
      </c>
    </row>
    <row r="43" spans="1:19" x14ac:dyDescent="0.2">
      <c r="A43">
        <v>0.25</v>
      </c>
      <c r="B43" t="s">
        <v>25</v>
      </c>
      <c r="C43" s="2">
        <f>0.3335-0.25</f>
        <v>8.3500000000000019E-2</v>
      </c>
      <c r="D43" s="5">
        <v>0.75409999999999999</v>
      </c>
      <c r="E43" s="1">
        <v>0.29499999999999998</v>
      </c>
      <c r="F43">
        <v>0.2</v>
      </c>
      <c r="G43">
        <f t="shared" si="56"/>
        <v>1.4749999999999999</v>
      </c>
      <c r="H43">
        <f t="shared" si="23"/>
        <v>1.2249999999999999</v>
      </c>
      <c r="I43" s="3">
        <v>25</v>
      </c>
      <c r="J43">
        <v>25</v>
      </c>
      <c r="K43">
        <v>18</v>
      </c>
      <c r="L43">
        <f t="shared" si="57"/>
        <v>1.3888888888888888</v>
      </c>
      <c r="M43">
        <f t="shared" si="58"/>
        <v>84.745762711864415</v>
      </c>
      <c r="N43">
        <f t="shared" si="4"/>
        <v>33.152101843256865</v>
      </c>
      <c r="O43" s="1">
        <v>-0.02</v>
      </c>
      <c r="P43">
        <f t="shared" si="59"/>
        <v>1.39693032975999</v>
      </c>
      <c r="Q43">
        <f t="shared" si="60"/>
        <v>0.68724718055994527</v>
      </c>
      <c r="R43">
        <f t="shared" si="61"/>
        <v>2.0326461414098773</v>
      </c>
      <c r="S43">
        <v>0.17</v>
      </c>
    </row>
    <row r="44" spans="1:19" x14ac:dyDescent="0.2">
      <c r="A44">
        <v>0</v>
      </c>
      <c r="B44" t="s">
        <v>26</v>
      </c>
      <c r="C44" s="2">
        <v>7.3899999999999994E-5</v>
      </c>
      <c r="D44" s="1">
        <v>0.53</v>
      </c>
      <c r="E44" s="1">
        <v>0.13539999999999999</v>
      </c>
      <c r="F44">
        <v>0.09</v>
      </c>
      <c r="G44">
        <f t="shared" si="56"/>
        <v>1.5044444444444445</v>
      </c>
      <c r="H44">
        <f t="shared" si="23"/>
        <v>1.5044444444444445</v>
      </c>
      <c r="I44">
        <v>50</v>
      </c>
      <c r="J44">
        <v>29.72</v>
      </c>
      <c r="K44">
        <v>32</v>
      </c>
      <c r="L44">
        <f t="shared" si="57"/>
        <v>0.92874999999999996</v>
      </c>
      <c r="M44">
        <f t="shared" si="58"/>
        <v>219.49778434268833</v>
      </c>
      <c r="N44">
        <f t="shared" si="4"/>
        <v>56.075471698113205</v>
      </c>
      <c r="O44">
        <v>-1</v>
      </c>
      <c r="P44">
        <f t="shared" si="59"/>
        <v>0.61962258427803285</v>
      </c>
      <c r="Q44">
        <f t="shared" si="60"/>
        <v>0.55774718055994532</v>
      </c>
      <c r="R44">
        <f t="shared" si="61"/>
        <v>1.1109380842695937</v>
      </c>
      <c r="S44">
        <v>0.08</v>
      </c>
    </row>
    <row r="45" spans="1:19" x14ac:dyDescent="0.2">
      <c r="A45">
        <v>0.05</v>
      </c>
      <c r="B45" t="s">
        <v>26</v>
      </c>
      <c r="C45" s="2">
        <v>-3.8300000000000001E-2</v>
      </c>
      <c r="D45" s="1">
        <v>0.53</v>
      </c>
      <c r="E45" s="1">
        <v>0.13539999999999999</v>
      </c>
      <c r="F45">
        <v>0.09</v>
      </c>
      <c r="G45">
        <f t="shared" si="56"/>
        <v>1.5044444444444445</v>
      </c>
      <c r="H45">
        <f t="shared" si="23"/>
        <v>1.4544444444444444</v>
      </c>
      <c r="I45">
        <v>50</v>
      </c>
      <c r="J45">
        <v>29.72</v>
      </c>
      <c r="K45">
        <v>32</v>
      </c>
      <c r="L45">
        <f t="shared" si="57"/>
        <v>0.92874999999999996</v>
      </c>
      <c r="M45">
        <f t="shared" si="58"/>
        <v>219.49778434268833</v>
      </c>
      <c r="N45">
        <f t="shared" si="4"/>
        <v>56.075471698113205</v>
      </c>
      <c r="O45">
        <v>-1</v>
      </c>
      <c r="P45">
        <f t="shared" si="59"/>
        <v>0.61962258427803285</v>
      </c>
      <c r="Q45">
        <f t="shared" si="60"/>
        <v>0.55774718055994532</v>
      </c>
      <c r="R45">
        <f t="shared" si="61"/>
        <v>1.1109380842695937</v>
      </c>
      <c r="S45">
        <v>0.08</v>
      </c>
    </row>
    <row r="46" spans="1:19" x14ac:dyDescent="0.2">
      <c r="A46">
        <v>0.1</v>
      </c>
      <c r="B46" t="s">
        <v>26</v>
      </c>
      <c r="C46" s="2">
        <v>-1.9900000000000001E-2</v>
      </c>
      <c r="D46" s="1">
        <v>0.53</v>
      </c>
      <c r="E46" s="1">
        <v>0.13539999999999999</v>
      </c>
      <c r="F46">
        <v>0.09</v>
      </c>
      <c r="G46">
        <f t="shared" si="56"/>
        <v>1.5044444444444445</v>
      </c>
      <c r="H46">
        <f t="shared" si="23"/>
        <v>1.4044444444444444</v>
      </c>
      <c r="I46">
        <v>50</v>
      </c>
      <c r="J46">
        <v>29.72</v>
      </c>
      <c r="K46">
        <v>32</v>
      </c>
      <c r="L46">
        <f t="shared" si="57"/>
        <v>0.92874999999999996</v>
      </c>
      <c r="M46">
        <f t="shared" si="58"/>
        <v>219.49778434268833</v>
      </c>
      <c r="N46">
        <f t="shared" si="4"/>
        <v>56.075471698113205</v>
      </c>
      <c r="O46">
        <v>-1</v>
      </c>
      <c r="P46">
        <f t="shared" si="59"/>
        <v>0.61962258427803285</v>
      </c>
      <c r="Q46">
        <f t="shared" si="60"/>
        <v>0.55774718055994532</v>
      </c>
      <c r="R46">
        <f t="shared" si="61"/>
        <v>1.1109380842695937</v>
      </c>
      <c r="S46">
        <v>0.08</v>
      </c>
    </row>
    <row r="47" spans="1:19" x14ac:dyDescent="0.2">
      <c r="A47">
        <v>0.15</v>
      </c>
      <c r="B47" t="s">
        <v>26</v>
      </c>
      <c r="C47" s="2">
        <f>0.1377-0.15</f>
        <v>-1.2300000000000005E-2</v>
      </c>
      <c r="D47" s="1">
        <v>0.53</v>
      </c>
      <c r="E47" s="1">
        <v>0.13539999999999999</v>
      </c>
      <c r="F47">
        <v>0.09</v>
      </c>
      <c r="G47">
        <f t="shared" ref="G47" si="70">E47/F47</f>
        <v>1.5044444444444445</v>
      </c>
      <c r="H47">
        <f t="shared" ref="H47" si="71">G47-A47</f>
        <v>1.3544444444444446</v>
      </c>
      <c r="I47">
        <v>50</v>
      </c>
      <c r="J47">
        <v>29.72</v>
      </c>
      <c r="K47">
        <v>32</v>
      </c>
      <c r="L47">
        <f t="shared" ref="L47" si="72">J47/K47</f>
        <v>0.92874999999999996</v>
      </c>
      <c r="M47">
        <f t="shared" ref="M47" si="73">J47/E47</f>
        <v>219.49778434268833</v>
      </c>
      <c r="N47">
        <f t="shared" ref="N47" si="74">(D47/J47)^(-1)</f>
        <v>56.075471698113205</v>
      </c>
      <c r="O47">
        <v>-1</v>
      </c>
      <c r="P47">
        <f t="shared" ref="P47" si="75">LN((N47/(N47-J47)))+(E47*O47)</f>
        <v>0.61962258427803285</v>
      </c>
      <c r="Q47">
        <f t="shared" ref="Q47" si="76">LN(2)+(E47*O47)</f>
        <v>0.55774718055994532</v>
      </c>
      <c r="R47">
        <f t="shared" ref="R47" si="77">P47/Q47</f>
        <v>1.1109380842695937</v>
      </c>
      <c r="S47">
        <v>0.08</v>
      </c>
    </row>
    <row r="48" spans="1:19" x14ac:dyDescent="0.2">
      <c r="A48">
        <v>0.2</v>
      </c>
      <c r="B48" t="s">
        <v>26</v>
      </c>
      <c r="C48" s="2">
        <v>-8.1000000000000204E-3</v>
      </c>
      <c r="D48" s="1">
        <v>0.53</v>
      </c>
      <c r="E48" s="1">
        <v>0.13539999999999999</v>
      </c>
      <c r="F48">
        <v>0.09</v>
      </c>
      <c r="G48">
        <f t="shared" si="56"/>
        <v>1.5044444444444445</v>
      </c>
      <c r="H48">
        <f t="shared" si="23"/>
        <v>1.3044444444444445</v>
      </c>
      <c r="I48">
        <v>50</v>
      </c>
      <c r="J48">
        <v>29.72</v>
      </c>
      <c r="K48">
        <v>32</v>
      </c>
      <c r="L48">
        <f t="shared" si="57"/>
        <v>0.92874999999999996</v>
      </c>
      <c r="M48">
        <f t="shared" si="58"/>
        <v>219.49778434268833</v>
      </c>
      <c r="N48">
        <f t="shared" si="4"/>
        <v>56.075471698113205</v>
      </c>
      <c r="O48">
        <v>-1</v>
      </c>
      <c r="P48">
        <f t="shared" si="59"/>
        <v>0.61962258427803285</v>
      </c>
      <c r="Q48">
        <f t="shared" si="60"/>
        <v>0.55774718055994532</v>
      </c>
      <c r="R48">
        <f t="shared" si="61"/>
        <v>1.1109380842695937</v>
      </c>
      <c r="S48">
        <v>0.08</v>
      </c>
    </row>
    <row r="49" spans="1:19" x14ac:dyDescent="0.2">
      <c r="A49">
        <v>0.25</v>
      </c>
      <c r="B49" t="s">
        <v>26</v>
      </c>
      <c r="C49" s="2">
        <v>-1.5E-3</v>
      </c>
      <c r="D49" s="1">
        <v>0.53</v>
      </c>
      <c r="E49" s="1">
        <v>0.13539999999999999</v>
      </c>
      <c r="F49">
        <v>0.09</v>
      </c>
      <c r="G49">
        <f t="shared" si="56"/>
        <v>1.5044444444444445</v>
      </c>
      <c r="H49">
        <f t="shared" si="23"/>
        <v>1.2544444444444445</v>
      </c>
      <c r="I49">
        <v>50</v>
      </c>
      <c r="J49">
        <v>29.72</v>
      </c>
      <c r="K49">
        <v>32</v>
      </c>
      <c r="L49">
        <f t="shared" si="57"/>
        <v>0.92874999999999996</v>
      </c>
      <c r="M49">
        <f t="shared" si="58"/>
        <v>219.49778434268833</v>
      </c>
      <c r="N49">
        <f t="shared" si="4"/>
        <v>56.075471698113205</v>
      </c>
      <c r="O49">
        <v>-1</v>
      </c>
      <c r="P49">
        <f t="shared" si="59"/>
        <v>0.61962258427803285</v>
      </c>
      <c r="Q49">
        <f t="shared" si="60"/>
        <v>0.55774718055994532</v>
      </c>
      <c r="R49">
        <f t="shared" si="61"/>
        <v>1.1109380842695937</v>
      </c>
      <c r="S49">
        <v>0.08</v>
      </c>
    </row>
    <row r="50" spans="1:19" x14ac:dyDescent="0.2">
      <c r="A50">
        <v>0</v>
      </c>
      <c r="B50" t="s">
        <v>27</v>
      </c>
      <c r="C50" s="2">
        <v>1.06E-4</v>
      </c>
      <c r="D50">
        <v>0.57099999999999995</v>
      </c>
      <c r="E50">
        <v>0.17799999999999999</v>
      </c>
      <c r="F50">
        <v>0.11</v>
      </c>
      <c r="G50">
        <f t="shared" si="56"/>
        <v>1.6181818181818182</v>
      </c>
      <c r="H50">
        <f t="shared" si="23"/>
        <v>1.6181818181818182</v>
      </c>
      <c r="I50">
        <v>64</v>
      </c>
      <c r="J50">
        <v>28.5</v>
      </c>
      <c r="K50">
        <v>37</v>
      </c>
      <c r="L50">
        <f t="shared" si="57"/>
        <v>0.77027027027027029</v>
      </c>
      <c r="M50">
        <f t="shared" si="58"/>
        <v>160.11235955056179</v>
      </c>
      <c r="N50">
        <f t="shared" si="4"/>
        <v>49.912434325744314</v>
      </c>
      <c r="O50">
        <v>-1.208639</v>
      </c>
      <c r="P50">
        <f t="shared" si="59"/>
        <v>0.63116061805411994</v>
      </c>
      <c r="Q50">
        <f t="shared" si="60"/>
        <v>0.47800943855994527</v>
      </c>
      <c r="R50">
        <f t="shared" si="61"/>
        <v>1.3203936306269579</v>
      </c>
      <c r="S50">
        <v>0.06</v>
      </c>
    </row>
    <row r="51" spans="1:19" x14ac:dyDescent="0.2">
      <c r="A51">
        <v>0.05</v>
      </c>
      <c r="B51" t="s">
        <v>27</v>
      </c>
      <c r="C51" s="2">
        <v>-4.4900000000000002E-2</v>
      </c>
      <c r="D51">
        <v>0.57099999999999995</v>
      </c>
      <c r="E51">
        <v>0.17799999999999999</v>
      </c>
      <c r="F51">
        <v>0.11</v>
      </c>
      <c r="G51">
        <f t="shared" si="56"/>
        <v>1.6181818181818182</v>
      </c>
      <c r="H51">
        <f t="shared" si="23"/>
        <v>1.5681818181818181</v>
      </c>
      <c r="I51">
        <v>64</v>
      </c>
      <c r="J51">
        <v>28.5</v>
      </c>
      <c r="K51">
        <v>37</v>
      </c>
      <c r="L51">
        <f t="shared" si="57"/>
        <v>0.77027027027027029</v>
      </c>
      <c r="M51">
        <f t="shared" si="58"/>
        <v>160.11235955056179</v>
      </c>
      <c r="N51">
        <f t="shared" si="4"/>
        <v>49.912434325744314</v>
      </c>
      <c r="O51">
        <v>-1.208639</v>
      </c>
      <c r="P51">
        <f t="shared" si="59"/>
        <v>0.63116061805411994</v>
      </c>
      <c r="Q51">
        <f t="shared" si="60"/>
        <v>0.47800943855994527</v>
      </c>
      <c r="R51">
        <f t="shared" si="61"/>
        <v>1.3203936306269579</v>
      </c>
      <c r="S51">
        <v>0.06</v>
      </c>
    </row>
    <row r="52" spans="1:19" x14ac:dyDescent="0.2">
      <c r="A52">
        <v>0.1</v>
      </c>
      <c r="B52" t="s">
        <v>27</v>
      </c>
      <c r="C52" s="2">
        <v>-2.7300000000000001E-2</v>
      </c>
      <c r="D52">
        <v>0.57099999999999995</v>
      </c>
      <c r="E52">
        <v>0.17799999999999999</v>
      </c>
      <c r="F52">
        <v>0.11</v>
      </c>
      <c r="G52">
        <f t="shared" si="56"/>
        <v>1.6181818181818182</v>
      </c>
      <c r="H52">
        <f t="shared" si="23"/>
        <v>1.5181818181818181</v>
      </c>
      <c r="I52">
        <v>64</v>
      </c>
      <c r="J52">
        <v>28.5</v>
      </c>
      <c r="K52">
        <v>37</v>
      </c>
      <c r="L52">
        <f t="shared" si="57"/>
        <v>0.77027027027027029</v>
      </c>
      <c r="M52">
        <f t="shared" si="58"/>
        <v>160.11235955056179</v>
      </c>
      <c r="N52">
        <f t="shared" si="4"/>
        <v>49.912434325744314</v>
      </c>
      <c r="O52">
        <v>-1.208639</v>
      </c>
      <c r="P52">
        <f t="shared" si="59"/>
        <v>0.63116061805411994</v>
      </c>
      <c r="Q52">
        <f t="shared" si="60"/>
        <v>0.47800943855994527</v>
      </c>
      <c r="R52">
        <f t="shared" si="61"/>
        <v>1.3203936306269579</v>
      </c>
      <c r="S52">
        <v>0.06</v>
      </c>
    </row>
    <row r="53" spans="1:19" x14ac:dyDescent="0.2">
      <c r="A53">
        <v>0.15</v>
      </c>
      <c r="B53" t="s">
        <v>27</v>
      </c>
      <c r="C53" s="2">
        <f>0.1266-0.15</f>
        <v>-2.3400000000000004E-2</v>
      </c>
      <c r="D53">
        <v>0.57099999999999995</v>
      </c>
      <c r="E53">
        <v>0.17799999999999999</v>
      </c>
      <c r="F53">
        <v>0.11</v>
      </c>
      <c r="G53">
        <f t="shared" ref="G53" si="78">E53/F53</f>
        <v>1.6181818181818182</v>
      </c>
      <c r="H53">
        <f t="shared" ref="H53" si="79">G53-A53</f>
        <v>1.4681818181818183</v>
      </c>
      <c r="I53">
        <v>64</v>
      </c>
      <c r="J53">
        <v>28.5</v>
      </c>
      <c r="K53">
        <v>37</v>
      </c>
      <c r="L53">
        <f t="shared" ref="L53" si="80">J53/K53</f>
        <v>0.77027027027027029</v>
      </c>
      <c r="M53">
        <f t="shared" ref="M53" si="81">J53/E53</f>
        <v>160.11235955056179</v>
      </c>
      <c r="N53">
        <f t="shared" ref="N53" si="82">(D53/J53)^(-1)</f>
        <v>49.912434325744314</v>
      </c>
      <c r="O53">
        <v>-1.208639</v>
      </c>
      <c r="P53">
        <f t="shared" ref="P53" si="83">LN((N53/(N53-J53)))+(E53*O53)</f>
        <v>0.63116061805411994</v>
      </c>
      <c r="Q53">
        <f t="shared" ref="Q53" si="84">LN(2)+(E53*O53)</f>
        <v>0.47800943855994527</v>
      </c>
      <c r="R53">
        <f t="shared" ref="R53" si="85">P53/Q53</f>
        <v>1.3203936306269579</v>
      </c>
      <c r="S53">
        <v>0.06</v>
      </c>
    </row>
    <row r="54" spans="1:19" x14ac:dyDescent="0.2">
      <c r="A54">
        <v>0.2</v>
      </c>
      <c r="B54" t="s">
        <v>27</v>
      </c>
      <c r="C54" s="2">
        <v>-2.1299999999999999E-2</v>
      </c>
      <c r="D54">
        <v>0.57099999999999995</v>
      </c>
      <c r="E54">
        <v>0.17799999999999999</v>
      </c>
      <c r="F54">
        <v>0.11</v>
      </c>
      <c r="G54">
        <f t="shared" si="56"/>
        <v>1.6181818181818182</v>
      </c>
      <c r="H54">
        <f t="shared" si="23"/>
        <v>1.4181818181818182</v>
      </c>
      <c r="I54">
        <v>64</v>
      </c>
      <c r="J54">
        <v>28.5</v>
      </c>
      <c r="K54">
        <v>37</v>
      </c>
      <c r="L54">
        <f t="shared" si="57"/>
        <v>0.77027027027027029</v>
      </c>
      <c r="M54">
        <f t="shared" si="58"/>
        <v>160.11235955056179</v>
      </c>
      <c r="N54">
        <f t="shared" si="4"/>
        <v>49.912434325744314</v>
      </c>
      <c r="O54">
        <v>-1.208639</v>
      </c>
      <c r="P54">
        <f t="shared" si="59"/>
        <v>0.63116061805411994</v>
      </c>
      <c r="Q54">
        <f t="shared" si="60"/>
        <v>0.47800943855994527</v>
      </c>
      <c r="R54">
        <f t="shared" si="61"/>
        <v>1.3203936306269579</v>
      </c>
      <c r="S54">
        <v>0.06</v>
      </c>
    </row>
    <row r="55" spans="1:19" x14ac:dyDescent="0.2">
      <c r="A55">
        <v>0.25</v>
      </c>
      <c r="B55" t="s">
        <v>27</v>
      </c>
      <c r="C55" s="2">
        <v>-1.7100000000000001E-2</v>
      </c>
      <c r="D55">
        <v>0.57099999999999995</v>
      </c>
      <c r="E55">
        <v>0.17799999999999999</v>
      </c>
      <c r="F55">
        <v>0.11</v>
      </c>
      <c r="G55">
        <f t="shared" si="56"/>
        <v>1.6181818181818182</v>
      </c>
      <c r="H55">
        <f t="shared" si="23"/>
        <v>1.3681818181818182</v>
      </c>
      <c r="I55">
        <v>64</v>
      </c>
      <c r="J55">
        <v>28.5</v>
      </c>
      <c r="K55">
        <v>37</v>
      </c>
      <c r="L55">
        <f t="shared" si="57"/>
        <v>0.77027027027027029</v>
      </c>
      <c r="M55">
        <f t="shared" si="58"/>
        <v>160.11235955056179</v>
      </c>
      <c r="N55">
        <f t="shared" si="4"/>
        <v>49.912434325744314</v>
      </c>
      <c r="O55">
        <v>-1.208639</v>
      </c>
      <c r="P55">
        <f t="shared" si="59"/>
        <v>0.63116061805411994</v>
      </c>
      <c r="Q55">
        <f t="shared" si="60"/>
        <v>0.47800943855994527</v>
      </c>
      <c r="R55">
        <f t="shared" si="61"/>
        <v>1.3203936306269579</v>
      </c>
      <c r="S55">
        <v>0.06</v>
      </c>
    </row>
    <row r="56" spans="1:19" x14ac:dyDescent="0.2">
      <c r="A56">
        <v>0</v>
      </c>
      <c r="B56" t="s">
        <v>28</v>
      </c>
      <c r="C56" s="2">
        <f>0.0015-0</f>
        <v>1.5E-3</v>
      </c>
      <c r="D56">
        <f>30.48/41.14805</f>
        <v>0.74073984064858489</v>
      </c>
      <c r="E56">
        <v>0.24472070000000001</v>
      </c>
      <c r="F56">
        <v>0.30099999999999999</v>
      </c>
      <c r="G56">
        <f t="shared" si="56"/>
        <v>0.81302558139534886</v>
      </c>
      <c r="H56">
        <f>G56-0</f>
        <v>0.81302558139534886</v>
      </c>
      <c r="I56">
        <v>25</v>
      </c>
      <c r="J56">
        <v>30.48</v>
      </c>
      <c r="K56">
        <v>30</v>
      </c>
      <c r="L56">
        <f t="shared" si="57"/>
        <v>1.016</v>
      </c>
      <c r="M56">
        <f t="shared" si="58"/>
        <v>124.55015043680407</v>
      </c>
      <c r="N56">
        <v>41.148049999999998</v>
      </c>
      <c r="O56">
        <v>-1.9098010000000001</v>
      </c>
      <c r="P56">
        <f t="shared" si="59"/>
        <v>0.88255540759031259</v>
      </c>
      <c r="Q56">
        <f t="shared" si="60"/>
        <v>0.22577934297924523</v>
      </c>
      <c r="R56">
        <f t="shared" si="61"/>
        <v>3.9089289389571902</v>
      </c>
      <c r="S56">
        <v>0.17</v>
      </c>
    </row>
    <row r="57" spans="1:19" x14ac:dyDescent="0.2">
      <c r="A57">
        <v>0.05</v>
      </c>
      <c r="B57" t="s">
        <v>28</v>
      </c>
      <c r="C57" s="2">
        <f>0.0054-0.05</f>
        <v>-4.4600000000000001E-2</v>
      </c>
      <c r="D57">
        <f t="shared" ref="D57:D61" si="86">30.48/41.14805</f>
        <v>0.74073984064858489</v>
      </c>
      <c r="E57">
        <v>0.24472070000000001</v>
      </c>
      <c r="F57">
        <v>0.30099999999999999</v>
      </c>
      <c r="G57">
        <f t="shared" si="56"/>
        <v>0.81302558139534886</v>
      </c>
      <c r="H57">
        <f>G57-0.05</f>
        <v>0.76302558139534882</v>
      </c>
      <c r="I57">
        <v>25</v>
      </c>
      <c r="J57">
        <v>30.48</v>
      </c>
      <c r="K57">
        <v>30</v>
      </c>
      <c r="L57">
        <f t="shared" si="57"/>
        <v>1.016</v>
      </c>
      <c r="M57">
        <f t="shared" si="58"/>
        <v>124.55015043680407</v>
      </c>
      <c r="N57">
        <v>41.148049999999998</v>
      </c>
      <c r="O57">
        <v>-1.9098010000000001</v>
      </c>
      <c r="P57">
        <f t="shared" si="59"/>
        <v>0.88255540759031259</v>
      </c>
      <c r="Q57">
        <f t="shared" si="60"/>
        <v>0.22577934297924523</v>
      </c>
      <c r="R57">
        <f t="shared" si="61"/>
        <v>3.9089289389571902</v>
      </c>
      <c r="S57">
        <v>0.17</v>
      </c>
    </row>
    <row r="58" spans="1:19" x14ac:dyDescent="0.2">
      <c r="A58">
        <v>0.1</v>
      </c>
      <c r="B58" t="s">
        <v>28</v>
      </c>
      <c r="C58" s="2">
        <f>0.0222-0.1</f>
        <v>-7.7800000000000008E-2</v>
      </c>
      <c r="D58">
        <f t="shared" si="86"/>
        <v>0.74073984064858489</v>
      </c>
      <c r="E58">
        <v>0.24472070000000001</v>
      </c>
      <c r="F58">
        <v>0.30099999999999999</v>
      </c>
      <c r="G58">
        <f t="shared" si="56"/>
        <v>0.81302558139534886</v>
      </c>
      <c r="H58">
        <f>G58-0.1</f>
        <v>0.71302558139534888</v>
      </c>
      <c r="I58">
        <v>25</v>
      </c>
      <c r="J58">
        <v>30.48</v>
      </c>
      <c r="K58">
        <v>30</v>
      </c>
      <c r="L58">
        <f t="shared" si="57"/>
        <v>1.016</v>
      </c>
      <c r="M58">
        <f t="shared" si="58"/>
        <v>124.55015043680407</v>
      </c>
      <c r="N58">
        <v>41.148049999999998</v>
      </c>
      <c r="O58">
        <v>-1.9098010000000001</v>
      </c>
      <c r="P58">
        <f t="shared" si="59"/>
        <v>0.88255540759031259</v>
      </c>
      <c r="Q58">
        <f t="shared" si="60"/>
        <v>0.22577934297924523</v>
      </c>
      <c r="R58">
        <f t="shared" si="61"/>
        <v>3.9089289389571902</v>
      </c>
      <c r="S58">
        <v>0.17</v>
      </c>
    </row>
    <row r="59" spans="1:19" x14ac:dyDescent="0.2">
      <c r="A59">
        <v>0.15</v>
      </c>
      <c r="B59" t="s">
        <v>28</v>
      </c>
      <c r="C59" s="2">
        <f>0.0519-0.15</f>
        <v>-9.8099999999999993E-2</v>
      </c>
      <c r="D59">
        <f t="shared" si="86"/>
        <v>0.74073984064858489</v>
      </c>
      <c r="E59">
        <v>0.24472070000000001</v>
      </c>
      <c r="F59">
        <v>0.30099999999999999</v>
      </c>
      <c r="G59">
        <f t="shared" ref="G59" si="87">E59/F59</f>
        <v>0.81302558139534886</v>
      </c>
      <c r="H59">
        <f>G59-0.1</f>
        <v>0.71302558139534888</v>
      </c>
      <c r="I59">
        <v>25</v>
      </c>
      <c r="J59">
        <v>30.48</v>
      </c>
      <c r="K59">
        <v>30</v>
      </c>
      <c r="L59">
        <f t="shared" ref="L59" si="88">J59/K59</f>
        <v>1.016</v>
      </c>
      <c r="M59">
        <f t="shared" ref="M59" si="89">J59/E59</f>
        <v>124.55015043680407</v>
      </c>
      <c r="N59">
        <v>41.148049999999998</v>
      </c>
      <c r="O59">
        <v>-1.9098010000000001</v>
      </c>
      <c r="P59">
        <f t="shared" ref="P59" si="90">LN((N59/(N59-J59)))+(E59*O59)</f>
        <v>0.88255540759031259</v>
      </c>
      <c r="Q59">
        <f t="shared" ref="Q59" si="91">LN(2)+(E59*O59)</f>
        <v>0.22577934297924523</v>
      </c>
      <c r="R59">
        <f t="shared" ref="R59" si="92">P59/Q59</f>
        <v>3.9089289389571902</v>
      </c>
      <c r="S59">
        <v>0.17</v>
      </c>
    </row>
    <row r="60" spans="1:19" x14ac:dyDescent="0.2">
      <c r="A60">
        <v>0.2</v>
      </c>
      <c r="B60" t="s">
        <v>28</v>
      </c>
      <c r="C60" s="2">
        <f>0.0968-0.2</f>
        <v>-0.10320000000000001</v>
      </c>
      <c r="D60">
        <f t="shared" si="86"/>
        <v>0.74073984064858489</v>
      </c>
      <c r="E60">
        <v>0.24472070000000001</v>
      </c>
      <c r="F60">
        <v>0.30099999999999999</v>
      </c>
      <c r="G60">
        <f t="shared" ref="G60" si="93">E60/F60</f>
        <v>0.81302558139534886</v>
      </c>
      <c r="H60">
        <f>G60-0.1</f>
        <v>0.71302558139534888</v>
      </c>
      <c r="I60">
        <v>25</v>
      </c>
      <c r="J60">
        <v>30.48</v>
      </c>
      <c r="K60">
        <v>30</v>
      </c>
      <c r="L60">
        <f t="shared" ref="L60" si="94">J60/K60</f>
        <v>1.016</v>
      </c>
      <c r="M60">
        <f t="shared" ref="M60" si="95">J60/E60</f>
        <v>124.55015043680407</v>
      </c>
      <c r="N60">
        <v>41.148049999999998</v>
      </c>
      <c r="O60">
        <v>-1.9098010000000001</v>
      </c>
      <c r="P60">
        <f t="shared" ref="P60" si="96">LN((N60/(N60-J60)))+(E60*O60)</f>
        <v>0.88255540759031259</v>
      </c>
      <c r="Q60">
        <f t="shared" ref="Q60" si="97">LN(2)+(E60*O60)</f>
        <v>0.22577934297924523</v>
      </c>
      <c r="R60">
        <f t="shared" ref="R60" si="98">P60/Q60</f>
        <v>3.9089289389571902</v>
      </c>
      <c r="S60">
        <v>0.17</v>
      </c>
    </row>
    <row r="61" spans="1:19" x14ac:dyDescent="0.2">
      <c r="A61">
        <v>0.25</v>
      </c>
      <c r="B61" t="s">
        <v>28</v>
      </c>
      <c r="C61" s="2">
        <f>0.1212-0.25</f>
        <v>-0.1288</v>
      </c>
      <c r="D61">
        <f t="shared" si="86"/>
        <v>0.74073984064858489</v>
      </c>
      <c r="E61">
        <v>0.24472070000000001</v>
      </c>
      <c r="F61">
        <v>0.30099999999999999</v>
      </c>
      <c r="G61">
        <f t="shared" si="56"/>
        <v>0.81302558139534886</v>
      </c>
      <c r="H61">
        <f>G61-0.25</f>
        <v>0.56302558139534886</v>
      </c>
      <c r="I61">
        <v>25</v>
      </c>
      <c r="J61">
        <v>30.48</v>
      </c>
      <c r="K61">
        <v>30</v>
      </c>
      <c r="L61">
        <f t="shared" si="57"/>
        <v>1.016</v>
      </c>
      <c r="M61">
        <f t="shared" si="58"/>
        <v>124.55015043680407</v>
      </c>
      <c r="N61">
        <v>41.148049999999998</v>
      </c>
      <c r="O61">
        <v>-1.9098010000000001</v>
      </c>
      <c r="P61">
        <f t="shared" si="59"/>
        <v>0.88255540759031259</v>
      </c>
      <c r="Q61">
        <f t="shared" si="60"/>
        <v>0.22577934297924523</v>
      </c>
      <c r="R61">
        <f t="shared" si="61"/>
        <v>3.9089289389571902</v>
      </c>
      <c r="S61">
        <v>0.17</v>
      </c>
    </row>
    <row r="62" spans="1:19" x14ac:dyDescent="0.2">
      <c r="A62">
        <v>0</v>
      </c>
      <c r="B62" t="s">
        <v>29</v>
      </c>
      <c r="C62" s="2">
        <f>0.000126</f>
        <v>1.26E-4</v>
      </c>
      <c r="D62">
        <f>J62/N62</f>
        <v>0.90660321237358721</v>
      </c>
      <c r="E62">
        <v>0.23</v>
      </c>
      <c r="F62">
        <v>5.6000000000000001E-2</v>
      </c>
      <c r="G62">
        <f t="shared" si="56"/>
        <v>4.1071428571428577</v>
      </c>
      <c r="H62">
        <f>G62-0</f>
        <v>4.1071428571428577</v>
      </c>
      <c r="I62">
        <v>83</v>
      </c>
      <c r="J62">
        <v>30.48</v>
      </c>
      <c r="K62">
        <v>27</v>
      </c>
      <c r="L62">
        <f t="shared" si="57"/>
        <v>1.1288888888888888</v>
      </c>
      <c r="M62">
        <f t="shared" si="58"/>
        <v>132.52173913043478</v>
      </c>
      <c r="N62">
        <v>33.619999999999997</v>
      </c>
      <c r="O62">
        <v>-0.26</v>
      </c>
      <c r="P62">
        <f t="shared" si="59"/>
        <v>2.3110983280603086</v>
      </c>
      <c r="Q62">
        <f t="shared" si="60"/>
        <v>0.63334718055994532</v>
      </c>
      <c r="R62">
        <f t="shared" si="61"/>
        <v>3.6490228408643981</v>
      </c>
      <c r="S62">
        <v>0.19</v>
      </c>
    </row>
    <row r="63" spans="1:19" x14ac:dyDescent="0.2">
      <c r="A63">
        <v>0.05</v>
      </c>
      <c r="B63" t="s">
        <v>29</v>
      </c>
      <c r="C63" s="2">
        <f>0.0093-0.05</f>
        <v>-4.07E-2</v>
      </c>
      <c r="D63">
        <f t="shared" ref="D63:D91" si="99">J63/N63</f>
        <v>0.90660321237358721</v>
      </c>
      <c r="E63">
        <v>0.23</v>
      </c>
      <c r="F63">
        <v>5.6000000000000001E-2</v>
      </c>
      <c r="G63">
        <f t="shared" ref="G63:G97" si="100">E63/F63</f>
        <v>4.1071428571428577</v>
      </c>
      <c r="H63">
        <f>G63-0.05</f>
        <v>4.0571428571428578</v>
      </c>
      <c r="I63">
        <v>83</v>
      </c>
      <c r="J63">
        <v>30.48</v>
      </c>
      <c r="K63">
        <v>27</v>
      </c>
      <c r="L63">
        <f t="shared" si="57"/>
        <v>1.1288888888888888</v>
      </c>
      <c r="M63">
        <f t="shared" si="58"/>
        <v>132.52173913043478</v>
      </c>
      <c r="N63">
        <v>33.619999999999997</v>
      </c>
      <c r="O63">
        <v>-0.26</v>
      </c>
      <c r="P63">
        <f t="shared" ref="P63:P103" si="101">LN((N63/(N63-J63)))+(E63*O63)</f>
        <v>2.3110983280603086</v>
      </c>
      <c r="Q63">
        <f t="shared" si="60"/>
        <v>0.63334718055994532</v>
      </c>
      <c r="R63">
        <f t="shared" si="61"/>
        <v>3.6490228408643981</v>
      </c>
      <c r="S63">
        <v>0.19</v>
      </c>
    </row>
    <row r="64" spans="1:19" x14ac:dyDescent="0.2">
      <c r="A64">
        <v>0.1</v>
      </c>
      <c r="B64" t="s">
        <v>29</v>
      </c>
      <c r="C64" s="2">
        <f>0.0826-0.1</f>
        <v>-1.7399999999999999E-2</v>
      </c>
      <c r="D64">
        <f t="shared" si="99"/>
        <v>0.90660321237358721</v>
      </c>
      <c r="E64">
        <v>0.23</v>
      </c>
      <c r="F64">
        <v>5.6000000000000001E-2</v>
      </c>
      <c r="G64">
        <f t="shared" si="100"/>
        <v>4.1071428571428577</v>
      </c>
      <c r="H64">
        <f>G64-0.1</f>
        <v>4.007142857142858</v>
      </c>
      <c r="I64">
        <v>83</v>
      </c>
      <c r="J64">
        <v>30.48</v>
      </c>
      <c r="K64">
        <v>27</v>
      </c>
      <c r="L64">
        <f t="shared" si="57"/>
        <v>1.1288888888888888</v>
      </c>
      <c r="M64">
        <f t="shared" si="58"/>
        <v>132.52173913043478</v>
      </c>
      <c r="N64">
        <v>33.619999999999997</v>
      </c>
      <c r="O64">
        <v>-0.26</v>
      </c>
      <c r="P64">
        <f t="shared" si="101"/>
        <v>2.3110983280603086</v>
      </c>
      <c r="Q64">
        <f t="shared" ref="Q64:Q103" si="102">LN(2)+(E64*O64)</f>
        <v>0.63334718055994532</v>
      </c>
      <c r="R64">
        <f t="shared" ref="R64:R103" si="103">P64/Q64</f>
        <v>3.6490228408643981</v>
      </c>
      <c r="S64">
        <v>0.19</v>
      </c>
    </row>
    <row r="65" spans="1:19" x14ac:dyDescent="0.2">
      <c r="A65">
        <v>0.15</v>
      </c>
      <c r="B65" t="s">
        <v>29</v>
      </c>
      <c r="C65" s="2">
        <f>0.1583-0.15</f>
        <v>8.3000000000000018E-3</v>
      </c>
      <c r="D65">
        <f t="shared" ref="D65" si="104">J65/N65</f>
        <v>0.90660321237358721</v>
      </c>
      <c r="E65">
        <v>0.23</v>
      </c>
      <c r="F65">
        <v>5.6000000000000001E-2</v>
      </c>
      <c r="G65">
        <f t="shared" ref="G65" si="105">E65/F65</f>
        <v>4.1071428571428577</v>
      </c>
      <c r="H65">
        <f>G65-0.1</f>
        <v>4.007142857142858</v>
      </c>
      <c r="I65">
        <v>83</v>
      </c>
      <c r="J65">
        <v>30.48</v>
      </c>
      <c r="K65">
        <v>27</v>
      </c>
      <c r="L65">
        <f t="shared" ref="L65" si="106">J65/K65</f>
        <v>1.1288888888888888</v>
      </c>
      <c r="M65">
        <f t="shared" ref="M65" si="107">J65/E65</f>
        <v>132.52173913043478</v>
      </c>
      <c r="N65">
        <v>33.619999999999997</v>
      </c>
      <c r="O65">
        <v>-0.26</v>
      </c>
      <c r="P65">
        <f t="shared" ref="P65" si="108">LN((N65/(N65-J65)))+(E65*O65)</f>
        <v>2.3110983280603086</v>
      </c>
      <c r="Q65">
        <f t="shared" ref="Q65" si="109">LN(2)+(E65*O65)</f>
        <v>0.63334718055994532</v>
      </c>
      <c r="R65">
        <f t="shared" ref="R65" si="110">P65/Q65</f>
        <v>3.6490228408643981</v>
      </c>
      <c r="S65">
        <v>0.19</v>
      </c>
    </row>
    <row r="66" spans="1:19" x14ac:dyDescent="0.2">
      <c r="A66">
        <v>0.2</v>
      </c>
      <c r="B66" t="s">
        <v>29</v>
      </c>
      <c r="C66" s="2">
        <f>0.2188-0.2</f>
        <v>1.8799999999999983E-2</v>
      </c>
      <c r="D66">
        <f t="shared" ref="D66" si="111">J66/N66</f>
        <v>0.90660321237358721</v>
      </c>
      <c r="E66">
        <v>0.23</v>
      </c>
      <c r="F66">
        <v>5.6000000000000001E-2</v>
      </c>
      <c r="G66">
        <f t="shared" ref="G66" si="112">E66/F66</f>
        <v>4.1071428571428577</v>
      </c>
      <c r="H66">
        <f>G66-0.1</f>
        <v>4.007142857142858</v>
      </c>
      <c r="I66">
        <v>83</v>
      </c>
      <c r="J66">
        <v>30.48</v>
      </c>
      <c r="K66">
        <v>27</v>
      </c>
      <c r="L66">
        <f t="shared" ref="L66" si="113">J66/K66</f>
        <v>1.1288888888888888</v>
      </c>
      <c r="M66">
        <f t="shared" ref="M66" si="114">J66/E66</f>
        <v>132.52173913043478</v>
      </c>
      <c r="N66">
        <v>33.619999999999997</v>
      </c>
      <c r="O66">
        <v>-0.26</v>
      </c>
      <c r="P66">
        <f t="shared" ref="P66" si="115">LN((N66/(N66-J66)))+(E66*O66)</f>
        <v>2.3110983280603086</v>
      </c>
      <c r="Q66">
        <f t="shared" ref="Q66" si="116">LN(2)+(E66*O66)</f>
        <v>0.63334718055994532</v>
      </c>
      <c r="R66">
        <f t="shared" ref="R66" si="117">P66/Q66</f>
        <v>3.6490228408643981</v>
      </c>
      <c r="S66">
        <v>0.19</v>
      </c>
    </row>
    <row r="67" spans="1:19" x14ac:dyDescent="0.2">
      <c r="A67">
        <v>0.25</v>
      </c>
      <c r="B67" t="s">
        <v>29</v>
      </c>
      <c r="C67" s="2">
        <f>0.2783-0.25</f>
        <v>2.8299999999999992E-2</v>
      </c>
      <c r="D67">
        <f t="shared" si="99"/>
        <v>0.90660321237358721</v>
      </c>
      <c r="E67">
        <v>0.23</v>
      </c>
      <c r="F67">
        <v>5.6000000000000001E-2</v>
      </c>
      <c r="G67">
        <f t="shared" si="100"/>
        <v>4.1071428571428577</v>
      </c>
      <c r="H67">
        <f>G67-0.25</f>
        <v>3.8571428571428577</v>
      </c>
      <c r="I67">
        <v>83</v>
      </c>
      <c r="J67">
        <v>30.48</v>
      </c>
      <c r="K67">
        <v>27</v>
      </c>
      <c r="L67">
        <f t="shared" si="57"/>
        <v>1.1288888888888888</v>
      </c>
      <c r="M67">
        <f t="shared" si="58"/>
        <v>132.52173913043478</v>
      </c>
      <c r="N67">
        <v>33.619999999999997</v>
      </c>
      <c r="O67">
        <v>-0.26</v>
      </c>
      <c r="P67">
        <f t="shared" si="101"/>
        <v>2.3110983280603086</v>
      </c>
      <c r="Q67">
        <f t="shared" si="102"/>
        <v>0.63334718055994532</v>
      </c>
      <c r="R67">
        <f t="shared" si="103"/>
        <v>3.6490228408643981</v>
      </c>
      <c r="S67">
        <v>0.19</v>
      </c>
    </row>
    <row r="68" spans="1:19" x14ac:dyDescent="0.2">
      <c r="A68">
        <v>0</v>
      </c>
      <c r="B68" t="s">
        <v>30</v>
      </c>
      <c r="C68" s="2">
        <v>3.8E-3</v>
      </c>
      <c r="D68">
        <f t="shared" si="99"/>
        <v>0.76352705410821653</v>
      </c>
      <c r="E68">
        <v>0.28000000000000003</v>
      </c>
      <c r="F68">
        <v>0.27500000000000002</v>
      </c>
      <c r="G68">
        <f t="shared" si="100"/>
        <v>1.0181818181818183</v>
      </c>
      <c r="H68">
        <f>G68-0</f>
        <v>1.0181818181818183</v>
      </c>
      <c r="I68">
        <v>16</v>
      </c>
      <c r="J68">
        <v>38.1</v>
      </c>
      <c r="K68">
        <v>34</v>
      </c>
      <c r="L68">
        <f t="shared" si="57"/>
        <v>1.1205882352941177</v>
      </c>
      <c r="M68">
        <f t="shared" si="58"/>
        <v>136.07142857142856</v>
      </c>
      <c r="N68">
        <v>49.9</v>
      </c>
      <c r="O68">
        <v>-1.23</v>
      </c>
      <c r="P68">
        <f t="shared" si="101"/>
        <v>1.0975214712858541</v>
      </c>
      <c r="Q68">
        <f t="shared" si="102"/>
        <v>0.34874718055994525</v>
      </c>
      <c r="R68">
        <f t="shared" si="103"/>
        <v>3.1470404134126153</v>
      </c>
      <c r="S68">
        <v>0.12</v>
      </c>
    </row>
    <row r="69" spans="1:19" x14ac:dyDescent="0.2">
      <c r="A69">
        <v>0.05</v>
      </c>
      <c r="B69" t="s">
        <v>30</v>
      </c>
      <c r="C69" s="2">
        <f>0.0237-0.05</f>
        <v>-2.6300000000000004E-2</v>
      </c>
      <c r="D69">
        <f t="shared" si="99"/>
        <v>0.76352705410821653</v>
      </c>
      <c r="E69">
        <v>0.28000000000000003</v>
      </c>
      <c r="F69">
        <v>0.27500000000000002</v>
      </c>
      <c r="G69">
        <f t="shared" si="100"/>
        <v>1.0181818181818183</v>
      </c>
      <c r="H69">
        <f>G69-0.05</f>
        <v>0.96818181818181825</v>
      </c>
      <c r="I69">
        <v>16</v>
      </c>
      <c r="J69">
        <v>38.1</v>
      </c>
      <c r="K69">
        <v>34</v>
      </c>
      <c r="L69">
        <f t="shared" si="57"/>
        <v>1.1205882352941177</v>
      </c>
      <c r="M69">
        <f t="shared" si="58"/>
        <v>136.07142857142856</v>
      </c>
      <c r="N69">
        <v>49.9</v>
      </c>
      <c r="O69">
        <v>-1.23</v>
      </c>
      <c r="P69">
        <f t="shared" si="101"/>
        <v>1.0975214712858541</v>
      </c>
      <c r="Q69">
        <f t="shared" si="102"/>
        <v>0.34874718055994525</v>
      </c>
      <c r="R69">
        <f t="shared" si="103"/>
        <v>3.1470404134126153</v>
      </c>
      <c r="S69">
        <v>0.12</v>
      </c>
    </row>
    <row r="70" spans="1:19" x14ac:dyDescent="0.2">
      <c r="A70">
        <v>0.1</v>
      </c>
      <c r="B70" t="s">
        <v>30</v>
      </c>
      <c r="C70" s="2">
        <f>0.049-0.1</f>
        <v>-5.1000000000000004E-2</v>
      </c>
      <c r="D70">
        <f t="shared" si="99"/>
        <v>0.76352705410821653</v>
      </c>
      <c r="E70">
        <v>0.28000000000000003</v>
      </c>
      <c r="F70">
        <v>0.27500000000000002</v>
      </c>
      <c r="G70">
        <f t="shared" si="100"/>
        <v>1.0181818181818183</v>
      </c>
      <c r="H70">
        <f>G70-0.1</f>
        <v>0.91818181818181832</v>
      </c>
      <c r="I70">
        <v>16</v>
      </c>
      <c r="J70">
        <v>38.1</v>
      </c>
      <c r="K70">
        <v>34</v>
      </c>
      <c r="L70">
        <f t="shared" si="57"/>
        <v>1.1205882352941177</v>
      </c>
      <c r="M70">
        <f t="shared" si="58"/>
        <v>136.07142857142856</v>
      </c>
      <c r="N70">
        <v>49.9</v>
      </c>
      <c r="O70">
        <v>-1.23</v>
      </c>
      <c r="P70">
        <f t="shared" si="101"/>
        <v>1.0975214712858541</v>
      </c>
      <c r="Q70">
        <f t="shared" si="102"/>
        <v>0.34874718055994525</v>
      </c>
      <c r="R70">
        <f t="shared" si="103"/>
        <v>3.1470404134126153</v>
      </c>
      <c r="S70">
        <v>0.12</v>
      </c>
    </row>
    <row r="71" spans="1:19" x14ac:dyDescent="0.2">
      <c r="A71">
        <v>0.15</v>
      </c>
      <c r="B71" t="s">
        <v>30</v>
      </c>
      <c r="C71" s="2">
        <f xml:space="preserve"> 0.1502-0.15</f>
        <v>2.0000000000000573E-4</v>
      </c>
      <c r="D71">
        <f t="shared" ref="D71" si="118">J71/N71</f>
        <v>0.76352705410821653</v>
      </c>
      <c r="E71">
        <v>0.28000000000000003</v>
      </c>
      <c r="F71">
        <v>0.27500000000000002</v>
      </c>
      <c r="G71">
        <f t="shared" ref="G71" si="119">E71/F71</f>
        <v>1.0181818181818183</v>
      </c>
      <c r="H71">
        <f>G71-0.1</f>
        <v>0.91818181818181832</v>
      </c>
      <c r="I71">
        <v>16</v>
      </c>
      <c r="J71">
        <v>38.1</v>
      </c>
      <c r="K71">
        <v>34</v>
      </c>
      <c r="L71">
        <f t="shared" ref="L71" si="120">J71/K71</f>
        <v>1.1205882352941177</v>
      </c>
      <c r="M71">
        <f t="shared" ref="M71" si="121">J71/E71</f>
        <v>136.07142857142856</v>
      </c>
      <c r="N71">
        <v>49.9</v>
      </c>
      <c r="O71">
        <v>-1.23</v>
      </c>
      <c r="P71">
        <f t="shared" ref="P71" si="122">LN((N71/(N71-J71)))+(E71*O71)</f>
        <v>1.0975214712858541</v>
      </c>
      <c r="Q71">
        <f t="shared" ref="Q71" si="123">LN(2)+(E71*O71)</f>
        <v>0.34874718055994525</v>
      </c>
      <c r="R71">
        <f t="shared" ref="R71" si="124">P71/Q71</f>
        <v>3.1470404134126153</v>
      </c>
      <c r="S71">
        <v>0.12</v>
      </c>
    </row>
    <row r="72" spans="1:19" x14ac:dyDescent="0.2">
      <c r="A72">
        <v>0.2</v>
      </c>
      <c r="B72" t="s">
        <v>30</v>
      </c>
      <c r="C72" s="2">
        <f>0.2281-0.2</f>
        <v>2.8099999999999986E-2</v>
      </c>
      <c r="D72">
        <f t="shared" ref="D72" si="125">J72/N72</f>
        <v>0.76352705410821653</v>
      </c>
      <c r="E72">
        <v>0.28000000000000003</v>
      </c>
      <c r="F72">
        <v>0.27500000000000002</v>
      </c>
      <c r="G72">
        <f t="shared" ref="G72" si="126">E72/F72</f>
        <v>1.0181818181818183</v>
      </c>
      <c r="H72">
        <f>G72-0.1</f>
        <v>0.91818181818181832</v>
      </c>
      <c r="I72">
        <v>16</v>
      </c>
      <c r="J72">
        <v>38.1</v>
      </c>
      <c r="K72">
        <v>34</v>
      </c>
      <c r="L72">
        <f t="shared" ref="L72" si="127">J72/K72</f>
        <v>1.1205882352941177</v>
      </c>
      <c r="M72">
        <f t="shared" ref="M72" si="128">J72/E72</f>
        <v>136.07142857142856</v>
      </c>
      <c r="N72">
        <v>49.9</v>
      </c>
      <c r="O72">
        <v>-1.23</v>
      </c>
      <c r="P72">
        <f t="shared" ref="P72" si="129">LN((N72/(N72-J72)))+(E72*O72)</f>
        <v>1.0975214712858541</v>
      </c>
      <c r="Q72">
        <f t="shared" ref="Q72" si="130">LN(2)+(E72*O72)</f>
        <v>0.34874718055994525</v>
      </c>
      <c r="R72">
        <f t="shared" ref="R72" si="131">P72/Q72</f>
        <v>3.1470404134126153</v>
      </c>
      <c r="S72">
        <v>0.12</v>
      </c>
    </row>
    <row r="73" spans="1:19" x14ac:dyDescent="0.2">
      <c r="A73">
        <v>0.25</v>
      </c>
      <c r="B73" t="s">
        <v>30</v>
      </c>
      <c r="C73" s="2">
        <f>0.2098-0.25</f>
        <v>-4.0200000000000014E-2</v>
      </c>
      <c r="D73">
        <f t="shared" si="99"/>
        <v>0.76352705410821653</v>
      </c>
      <c r="E73">
        <v>0.28000000000000003</v>
      </c>
      <c r="F73">
        <v>0.27500000000000002</v>
      </c>
      <c r="G73">
        <f t="shared" si="100"/>
        <v>1.0181818181818183</v>
      </c>
      <c r="H73">
        <f>G73-0.25</f>
        <v>0.7681818181818183</v>
      </c>
      <c r="I73">
        <v>16</v>
      </c>
      <c r="J73">
        <v>38.1</v>
      </c>
      <c r="K73">
        <v>34</v>
      </c>
      <c r="L73">
        <f t="shared" si="57"/>
        <v>1.1205882352941177</v>
      </c>
      <c r="M73">
        <f t="shared" si="58"/>
        <v>136.07142857142856</v>
      </c>
      <c r="N73">
        <v>49.9</v>
      </c>
      <c r="O73">
        <v>-1.23</v>
      </c>
      <c r="P73">
        <f t="shared" si="101"/>
        <v>1.0975214712858541</v>
      </c>
      <c r="Q73">
        <f t="shared" si="102"/>
        <v>0.34874718055994525</v>
      </c>
      <c r="R73">
        <f t="shared" si="103"/>
        <v>3.1470404134126153</v>
      </c>
      <c r="S73">
        <v>0.12</v>
      </c>
    </row>
    <row r="74" spans="1:19" x14ac:dyDescent="0.2">
      <c r="A74">
        <v>0</v>
      </c>
      <c r="B74" t="s">
        <v>31</v>
      </c>
      <c r="C74" s="2">
        <f>0.000287-0</f>
        <v>2.8699999999999998E-4</v>
      </c>
      <c r="D74">
        <f t="shared" si="99"/>
        <v>0.54285714285714282</v>
      </c>
      <c r="E74">
        <v>0.22</v>
      </c>
      <c r="F74">
        <v>0.15</v>
      </c>
      <c r="G74">
        <f t="shared" si="100"/>
        <v>1.4666666666666668</v>
      </c>
      <c r="H74">
        <f>G74-0</f>
        <v>1.4666666666666668</v>
      </c>
      <c r="I74">
        <v>54</v>
      </c>
      <c r="J74">
        <v>38</v>
      </c>
      <c r="K74">
        <v>35.5</v>
      </c>
      <c r="L74">
        <f t="shared" si="57"/>
        <v>1.0704225352112675</v>
      </c>
      <c r="M74">
        <f t="shared" si="58"/>
        <v>172.72727272727272</v>
      </c>
      <c r="N74">
        <v>70</v>
      </c>
      <c r="O74">
        <v>-0.69</v>
      </c>
      <c r="P74">
        <f t="shared" si="101"/>
        <v>0.63095933924963243</v>
      </c>
      <c r="Q74">
        <f t="shared" si="102"/>
        <v>0.54134718055994524</v>
      </c>
      <c r="R74">
        <f t="shared" si="103"/>
        <v>1.1655354676401868</v>
      </c>
      <c r="S74">
        <v>0.01</v>
      </c>
    </row>
    <row r="75" spans="1:19" x14ac:dyDescent="0.2">
      <c r="A75">
        <v>0.05</v>
      </c>
      <c r="B75" t="s">
        <v>31</v>
      </c>
      <c r="C75" s="2">
        <f>0.0126-0.05</f>
        <v>-3.7400000000000003E-2</v>
      </c>
      <c r="D75">
        <f t="shared" si="99"/>
        <v>0.54285714285714282</v>
      </c>
      <c r="E75">
        <v>0.22</v>
      </c>
      <c r="F75">
        <v>0.15</v>
      </c>
      <c r="G75">
        <f t="shared" si="100"/>
        <v>1.4666666666666668</v>
      </c>
      <c r="H75">
        <f>G75-0.05</f>
        <v>1.4166666666666667</v>
      </c>
      <c r="I75">
        <v>54</v>
      </c>
      <c r="J75">
        <v>38</v>
      </c>
      <c r="K75">
        <v>35.5</v>
      </c>
      <c r="L75">
        <f t="shared" ref="L75:L97" si="132">J75/K75</f>
        <v>1.0704225352112675</v>
      </c>
      <c r="M75">
        <f t="shared" si="58"/>
        <v>172.72727272727272</v>
      </c>
      <c r="N75">
        <v>70</v>
      </c>
      <c r="O75">
        <v>-0.69</v>
      </c>
      <c r="P75">
        <f t="shared" si="101"/>
        <v>0.63095933924963243</v>
      </c>
      <c r="Q75">
        <f t="shared" si="102"/>
        <v>0.54134718055994524</v>
      </c>
      <c r="R75">
        <f t="shared" si="103"/>
        <v>1.1655354676401868</v>
      </c>
      <c r="S75">
        <v>0.01</v>
      </c>
    </row>
    <row r="76" spans="1:19" x14ac:dyDescent="0.2">
      <c r="A76">
        <v>0.1</v>
      </c>
      <c r="B76" t="s">
        <v>31</v>
      </c>
      <c r="C76" s="2">
        <f>0.0824-0.1</f>
        <v>-1.7600000000000005E-2</v>
      </c>
      <c r="D76">
        <f t="shared" si="99"/>
        <v>0.54285714285714282</v>
      </c>
      <c r="E76">
        <v>0.22</v>
      </c>
      <c r="F76">
        <v>0.15</v>
      </c>
      <c r="G76">
        <f t="shared" si="100"/>
        <v>1.4666666666666668</v>
      </c>
      <c r="H76">
        <f>G76-0.1</f>
        <v>1.3666666666666667</v>
      </c>
      <c r="I76">
        <v>54</v>
      </c>
      <c r="J76">
        <v>38</v>
      </c>
      <c r="K76">
        <v>35.5</v>
      </c>
      <c r="L76">
        <f t="shared" si="132"/>
        <v>1.0704225352112675</v>
      </c>
      <c r="M76">
        <f t="shared" si="58"/>
        <v>172.72727272727272</v>
      </c>
      <c r="N76">
        <v>70</v>
      </c>
      <c r="O76">
        <v>-0.69</v>
      </c>
      <c r="P76">
        <f t="shared" si="101"/>
        <v>0.63095933924963243</v>
      </c>
      <c r="Q76">
        <f t="shared" si="102"/>
        <v>0.54134718055994524</v>
      </c>
      <c r="R76">
        <f t="shared" si="103"/>
        <v>1.1655354676401868</v>
      </c>
      <c r="S76">
        <v>0.01</v>
      </c>
    </row>
    <row r="77" spans="1:19" x14ac:dyDescent="0.2">
      <c r="A77">
        <v>0.15</v>
      </c>
      <c r="B77" t="s">
        <v>31</v>
      </c>
      <c r="C77" s="2">
        <f>0.1281-0.15</f>
        <v>-2.1900000000000003E-2</v>
      </c>
      <c r="D77">
        <f t="shared" ref="D77" si="133">J77/N77</f>
        <v>0.54285714285714282</v>
      </c>
      <c r="E77">
        <v>0.22</v>
      </c>
      <c r="F77">
        <v>0.15</v>
      </c>
      <c r="G77">
        <f t="shared" ref="G77" si="134">E77/F77</f>
        <v>1.4666666666666668</v>
      </c>
      <c r="H77">
        <f>G77-0.1</f>
        <v>1.3666666666666667</v>
      </c>
      <c r="I77">
        <v>54</v>
      </c>
      <c r="J77">
        <v>38</v>
      </c>
      <c r="K77">
        <v>35.5</v>
      </c>
      <c r="L77">
        <f t="shared" ref="L77" si="135">J77/K77</f>
        <v>1.0704225352112675</v>
      </c>
      <c r="M77">
        <f t="shared" ref="M77" si="136">J77/E77</f>
        <v>172.72727272727272</v>
      </c>
      <c r="N77">
        <v>70</v>
      </c>
      <c r="O77">
        <v>-0.69</v>
      </c>
      <c r="P77">
        <f t="shared" ref="P77" si="137">LN((N77/(N77-J77)))+(E77*O77)</f>
        <v>0.63095933924963243</v>
      </c>
      <c r="Q77">
        <f t="shared" ref="Q77" si="138">LN(2)+(E77*O77)</f>
        <v>0.54134718055994524</v>
      </c>
      <c r="R77">
        <f t="shared" ref="R77" si="139">P77/Q77</f>
        <v>1.1655354676401868</v>
      </c>
      <c r="S77">
        <v>0.01</v>
      </c>
    </row>
    <row r="78" spans="1:19" x14ac:dyDescent="0.2">
      <c r="A78">
        <v>0.2</v>
      </c>
      <c r="B78" t="s">
        <v>31</v>
      </c>
      <c r="C78" s="2">
        <f>0.1629-0.2</f>
        <v>-3.7100000000000022E-2</v>
      </c>
      <c r="D78">
        <f t="shared" ref="D78" si="140">J78/N78</f>
        <v>0.54285714285714282</v>
      </c>
      <c r="E78">
        <v>0.22</v>
      </c>
      <c r="F78">
        <v>0.15</v>
      </c>
      <c r="G78">
        <f t="shared" ref="G78" si="141">E78/F78</f>
        <v>1.4666666666666668</v>
      </c>
      <c r="H78">
        <f>G78-0.1</f>
        <v>1.3666666666666667</v>
      </c>
      <c r="I78">
        <v>54</v>
      </c>
      <c r="J78">
        <v>38</v>
      </c>
      <c r="K78">
        <v>35.5</v>
      </c>
      <c r="L78">
        <f t="shared" ref="L78" si="142">J78/K78</f>
        <v>1.0704225352112675</v>
      </c>
      <c r="M78">
        <f t="shared" ref="M78" si="143">J78/E78</f>
        <v>172.72727272727272</v>
      </c>
      <c r="N78">
        <v>70</v>
      </c>
      <c r="O78">
        <v>-0.69</v>
      </c>
      <c r="P78">
        <f t="shared" ref="P78" si="144">LN((N78/(N78-J78)))+(E78*O78)</f>
        <v>0.63095933924963243</v>
      </c>
      <c r="Q78">
        <f t="shared" ref="Q78" si="145">LN(2)+(E78*O78)</f>
        <v>0.54134718055994524</v>
      </c>
      <c r="R78">
        <f t="shared" ref="R78" si="146">P78/Q78</f>
        <v>1.1655354676401868</v>
      </c>
      <c r="S78">
        <v>0.01</v>
      </c>
    </row>
    <row r="79" spans="1:19" x14ac:dyDescent="0.2">
      <c r="A79">
        <v>0.25</v>
      </c>
      <c r="B79" t="s">
        <v>31</v>
      </c>
      <c r="C79" s="2">
        <f>0.2136-0.25</f>
        <v>-3.6399999999999988E-2</v>
      </c>
      <c r="D79">
        <f t="shared" si="99"/>
        <v>0.54285714285714282</v>
      </c>
      <c r="E79">
        <v>0.22</v>
      </c>
      <c r="F79">
        <v>0.15</v>
      </c>
      <c r="G79">
        <f t="shared" si="100"/>
        <v>1.4666666666666668</v>
      </c>
      <c r="H79">
        <f>G79-0.25</f>
        <v>1.2166666666666668</v>
      </c>
      <c r="I79">
        <v>54</v>
      </c>
      <c r="J79">
        <v>38</v>
      </c>
      <c r="K79">
        <v>35.5</v>
      </c>
      <c r="L79">
        <f t="shared" si="132"/>
        <v>1.0704225352112675</v>
      </c>
      <c r="M79">
        <f t="shared" si="58"/>
        <v>172.72727272727272</v>
      </c>
      <c r="N79">
        <v>70</v>
      </c>
      <c r="O79">
        <v>-0.69</v>
      </c>
      <c r="P79">
        <f t="shared" si="101"/>
        <v>0.63095933924963243</v>
      </c>
      <c r="Q79">
        <f t="shared" si="102"/>
        <v>0.54134718055994524</v>
      </c>
      <c r="R79">
        <f t="shared" si="103"/>
        <v>1.1655354676401868</v>
      </c>
      <c r="S79">
        <v>0.01</v>
      </c>
    </row>
    <row r="80" spans="1:19" x14ac:dyDescent="0.2">
      <c r="A80">
        <v>0</v>
      </c>
      <c r="B80" t="s">
        <v>32</v>
      </c>
      <c r="C80" s="2">
        <f>0.0002335-0</f>
        <v>2.3350000000000001E-4</v>
      </c>
      <c r="D80">
        <f t="shared" si="99"/>
        <v>0.60036881604320291</v>
      </c>
      <c r="E80">
        <v>0.17826069999999999</v>
      </c>
      <c r="F80">
        <v>0.14000000000000001</v>
      </c>
      <c r="G80">
        <f t="shared" si="100"/>
        <v>1.2732907142857142</v>
      </c>
      <c r="H80">
        <f>G80-0</f>
        <v>1.2732907142857142</v>
      </c>
      <c r="I80">
        <v>30</v>
      </c>
      <c r="J80">
        <v>28.5</v>
      </c>
      <c r="K80">
        <v>34</v>
      </c>
      <c r="L80">
        <f t="shared" si="132"/>
        <v>0.83823529411764708</v>
      </c>
      <c r="M80">
        <f t="shared" si="58"/>
        <v>159.87820085975204</v>
      </c>
      <c r="N80">
        <v>47.470820000000003</v>
      </c>
      <c r="O80">
        <v>-1.208639</v>
      </c>
      <c r="P80">
        <f t="shared" si="101"/>
        <v>0.70176036313531676</v>
      </c>
      <c r="Q80">
        <f t="shared" si="102"/>
        <v>0.4776943463726453</v>
      </c>
      <c r="R80">
        <f t="shared" si="103"/>
        <v>1.4690572925221088</v>
      </c>
      <c r="S80">
        <v>7.0000000000000007E-2</v>
      </c>
    </row>
    <row r="81" spans="1:19" x14ac:dyDescent="0.2">
      <c r="A81">
        <v>0.05</v>
      </c>
      <c r="B81" t="s">
        <v>32</v>
      </c>
      <c r="C81" s="2">
        <f>0.0137-0.05</f>
        <v>-3.6299999999999999E-2</v>
      </c>
      <c r="D81">
        <f t="shared" si="99"/>
        <v>0.60036881604320291</v>
      </c>
      <c r="E81">
        <v>0.17826069999999999</v>
      </c>
      <c r="F81">
        <v>0.14000000000000001</v>
      </c>
      <c r="G81">
        <f t="shared" si="100"/>
        <v>1.2732907142857142</v>
      </c>
      <c r="H81">
        <f>G81-0.05</f>
        <v>1.2232907142857141</v>
      </c>
      <c r="I81">
        <v>30</v>
      </c>
      <c r="J81">
        <v>28.5</v>
      </c>
      <c r="K81">
        <v>34</v>
      </c>
      <c r="L81">
        <f t="shared" si="132"/>
        <v>0.83823529411764708</v>
      </c>
      <c r="M81">
        <f t="shared" si="58"/>
        <v>159.87820085975204</v>
      </c>
      <c r="N81">
        <v>47.470820000000003</v>
      </c>
      <c r="O81">
        <v>-1.208639</v>
      </c>
      <c r="P81">
        <f t="shared" si="101"/>
        <v>0.70176036313531676</v>
      </c>
      <c r="Q81">
        <f t="shared" si="102"/>
        <v>0.4776943463726453</v>
      </c>
      <c r="R81">
        <f t="shared" si="103"/>
        <v>1.4690572925221088</v>
      </c>
      <c r="S81">
        <v>7.0000000000000007E-2</v>
      </c>
    </row>
    <row r="82" spans="1:19" x14ac:dyDescent="0.2">
      <c r="A82">
        <v>0.1</v>
      </c>
      <c r="B82" t="s">
        <v>32</v>
      </c>
      <c r="C82" s="2">
        <f>0.0806-0.1</f>
        <v>-1.9400000000000001E-2</v>
      </c>
      <c r="D82">
        <f t="shared" si="99"/>
        <v>0.60036881604320291</v>
      </c>
      <c r="E82">
        <v>0.17826069999999999</v>
      </c>
      <c r="F82">
        <v>0.14000000000000001</v>
      </c>
      <c r="G82">
        <f t="shared" si="100"/>
        <v>1.2732907142857142</v>
      </c>
      <c r="H82">
        <f>G82-0.1</f>
        <v>1.1732907142857141</v>
      </c>
      <c r="I82">
        <v>30</v>
      </c>
      <c r="J82">
        <v>28.5</v>
      </c>
      <c r="K82">
        <v>34</v>
      </c>
      <c r="L82">
        <f t="shared" si="132"/>
        <v>0.83823529411764708</v>
      </c>
      <c r="M82">
        <f t="shared" si="58"/>
        <v>159.87820085975204</v>
      </c>
      <c r="N82">
        <v>47.470820000000003</v>
      </c>
      <c r="O82">
        <v>-1.208639</v>
      </c>
      <c r="P82">
        <f t="shared" si="101"/>
        <v>0.70176036313531676</v>
      </c>
      <c r="Q82">
        <f t="shared" si="102"/>
        <v>0.4776943463726453</v>
      </c>
      <c r="R82">
        <f t="shared" si="103"/>
        <v>1.4690572925221088</v>
      </c>
      <c r="S82">
        <v>7.0000000000000007E-2</v>
      </c>
    </row>
    <row r="83" spans="1:19" x14ac:dyDescent="0.2">
      <c r="A83">
        <v>0.15</v>
      </c>
      <c r="B83" t="s">
        <v>32</v>
      </c>
      <c r="C83" s="2">
        <f>0.1391-0.15</f>
        <v>-1.0899999999999993E-2</v>
      </c>
      <c r="D83">
        <f t="shared" ref="D83" si="147">J83/N83</f>
        <v>0.60036881604320291</v>
      </c>
      <c r="E83">
        <v>0.17826069999999999</v>
      </c>
      <c r="F83">
        <v>0.14000000000000001</v>
      </c>
      <c r="G83">
        <f t="shared" ref="G83" si="148">E83/F83</f>
        <v>1.2732907142857142</v>
      </c>
      <c r="H83">
        <f>G83-0.1</f>
        <v>1.1732907142857141</v>
      </c>
      <c r="I83">
        <v>30</v>
      </c>
      <c r="J83">
        <v>28.5</v>
      </c>
      <c r="K83">
        <v>34</v>
      </c>
      <c r="L83">
        <f t="shared" ref="L83" si="149">J83/K83</f>
        <v>0.83823529411764708</v>
      </c>
      <c r="M83">
        <f t="shared" ref="M83" si="150">J83/E83</f>
        <v>159.87820085975204</v>
      </c>
      <c r="N83">
        <v>47.470820000000003</v>
      </c>
      <c r="O83">
        <v>-1.208639</v>
      </c>
      <c r="P83">
        <f t="shared" ref="P83" si="151">LN((N83/(N83-J83)))+(E83*O83)</f>
        <v>0.70176036313531676</v>
      </c>
      <c r="Q83">
        <f t="shared" ref="Q83" si="152">LN(2)+(E83*O83)</f>
        <v>0.4776943463726453</v>
      </c>
      <c r="R83">
        <f t="shared" ref="R83" si="153">P83/Q83</f>
        <v>1.4690572925221088</v>
      </c>
      <c r="S83">
        <v>7.0000000000000007E-2</v>
      </c>
    </row>
    <row r="84" spans="1:19" x14ac:dyDescent="0.2">
      <c r="A84">
        <v>0.2</v>
      </c>
      <c r="B84" t="s">
        <v>32</v>
      </c>
      <c r="C84" s="2">
        <f>0.1947-0.2</f>
        <v>-5.2999999999999992E-3</v>
      </c>
      <c r="D84">
        <f t="shared" ref="D84" si="154">J84/N84</f>
        <v>0.60036881604320291</v>
      </c>
      <c r="E84">
        <v>0.17826069999999999</v>
      </c>
      <c r="F84">
        <v>0.14000000000000001</v>
      </c>
      <c r="G84">
        <f t="shared" ref="G84" si="155">E84/F84</f>
        <v>1.2732907142857142</v>
      </c>
      <c r="H84">
        <f>G84-0.1</f>
        <v>1.1732907142857141</v>
      </c>
      <c r="I84">
        <v>30</v>
      </c>
      <c r="J84">
        <v>28.5</v>
      </c>
      <c r="K84">
        <v>34</v>
      </c>
      <c r="L84">
        <f t="shared" ref="L84" si="156">J84/K84</f>
        <v>0.83823529411764708</v>
      </c>
      <c r="M84">
        <f t="shared" ref="M84" si="157">J84/E84</f>
        <v>159.87820085975204</v>
      </c>
      <c r="N84">
        <v>47.470820000000003</v>
      </c>
      <c r="O84">
        <v>-1.208639</v>
      </c>
      <c r="P84">
        <f t="shared" ref="P84" si="158">LN((N84/(N84-J84)))+(E84*O84)</f>
        <v>0.70176036313531676</v>
      </c>
      <c r="Q84">
        <f t="shared" ref="Q84" si="159">LN(2)+(E84*O84)</f>
        <v>0.4776943463726453</v>
      </c>
      <c r="R84">
        <f t="shared" ref="R84" si="160">P84/Q84</f>
        <v>1.4690572925221088</v>
      </c>
      <c r="S84">
        <v>7.0000000000000007E-2</v>
      </c>
    </row>
    <row r="85" spans="1:19" x14ac:dyDescent="0.2">
      <c r="A85">
        <v>0.25</v>
      </c>
      <c r="B85" t="s">
        <v>32</v>
      </c>
      <c r="C85" s="2">
        <f>0.2586-0.25</f>
        <v>8.5999999999999965E-3</v>
      </c>
      <c r="D85">
        <f t="shared" si="99"/>
        <v>0.60036881604320291</v>
      </c>
      <c r="E85">
        <v>0.17826069999999999</v>
      </c>
      <c r="F85">
        <v>0.14000000000000001</v>
      </c>
      <c r="G85">
        <f t="shared" si="100"/>
        <v>1.2732907142857142</v>
      </c>
      <c r="H85">
        <f>G85-0.25</f>
        <v>1.0232907142857142</v>
      </c>
      <c r="I85">
        <v>30</v>
      </c>
      <c r="J85">
        <v>28.5</v>
      </c>
      <c r="K85">
        <v>34</v>
      </c>
      <c r="L85">
        <f t="shared" si="132"/>
        <v>0.83823529411764708</v>
      </c>
      <c r="M85">
        <f t="shared" ref="M85:M97" si="161">J85/E85</f>
        <v>159.87820085975204</v>
      </c>
      <c r="N85">
        <v>47.470820000000003</v>
      </c>
      <c r="O85">
        <v>-1.208639</v>
      </c>
      <c r="P85">
        <f t="shared" si="101"/>
        <v>0.70176036313531676</v>
      </c>
      <c r="Q85">
        <f t="shared" si="102"/>
        <v>0.4776943463726453</v>
      </c>
      <c r="R85">
        <f t="shared" si="103"/>
        <v>1.4690572925221088</v>
      </c>
      <c r="S85">
        <v>7.0000000000000007E-2</v>
      </c>
    </row>
    <row r="86" spans="1:19" x14ac:dyDescent="0.2">
      <c r="A86">
        <v>0</v>
      </c>
      <c r="B86" t="s">
        <v>33</v>
      </c>
      <c r="C86" s="2">
        <v>9.7260999999999995E-4</v>
      </c>
      <c r="D86">
        <f t="shared" si="99"/>
        <v>0.63047476735729291</v>
      </c>
      <c r="E86">
        <v>0.12602559999999999</v>
      </c>
      <c r="F86">
        <v>0.25</v>
      </c>
      <c r="G86">
        <f t="shared" si="100"/>
        <v>0.50410239999999995</v>
      </c>
      <c r="H86">
        <f>G86-A86</f>
        <v>0.50410239999999995</v>
      </c>
      <c r="I86">
        <v>21</v>
      </c>
      <c r="J86">
        <v>25.4</v>
      </c>
      <c r="K86">
        <v>17.5</v>
      </c>
      <c r="L86">
        <f t="shared" si="132"/>
        <v>1.4514285714285713</v>
      </c>
      <c r="M86">
        <f t="shared" si="161"/>
        <v>201.54635248711375</v>
      </c>
      <c r="N86">
        <v>40.287100000000002</v>
      </c>
      <c r="O86">
        <v>-2.688485</v>
      </c>
      <c r="P86">
        <f t="shared" si="101"/>
        <v>0.65671831709589101</v>
      </c>
      <c r="Q86">
        <f t="shared" si="102"/>
        <v>0.35432924534394533</v>
      </c>
      <c r="R86">
        <f t="shared" si="103"/>
        <v>1.8534126824852359</v>
      </c>
      <c r="S86">
        <v>9.2999999999999999E-2</v>
      </c>
    </row>
    <row r="87" spans="1:19" x14ac:dyDescent="0.2">
      <c r="A87">
        <v>0.05</v>
      </c>
      <c r="B87" t="s">
        <v>33</v>
      </c>
      <c r="C87" s="2">
        <f>0.0039-0.05</f>
        <v>-4.6100000000000002E-2</v>
      </c>
      <c r="D87">
        <f t="shared" si="99"/>
        <v>0.63047476735729291</v>
      </c>
      <c r="E87">
        <v>0.12602559999999999</v>
      </c>
      <c r="F87">
        <v>0.25</v>
      </c>
      <c r="G87">
        <f t="shared" si="100"/>
        <v>0.50410239999999995</v>
      </c>
      <c r="H87">
        <f t="shared" ref="H87:H103" si="162">G87-A87</f>
        <v>0.45410239999999996</v>
      </c>
      <c r="I87">
        <v>21</v>
      </c>
      <c r="J87">
        <v>25.4</v>
      </c>
      <c r="K87">
        <v>17.5</v>
      </c>
      <c r="L87">
        <f t="shared" si="132"/>
        <v>1.4514285714285713</v>
      </c>
      <c r="M87">
        <f t="shared" si="161"/>
        <v>201.54635248711375</v>
      </c>
      <c r="N87">
        <v>40.287100000000002</v>
      </c>
      <c r="O87">
        <v>-2.688485</v>
      </c>
      <c r="P87">
        <f t="shared" si="101"/>
        <v>0.65671831709589101</v>
      </c>
      <c r="Q87">
        <f t="shared" si="102"/>
        <v>0.35432924534394533</v>
      </c>
      <c r="R87">
        <f t="shared" si="103"/>
        <v>1.8534126824852359</v>
      </c>
      <c r="S87">
        <v>9.2999999999999999E-2</v>
      </c>
    </row>
    <row r="88" spans="1:19" x14ac:dyDescent="0.2">
      <c r="A88">
        <v>0.1</v>
      </c>
      <c r="B88" t="s">
        <v>33</v>
      </c>
      <c r="C88" s="2">
        <f>0.0374-0.1</f>
        <v>-6.2600000000000003E-2</v>
      </c>
      <c r="D88">
        <f t="shared" si="99"/>
        <v>0.63047476735729291</v>
      </c>
      <c r="E88">
        <v>0.12602559999999999</v>
      </c>
      <c r="F88">
        <v>0.25</v>
      </c>
      <c r="G88">
        <f t="shared" si="100"/>
        <v>0.50410239999999995</v>
      </c>
      <c r="H88">
        <f t="shared" si="162"/>
        <v>0.40410239999999997</v>
      </c>
      <c r="I88">
        <v>21</v>
      </c>
      <c r="J88">
        <v>25.4</v>
      </c>
      <c r="K88">
        <v>17.5</v>
      </c>
      <c r="L88">
        <f t="shared" si="132"/>
        <v>1.4514285714285713</v>
      </c>
      <c r="M88">
        <f t="shared" si="161"/>
        <v>201.54635248711375</v>
      </c>
      <c r="N88">
        <v>40.287100000000002</v>
      </c>
      <c r="O88">
        <v>-2.688485</v>
      </c>
      <c r="P88">
        <f t="shared" si="101"/>
        <v>0.65671831709589101</v>
      </c>
      <c r="Q88">
        <f t="shared" si="102"/>
        <v>0.35432924534394533</v>
      </c>
      <c r="R88">
        <f t="shared" si="103"/>
        <v>1.8534126824852359</v>
      </c>
      <c r="S88">
        <v>9.2999999999999999E-2</v>
      </c>
    </row>
    <row r="89" spans="1:19" x14ac:dyDescent="0.2">
      <c r="A89">
        <v>0.15</v>
      </c>
      <c r="B89" t="s">
        <v>33</v>
      </c>
      <c r="C89" s="2">
        <f>0.0939-0.15</f>
        <v>-5.6099999999999997E-2</v>
      </c>
      <c r="D89">
        <f t="shared" ref="D89" si="163">J89/N89</f>
        <v>0.63047476735729291</v>
      </c>
      <c r="E89">
        <v>0.12602559999999999</v>
      </c>
      <c r="F89">
        <v>0.25</v>
      </c>
      <c r="G89">
        <f t="shared" ref="G89" si="164">E89/F89</f>
        <v>0.50410239999999995</v>
      </c>
      <c r="H89">
        <f t="shared" ref="H89" si="165">G89-A89</f>
        <v>0.35410239999999993</v>
      </c>
      <c r="I89">
        <v>21</v>
      </c>
      <c r="J89">
        <v>25.4</v>
      </c>
      <c r="K89">
        <v>17.5</v>
      </c>
      <c r="L89">
        <f t="shared" ref="L89" si="166">J89/K89</f>
        <v>1.4514285714285713</v>
      </c>
      <c r="M89">
        <f t="shared" ref="M89" si="167">J89/E89</f>
        <v>201.54635248711375</v>
      </c>
      <c r="N89">
        <v>40.287100000000002</v>
      </c>
      <c r="O89">
        <v>-2.688485</v>
      </c>
      <c r="P89">
        <f t="shared" ref="P89" si="168">LN((N89/(N89-J89)))+(E89*O89)</f>
        <v>0.65671831709589101</v>
      </c>
      <c r="Q89">
        <f t="shared" ref="Q89" si="169">LN(2)+(E89*O89)</f>
        <v>0.35432924534394533</v>
      </c>
      <c r="R89">
        <f t="shared" ref="R89" si="170">P89/Q89</f>
        <v>1.8534126824852359</v>
      </c>
      <c r="S89">
        <v>1.093</v>
      </c>
    </row>
    <row r="90" spans="1:19" x14ac:dyDescent="0.2">
      <c r="A90">
        <v>0.2</v>
      </c>
      <c r="B90" t="s">
        <v>33</v>
      </c>
      <c r="C90" s="2">
        <f>0.1373-0.2</f>
        <v>-6.2700000000000006E-2</v>
      </c>
      <c r="D90">
        <f t="shared" ref="D90" si="171">J90/N90</f>
        <v>0.63047476735729291</v>
      </c>
      <c r="E90">
        <v>0.12602559999999999</v>
      </c>
      <c r="F90">
        <v>0.25</v>
      </c>
      <c r="G90">
        <f t="shared" ref="G90" si="172">E90/F90</f>
        <v>0.50410239999999995</v>
      </c>
      <c r="H90">
        <f t="shared" ref="H90" si="173">G90-A90</f>
        <v>0.30410239999999994</v>
      </c>
      <c r="I90">
        <v>21</v>
      </c>
      <c r="J90">
        <v>25.4</v>
      </c>
      <c r="K90">
        <v>17.5</v>
      </c>
      <c r="L90">
        <f t="shared" ref="L90" si="174">J90/K90</f>
        <v>1.4514285714285713</v>
      </c>
      <c r="M90">
        <f t="shared" ref="M90" si="175">J90/E90</f>
        <v>201.54635248711375</v>
      </c>
      <c r="N90">
        <v>40.287100000000002</v>
      </c>
      <c r="O90">
        <v>-2.688485</v>
      </c>
      <c r="P90">
        <f t="shared" ref="P90" si="176">LN((N90/(N90-J90)))+(E90*O90)</f>
        <v>0.65671831709589101</v>
      </c>
      <c r="Q90">
        <f t="shared" ref="Q90" si="177">LN(2)+(E90*O90)</f>
        <v>0.35432924534394533</v>
      </c>
      <c r="R90">
        <f t="shared" ref="R90" si="178">P90/Q90</f>
        <v>1.8534126824852359</v>
      </c>
      <c r="S90">
        <v>9.2999999999999999E-2</v>
      </c>
    </row>
    <row r="91" spans="1:19" x14ac:dyDescent="0.2">
      <c r="A91">
        <v>0.25</v>
      </c>
      <c r="B91" t="s">
        <v>33</v>
      </c>
      <c r="C91" s="2">
        <f>0.1823-0.25</f>
        <v>-6.770000000000001E-2</v>
      </c>
      <c r="D91">
        <f t="shared" si="99"/>
        <v>0.63047476735729291</v>
      </c>
      <c r="E91">
        <v>0.12602559999999999</v>
      </c>
      <c r="F91">
        <v>0.25</v>
      </c>
      <c r="G91">
        <f t="shared" si="100"/>
        <v>0.50410239999999995</v>
      </c>
      <c r="H91">
        <f t="shared" si="162"/>
        <v>0.25410239999999995</v>
      </c>
      <c r="I91">
        <v>21</v>
      </c>
      <c r="J91">
        <v>25.4</v>
      </c>
      <c r="K91">
        <v>17.5</v>
      </c>
      <c r="L91">
        <f t="shared" si="132"/>
        <v>1.4514285714285713</v>
      </c>
      <c r="M91">
        <f t="shared" si="161"/>
        <v>201.54635248711375</v>
      </c>
      <c r="N91">
        <v>40.287100000000002</v>
      </c>
      <c r="O91">
        <v>-2.688485</v>
      </c>
      <c r="P91">
        <f t="shared" si="101"/>
        <v>0.65671831709589101</v>
      </c>
      <c r="Q91">
        <f t="shared" si="102"/>
        <v>0.35432924534394533</v>
      </c>
      <c r="R91">
        <f t="shared" si="103"/>
        <v>1.8534126824852359</v>
      </c>
      <c r="S91">
        <v>9.2999999999999999E-2</v>
      </c>
    </row>
    <row r="92" spans="1:19" x14ac:dyDescent="0.2">
      <c r="A92">
        <v>0</v>
      </c>
      <c r="B92" t="s">
        <v>34</v>
      </c>
      <c r="C92" s="2">
        <f>0.00010346-0</f>
        <v>1.0346E-4</v>
      </c>
      <c r="D92">
        <v>0.41</v>
      </c>
      <c r="E92">
        <v>0.1643</v>
      </c>
      <c r="F92">
        <v>0.1</v>
      </c>
      <c r="G92">
        <f t="shared" si="100"/>
        <v>1.643</v>
      </c>
      <c r="H92">
        <f t="shared" si="162"/>
        <v>1.643</v>
      </c>
      <c r="I92">
        <v>65</v>
      </c>
      <c r="J92">
        <v>22</v>
      </c>
      <c r="K92">
        <v>36</v>
      </c>
      <c r="L92">
        <f t="shared" si="132"/>
        <v>0.61111111111111116</v>
      </c>
      <c r="M92">
        <f t="shared" si="161"/>
        <v>133.90139987827146</v>
      </c>
      <c r="N92">
        <f t="shared" ref="N92:N97" si="179">(D92/J92)^(-1)</f>
        <v>53.658536585365859</v>
      </c>
      <c r="O92">
        <v>-0.1783131</v>
      </c>
      <c r="P92">
        <f t="shared" si="101"/>
        <v>0.49833589975237186</v>
      </c>
      <c r="Q92">
        <f t="shared" si="102"/>
        <v>0.66385033822994532</v>
      </c>
      <c r="R92">
        <f t="shared" si="103"/>
        <v>0.75067507095214836</v>
      </c>
      <c r="S92">
        <v>0.14000000000000001</v>
      </c>
    </row>
    <row r="93" spans="1:19" x14ac:dyDescent="0.2">
      <c r="A93">
        <v>0.05</v>
      </c>
      <c r="B93" t="s">
        <v>34</v>
      </c>
      <c r="C93" s="2">
        <f>0.0252-0.05</f>
        <v>-2.4800000000000003E-2</v>
      </c>
      <c r="D93">
        <v>0.41</v>
      </c>
      <c r="E93">
        <v>0.1643</v>
      </c>
      <c r="F93">
        <v>0.1</v>
      </c>
      <c r="G93">
        <f t="shared" si="100"/>
        <v>1.643</v>
      </c>
      <c r="H93">
        <f t="shared" si="162"/>
        <v>1.593</v>
      </c>
      <c r="I93">
        <v>65</v>
      </c>
      <c r="J93">
        <v>22</v>
      </c>
      <c r="K93">
        <v>36</v>
      </c>
      <c r="L93">
        <f t="shared" si="132"/>
        <v>0.61111111111111116</v>
      </c>
      <c r="M93">
        <f t="shared" si="161"/>
        <v>133.90139987827146</v>
      </c>
      <c r="N93">
        <f t="shared" si="179"/>
        <v>53.658536585365859</v>
      </c>
      <c r="O93">
        <v>-0.1783131</v>
      </c>
      <c r="P93">
        <f t="shared" si="101"/>
        <v>0.49833589975237186</v>
      </c>
      <c r="Q93">
        <f t="shared" si="102"/>
        <v>0.66385033822994532</v>
      </c>
      <c r="R93">
        <f t="shared" si="103"/>
        <v>0.75067507095214836</v>
      </c>
      <c r="S93">
        <v>0.14000000000000001</v>
      </c>
    </row>
    <row r="94" spans="1:19" x14ac:dyDescent="0.2">
      <c r="A94">
        <v>0.1</v>
      </c>
      <c r="B94" t="s">
        <v>34</v>
      </c>
      <c r="C94" s="2">
        <f>0.0984-A94</f>
        <v>-1.6000000000000042E-3</v>
      </c>
      <c r="D94">
        <v>0.41</v>
      </c>
      <c r="E94">
        <v>0.1643</v>
      </c>
      <c r="F94">
        <v>0.1</v>
      </c>
      <c r="G94">
        <f t="shared" si="100"/>
        <v>1.643</v>
      </c>
      <c r="H94">
        <f t="shared" si="162"/>
        <v>1.5429999999999999</v>
      </c>
      <c r="I94">
        <v>65</v>
      </c>
      <c r="J94">
        <v>22</v>
      </c>
      <c r="K94">
        <v>36</v>
      </c>
      <c r="L94">
        <f t="shared" si="132"/>
        <v>0.61111111111111116</v>
      </c>
      <c r="M94">
        <f t="shared" si="161"/>
        <v>133.90139987827146</v>
      </c>
      <c r="N94">
        <f t="shared" si="179"/>
        <v>53.658536585365859</v>
      </c>
      <c r="O94">
        <v>-0.1783131</v>
      </c>
      <c r="P94">
        <f t="shared" si="101"/>
        <v>0.49833589975237186</v>
      </c>
      <c r="Q94">
        <f t="shared" si="102"/>
        <v>0.66385033822994532</v>
      </c>
      <c r="R94">
        <f t="shared" si="103"/>
        <v>0.75067507095214836</v>
      </c>
      <c r="S94">
        <v>0.14000000000000001</v>
      </c>
    </row>
    <row r="95" spans="1:19" x14ac:dyDescent="0.2">
      <c r="A95">
        <v>0.15</v>
      </c>
      <c r="B95" t="s">
        <v>34</v>
      </c>
      <c r="C95" s="2">
        <f>0.1483-0.15</f>
        <v>-1.7000000000000071E-3</v>
      </c>
      <c r="D95">
        <v>0.41</v>
      </c>
      <c r="E95">
        <v>0.1643</v>
      </c>
      <c r="F95">
        <v>0.1</v>
      </c>
      <c r="G95">
        <f t="shared" ref="G95" si="180">E95/F95</f>
        <v>1.643</v>
      </c>
      <c r="H95">
        <f t="shared" ref="H95" si="181">G95-A95</f>
        <v>1.4930000000000001</v>
      </c>
      <c r="I95">
        <v>65</v>
      </c>
      <c r="J95">
        <v>22</v>
      </c>
      <c r="K95">
        <v>36</v>
      </c>
      <c r="L95">
        <f t="shared" ref="L95" si="182">J95/K95</f>
        <v>0.61111111111111116</v>
      </c>
      <c r="M95">
        <f t="shared" ref="M95" si="183">J95/E95</f>
        <v>133.90139987827146</v>
      </c>
      <c r="N95">
        <f t="shared" ref="N95" si="184">(D95/J95)^(-1)</f>
        <v>53.658536585365859</v>
      </c>
      <c r="O95">
        <v>-0.1783131</v>
      </c>
      <c r="P95">
        <f t="shared" ref="P95" si="185">LN((N95/(N95-J95)))+(E95*O95)</f>
        <v>0.49833589975237186</v>
      </c>
      <c r="Q95">
        <f t="shared" ref="Q95" si="186">LN(2)+(E95*O95)</f>
        <v>0.66385033822994532</v>
      </c>
      <c r="R95">
        <f t="shared" ref="R95" si="187">P95/Q95</f>
        <v>0.75067507095214836</v>
      </c>
      <c r="S95">
        <v>0.14000000000000001</v>
      </c>
    </row>
    <row r="96" spans="1:19" x14ac:dyDescent="0.2">
      <c r="A96">
        <v>0.2</v>
      </c>
      <c r="B96" t="s">
        <v>34</v>
      </c>
      <c r="C96" s="2">
        <f>0.1939-0.2</f>
        <v>-6.1000000000000221E-3</v>
      </c>
      <c r="D96">
        <v>0.41</v>
      </c>
      <c r="E96">
        <v>0.1643</v>
      </c>
      <c r="F96">
        <v>0.1</v>
      </c>
      <c r="G96">
        <f t="shared" ref="G96" si="188">E96/F96</f>
        <v>1.643</v>
      </c>
      <c r="H96">
        <f t="shared" ref="H96" si="189">G96-A96</f>
        <v>1.4430000000000001</v>
      </c>
      <c r="I96">
        <v>65</v>
      </c>
      <c r="J96">
        <v>22</v>
      </c>
      <c r="K96">
        <v>36</v>
      </c>
      <c r="L96">
        <f t="shared" ref="L96" si="190">J96/K96</f>
        <v>0.61111111111111116</v>
      </c>
      <c r="M96">
        <f t="shared" ref="M96" si="191">J96/E96</f>
        <v>133.90139987827146</v>
      </c>
      <c r="N96">
        <f t="shared" ref="N96" si="192">(D96/J96)^(-1)</f>
        <v>53.658536585365859</v>
      </c>
      <c r="O96">
        <v>-0.1783131</v>
      </c>
      <c r="P96">
        <f t="shared" ref="P96" si="193">LN((N96/(N96-J96)))+(E96*O96)</f>
        <v>0.49833589975237186</v>
      </c>
      <c r="Q96">
        <f t="shared" ref="Q96" si="194">LN(2)+(E96*O96)</f>
        <v>0.66385033822994532</v>
      </c>
      <c r="R96">
        <f t="shared" ref="R96" si="195">P96/Q96</f>
        <v>0.75067507095214836</v>
      </c>
      <c r="S96">
        <v>0.14000000000000001</v>
      </c>
    </row>
    <row r="97" spans="1:19" x14ac:dyDescent="0.2">
      <c r="A97">
        <v>0.25</v>
      </c>
      <c r="B97" t="s">
        <v>34</v>
      </c>
      <c r="C97" s="2">
        <f>0.2425-0.25</f>
        <v>-7.5000000000000067E-3</v>
      </c>
      <c r="D97">
        <v>0.41</v>
      </c>
      <c r="E97">
        <v>0.1643</v>
      </c>
      <c r="F97">
        <v>0.1</v>
      </c>
      <c r="G97">
        <f t="shared" si="100"/>
        <v>1.643</v>
      </c>
      <c r="H97">
        <f t="shared" si="162"/>
        <v>1.393</v>
      </c>
      <c r="I97">
        <v>65</v>
      </c>
      <c r="J97">
        <v>22</v>
      </c>
      <c r="K97">
        <v>36</v>
      </c>
      <c r="L97">
        <f t="shared" si="132"/>
        <v>0.61111111111111116</v>
      </c>
      <c r="M97">
        <f t="shared" si="161"/>
        <v>133.90139987827146</v>
      </c>
      <c r="N97">
        <f t="shared" si="179"/>
        <v>53.658536585365859</v>
      </c>
      <c r="O97">
        <v>-0.1783131</v>
      </c>
      <c r="P97">
        <f t="shared" si="101"/>
        <v>0.49833589975237186</v>
      </c>
      <c r="Q97">
        <f t="shared" si="102"/>
        <v>0.66385033822994532</v>
      </c>
      <c r="R97">
        <f t="shared" si="103"/>
        <v>0.75067507095214836</v>
      </c>
      <c r="S97">
        <v>0.14000000000000001</v>
      </c>
    </row>
    <row r="98" spans="1:19" x14ac:dyDescent="0.2">
      <c r="A98">
        <v>0</v>
      </c>
      <c r="B98" t="s">
        <v>35</v>
      </c>
      <c r="C98" s="2">
        <v>1.7600999999999999E-4</v>
      </c>
      <c r="D98" s="1">
        <v>0.75423728810000001</v>
      </c>
      <c r="E98" s="1">
        <v>0.22</v>
      </c>
      <c r="F98" s="1">
        <v>0.08</v>
      </c>
      <c r="G98">
        <f>E98/F98</f>
        <v>2.75</v>
      </c>
      <c r="H98">
        <f t="shared" si="162"/>
        <v>2.75</v>
      </c>
      <c r="I98" s="1">
        <v>30</v>
      </c>
      <c r="J98" s="1">
        <v>8.9</v>
      </c>
      <c r="K98" s="1">
        <v>6</v>
      </c>
      <c r="L98">
        <f>J98/K98</f>
        <v>1.4833333333333334</v>
      </c>
      <c r="M98">
        <f>J98/E98</f>
        <v>40.454545454545453</v>
      </c>
      <c r="N98" s="1">
        <v>11.8</v>
      </c>
      <c r="O98" s="1">
        <v>0</v>
      </c>
      <c r="P98">
        <f t="shared" si="101"/>
        <v>1.4033887944791907</v>
      </c>
      <c r="Q98">
        <f t="shared" si="102"/>
        <v>0.69314718055994529</v>
      </c>
      <c r="R98">
        <f t="shared" si="103"/>
        <v>2.0246620542342693</v>
      </c>
      <c r="S98">
        <v>0.36</v>
      </c>
    </row>
    <row r="99" spans="1:19" x14ac:dyDescent="0.2">
      <c r="A99">
        <v>0.05</v>
      </c>
      <c r="B99" t="s">
        <v>35</v>
      </c>
      <c r="C99" s="2">
        <v>-1.8300000000000004E-2</v>
      </c>
      <c r="D99" s="1">
        <v>0.75423728810000001</v>
      </c>
      <c r="E99" s="1">
        <v>0.22</v>
      </c>
      <c r="F99" s="1">
        <v>0.08</v>
      </c>
      <c r="G99">
        <f t="shared" ref="G99:G103" si="196">E99/F99</f>
        <v>2.75</v>
      </c>
      <c r="H99">
        <f t="shared" si="162"/>
        <v>2.7</v>
      </c>
      <c r="I99" s="1">
        <v>30</v>
      </c>
      <c r="J99" s="1">
        <v>8.9</v>
      </c>
      <c r="K99" s="1">
        <v>6</v>
      </c>
      <c r="L99">
        <f t="shared" ref="L99:L103" si="197">J99/K99</f>
        <v>1.4833333333333334</v>
      </c>
      <c r="M99">
        <f t="shared" ref="M99:M103" si="198">J99/E99</f>
        <v>40.454545454545453</v>
      </c>
      <c r="N99" s="1">
        <v>11.8</v>
      </c>
      <c r="O99" s="1">
        <v>0</v>
      </c>
      <c r="P99">
        <f t="shared" si="101"/>
        <v>1.4033887944791907</v>
      </c>
      <c r="Q99">
        <f t="shared" si="102"/>
        <v>0.69314718055994529</v>
      </c>
      <c r="R99">
        <f t="shared" si="103"/>
        <v>2.0246620542342693</v>
      </c>
      <c r="S99">
        <v>0.36</v>
      </c>
    </row>
    <row r="100" spans="1:19" x14ac:dyDescent="0.2">
      <c r="A100">
        <v>0.1</v>
      </c>
      <c r="B100" t="s">
        <v>35</v>
      </c>
      <c r="C100" s="2">
        <v>-8.9000000000000051E-3</v>
      </c>
      <c r="D100" s="1">
        <v>0.75423728810000001</v>
      </c>
      <c r="E100" s="1">
        <v>0.22</v>
      </c>
      <c r="F100" s="1">
        <v>0.08</v>
      </c>
      <c r="G100">
        <f t="shared" si="196"/>
        <v>2.75</v>
      </c>
      <c r="H100">
        <f t="shared" si="162"/>
        <v>2.65</v>
      </c>
      <c r="I100" s="1">
        <v>30</v>
      </c>
      <c r="J100" s="1">
        <v>8.9</v>
      </c>
      <c r="K100" s="1">
        <v>6</v>
      </c>
      <c r="L100">
        <f t="shared" si="197"/>
        <v>1.4833333333333334</v>
      </c>
      <c r="M100">
        <f t="shared" si="198"/>
        <v>40.454545454545453</v>
      </c>
      <c r="N100" s="1">
        <v>11.8</v>
      </c>
      <c r="O100" s="1">
        <v>0</v>
      </c>
      <c r="P100">
        <f t="shared" si="101"/>
        <v>1.4033887944791907</v>
      </c>
      <c r="Q100">
        <f t="shared" si="102"/>
        <v>0.69314718055994529</v>
      </c>
      <c r="R100">
        <f t="shared" si="103"/>
        <v>2.0246620542342693</v>
      </c>
      <c r="S100">
        <v>0.36</v>
      </c>
    </row>
    <row r="101" spans="1:19" x14ac:dyDescent="0.2">
      <c r="A101">
        <v>0.15</v>
      </c>
      <c r="B101" t="s">
        <v>35</v>
      </c>
      <c r="C101" s="2">
        <f>0.1266-0.15</f>
        <v>-2.3400000000000004E-2</v>
      </c>
      <c r="D101" s="1">
        <v>0.75423728810000001</v>
      </c>
      <c r="E101" s="1">
        <v>0.22</v>
      </c>
      <c r="F101" s="1">
        <v>0.08</v>
      </c>
      <c r="G101">
        <f t="shared" ref="G101:G102" si="199">E101/F101</f>
        <v>2.75</v>
      </c>
      <c r="H101">
        <f t="shared" si="162"/>
        <v>2.6</v>
      </c>
      <c r="I101" s="1">
        <v>30</v>
      </c>
      <c r="J101" s="1">
        <v>8.9</v>
      </c>
      <c r="K101" s="1">
        <v>6</v>
      </c>
      <c r="L101">
        <f t="shared" ref="L101:L102" si="200">J101/K101</f>
        <v>1.4833333333333334</v>
      </c>
      <c r="M101">
        <f t="shared" ref="M101:M102" si="201">J101/E101</f>
        <v>40.454545454545453</v>
      </c>
      <c r="N101" s="1">
        <v>11.8</v>
      </c>
      <c r="O101" s="1">
        <v>0</v>
      </c>
      <c r="P101">
        <f t="shared" ref="P101:P102" si="202">LN((N101/(N101-J101)))+(E101*O101)</f>
        <v>1.4033887944791907</v>
      </c>
      <c r="Q101">
        <f t="shared" ref="Q101:Q102" si="203">LN(2)+(E101*O101)</f>
        <v>0.69314718055994529</v>
      </c>
      <c r="R101">
        <f t="shared" ref="R101:R102" si="204">P101/Q101</f>
        <v>2.0246620542342693</v>
      </c>
      <c r="S101">
        <v>0.36</v>
      </c>
    </row>
    <row r="102" spans="1:19" x14ac:dyDescent="0.2">
      <c r="A102">
        <v>0.2</v>
      </c>
      <c r="B102" t="s">
        <v>35</v>
      </c>
      <c r="C102" s="2">
        <f>0.1714-0.2</f>
        <v>-2.8600000000000014E-2</v>
      </c>
      <c r="D102" s="1">
        <v>0.75423728810000001</v>
      </c>
      <c r="E102" s="1">
        <v>0.22</v>
      </c>
      <c r="F102" s="1">
        <v>0.08</v>
      </c>
      <c r="G102">
        <f t="shared" si="199"/>
        <v>2.75</v>
      </c>
      <c r="H102">
        <f t="shared" si="162"/>
        <v>2.5499999999999998</v>
      </c>
      <c r="I102" s="1">
        <v>30</v>
      </c>
      <c r="J102" s="1">
        <v>8.9</v>
      </c>
      <c r="K102" s="1">
        <v>6</v>
      </c>
      <c r="L102">
        <f t="shared" si="200"/>
        <v>1.4833333333333334</v>
      </c>
      <c r="M102">
        <f t="shared" si="201"/>
        <v>40.454545454545453</v>
      </c>
      <c r="N102" s="1">
        <v>11.8</v>
      </c>
      <c r="O102" s="1">
        <v>0</v>
      </c>
      <c r="P102">
        <f t="shared" si="202"/>
        <v>1.4033887944791907</v>
      </c>
      <c r="Q102">
        <f t="shared" si="203"/>
        <v>0.69314718055994529</v>
      </c>
      <c r="R102">
        <f t="shared" si="204"/>
        <v>2.0246620542342693</v>
      </c>
      <c r="S102">
        <v>0.36</v>
      </c>
    </row>
    <row r="103" spans="1:19" x14ac:dyDescent="0.2">
      <c r="A103">
        <v>0.25</v>
      </c>
      <c r="B103" t="s">
        <v>35</v>
      </c>
      <c r="C103" s="2">
        <v>-3.9300000000000002E-2</v>
      </c>
      <c r="D103" s="1">
        <v>0.75423728810000001</v>
      </c>
      <c r="E103" s="1">
        <v>0.22</v>
      </c>
      <c r="F103" s="1">
        <v>0.08</v>
      </c>
      <c r="G103">
        <f t="shared" si="196"/>
        <v>2.75</v>
      </c>
      <c r="H103">
        <f t="shared" si="162"/>
        <v>2.5</v>
      </c>
      <c r="I103" s="1">
        <v>30</v>
      </c>
      <c r="J103" s="1">
        <v>8.9</v>
      </c>
      <c r="K103" s="1">
        <v>6</v>
      </c>
      <c r="L103">
        <f t="shared" si="197"/>
        <v>1.4833333333333334</v>
      </c>
      <c r="M103">
        <f t="shared" si="198"/>
        <v>40.454545454545453</v>
      </c>
      <c r="N103" s="1">
        <v>11.8</v>
      </c>
      <c r="O103" s="1">
        <v>0</v>
      </c>
      <c r="P103">
        <f t="shared" si="101"/>
        <v>1.4033887944791907</v>
      </c>
      <c r="Q103">
        <f t="shared" si="102"/>
        <v>0.69314718055994529</v>
      </c>
      <c r="R103">
        <f t="shared" si="103"/>
        <v>2.0246620542342693</v>
      </c>
      <c r="S103">
        <v>0.36</v>
      </c>
    </row>
    <row r="104" spans="1:19" x14ac:dyDescent="0.2">
      <c r="C104"/>
    </row>
    <row r="105" spans="1:19" x14ac:dyDescent="0.2">
      <c r="C105"/>
    </row>
    <row r="106" spans="1:19" x14ac:dyDescent="0.2">
      <c r="C106"/>
    </row>
    <row r="107" spans="1:19" x14ac:dyDescent="0.2">
      <c r="C10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Fest_noabs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2017-08-29T03:38:21Z</dcterms:created>
  <dcterms:modified xsi:type="dcterms:W3CDTF">2018-09-01T16:22:24Z</dcterms:modified>
</cp:coreProperties>
</file>