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klei\OneDrive - Convergix Automation\Documents\FinancialModeling_Project\"/>
    </mc:Choice>
  </mc:AlternateContent>
  <xr:revisionPtr revIDLastSave="0" documentId="8_{DF7AA517-4BF7-4FEB-B9ED-A81190C0BB02}" xr6:coauthVersionLast="47" xr6:coauthVersionMax="47" xr10:uidLastSave="{00000000-0000-0000-0000-000000000000}"/>
  <bookViews>
    <workbookView xWindow="-110" yWindow="-110" windowWidth="24220" windowHeight="15500" activeTab="7" xr2:uid="{7EA72883-4CBB-488F-A3B5-E15BDA29EF65}"/>
  </bookViews>
  <sheets>
    <sheet name="AAPL-3-Statements" sheetId="3" r:id="rId1"/>
    <sheet name="ValSum" sheetId="4" r:id="rId2"/>
    <sheet name="Valuation Graph" sheetId="11" r:id="rId3"/>
    <sheet name="Public Comps" sheetId="12" r:id="rId4"/>
    <sheet name="M&amp;A-Comps" sheetId="13" r:id="rId5"/>
    <sheet name="DCF" sheetId="14" r:id="rId6"/>
    <sheet name="WACC" sheetId="15" r:id="rId7"/>
    <sheet name="Merger-Model" sheetId="16" r:id="rId8"/>
    <sheet name="Merger-Shares-BS" sheetId="17" r:id="rId9"/>
    <sheet name="LBO" sheetId="18" r:id="rId10"/>
  </sheets>
  <definedNames>
    <definedName name="Company_Name">'AAPL-3-Statements'!$E$8</definedName>
    <definedName name="Date">'AAPL-3-Statements'!$E$7</definedName>
    <definedName name="Days_In_Year">'AAPL-3-Statements'!$M$7</definedName>
    <definedName name="Debt_Amount">'AAPL-3-Statements'!$M$8</definedName>
    <definedName name="Debt_Date">'AAPL-3-Statements'!$I$8</definedName>
    <definedName name="Diluted_Shares">'AAPL-3-Statements'!$E$13</definedName>
    <definedName name="Enterprise_Value">'AAPL-3-Statements'!$E$20</definedName>
    <definedName name="Equity_Value">'AAPL-3-Statements'!$E$14</definedName>
    <definedName name="Hist_Year">'AAPL-3-Statements'!$I$7</definedName>
    <definedName name="LIBOR_Units">#REF!</definedName>
    <definedName name="Purchase_Price">'Merger-Model'!$F$7</definedName>
    <definedName name="Seller_Name">'Merger-Shares-BS'!$E$7</definedName>
    <definedName name="Seller_Share_Price">'Merger-Shares-BS'!$E$8</definedName>
    <definedName name="Share_Price">'AAPL-3-Statements'!$E$9</definedName>
    <definedName name="Tax_Rate">'AAPL-3-Statements'!$M$9</definedName>
    <definedName name="Units">'AAPL-3-Statements'!$I$9</definedName>
  </definedNames>
  <calcPr calcId="191029" calcMode="autoNoTable" iterate="1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5" l="1"/>
  <c r="E8" i="12"/>
  <c r="E13" i="15"/>
  <c r="G13" i="15"/>
  <c r="D14" i="15"/>
  <c r="E9" i="12"/>
  <c r="E14" i="15"/>
  <c r="G14" i="15"/>
  <c r="D15" i="15"/>
  <c r="E10" i="12"/>
  <c r="E15" i="15"/>
  <c r="G15" i="15"/>
  <c r="D16" i="15"/>
  <c r="E11" i="12"/>
  <c r="E16" i="15"/>
  <c r="G16" i="15"/>
  <c r="D17" i="15"/>
  <c r="E12" i="12"/>
  <c r="E17" i="15"/>
  <c r="G17" i="15"/>
  <c r="G19" i="15"/>
  <c r="C27" i="15"/>
  <c r="F27" i="15"/>
  <c r="J15" i="3"/>
  <c r="J20" i="3"/>
  <c r="E13" i="3"/>
  <c r="E14" i="3"/>
  <c r="E27" i="15"/>
  <c r="G27" i="15"/>
  <c r="G29" i="15"/>
  <c r="E8" i="15"/>
  <c r="G34" i="15"/>
  <c r="O9" i="14"/>
  <c r="E9" i="17"/>
  <c r="O19" i="17"/>
  <c r="O21" i="17"/>
  <c r="J12" i="17"/>
  <c r="J14" i="17"/>
  <c r="J15" i="17"/>
  <c r="L7" i="16"/>
  <c r="F19" i="16"/>
  <c r="J62" i="17"/>
  <c r="F20" i="16"/>
  <c r="F21" i="16"/>
  <c r="F22" i="16"/>
  <c r="L24" i="16"/>
  <c r="L26" i="16"/>
  <c r="L20" i="16"/>
  <c r="L29" i="16"/>
  <c r="G175" i="3"/>
  <c r="G161" i="3"/>
  <c r="G165" i="3"/>
  <c r="G166" i="3"/>
  <c r="G67" i="3"/>
  <c r="G68" i="3"/>
  <c r="G70" i="3"/>
  <c r="G71" i="3"/>
  <c r="G72" i="3"/>
  <c r="G78" i="3"/>
  <c r="G82" i="3"/>
  <c r="G85" i="3"/>
  <c r="G143" i="3"/>
  <c r="G144" i="3"/>
  <c r="G145" i="3"/>
  <c r="G146" i="3"/>
  <c r="G157" i="3"/>
  <c r="G177" i="3"/>
  <c r="G178" i="3"/>
  <c r="G99" i="3"/>
  <c r="H175" i="3"/>
  <c r="H161" i="3"/>
  <c r="H166" i="3"/>
  <c r="H150" i="3"/>
  <c r="H151" i="3"/>
  <c r="H152" i="3"/>
  <c r="H153" i="3"/>
  <c r="H154" i="3"/>
  <c r="H155" i="3"/>
  <c r="H156" i="3"/>
  <c r="H67" i="3"/>
  <c r="H68" i="3"/>
  <c r="H70" i="3"/>
  <c r="H71" i="3"/>
  <c r="H72" i="3"/>
  <c r="H78" i="3"/>
  <c r="H82" i="3"/>
  <c r="H85" i="3"/>
  <c r="H143" i="3"/>
  <c r="H144" i="3"/>
  <c r="H145" i="3"/>
  <c r="H146" i="3"/>
  <c r="H157" i="3"/>
  <c r="H177" i="3"/>
  <c r="H178" i="3"/>
  <c r="H99" i="3"/>
  <c r="H61" i="3"/>
  <c r="I61" i="3"/>
  <c r="H40" i="3"/>
  <c r="I40" i="3"/>
  <c r="H41" i="3"/>
  <c r="I41" i="3"/>
  <c r="H42" i="3"/>
  <c r="I42" i="3"/>
  <c r="H45" i="3"/>
  <c r="I45" i="3"/>
  <c r="H44" i="3"/>
  <c r="I44" i="3"/>
  <c r="I48" i="3"/>
  <c r="H50" i="3"/>
  <c r="H51" i="3"/>
  <c r="I51" i="3"/>
  <c r="I50" i="3"/>
  <c r="H52" i="3"/>
  <c r="I52" i="3"/>
  <c r="H55" i="3"/>
  <c r="H56" i="3"/>
  <c r="I56" i="3"/>
  <c r="I55" i="3"/>
  <c r="H58" i="3"/>
  <c r="I58" i="3"/>
  <c r="H59" i="3"/>
  <c r="I59" i="3"/>
  <c r="H57" i="3"/>
  <c r="I57" i="3"/>
  <c r="J61" i="3"/>
  <c r="J40" i="3"/>
  <c r="J41" i="3"/>
  <c r="J42" i="3"/>
  <c r="J45" i="3"/>
  <c r="J44" i="3"/>
  <c r="J48" i="3"/>
  <c r="J51" i="3"/>
  <c r="J50" i="3"/>
  <c r="J52" i="3"/>
  <c r="J56" i="3"/>
  <c r="J55" i="3"/>
  <c r="J58" i="3"/>
  <c r="J59" i="3"/>
  <c r="J57" i="3"/>
  <c r="K61" i="3"/>
  <c r="K40" i="3"/>
  <c r="K41" i="3"/>
  <c r="K42" i="3"/>
  <c r="K45" i="3"/>
  <c r="K44" i="3"/>
  <c r="K48" i="3"/>
  <c r="K51" i="3"/>
  <c r="K50" i="3"/>
  <c r="K52" i="3"/>
  <c r="K56" i="3"/>
  <c r="K55" i="3"/>
  <c r="K58" i="3"/>
  <c r="K59" i="3"/>
  <c r="K57" i="3"/>
  <c r="L61" i="3"/>
  <c r="L40" i="3"/>
  <c r="L41" i="3"/>
  <c r="L42" i="3"/>
  <c r="L45" i="3"/>
  <c r="L44" i="3"/>
  <c r="L48" i="3"/>
  <c r="L51" i="3"/>
  <c r="L50" i="3"/>
  <c r="L52" i="3"/>
  <c r="L56" i="3"/>
  <c r="L55" i="3"/>
  <c r="L58" i="3"/>
  <c r="L59" i="3"/>
  <c r="L57" i="3"/>
  <c r="M61" i="3"/>
  <c r="M40" i="3"/>
  <c r="M41" i="3"/>
  <c r="M42" i="3"/>
  <c r="M45" i="3"/>
  <c r="M44" i="3"/>
  <c r="M48" i="3"/>
  <c r="M51" i="3"/>
  <c r="M50" i="3"/>
  <c r="M52" i="3"/>
  <c r="M56" i="3"/>
  <c r="M55" i="3"/>
  <c r="M58" i="3"/>
  <c r="M59" i="3"/>
  <c r="M57" i="3"/>
  <c r="E16" i="3"/>
  <c r="H100" i="3"/>
  <c r="H108" i="3"/>
  <c r="E15" i="3"/>
  <c r="H133" i="3"/>
  <c r="H132" i="3"/>
  <c r="H131" i="3"/>
  <c r="H130" i="3"/>
  <c r="H129" i="3"/>
  <c r="H111" i="3"/>
  <c r="H110" i="3"/>
  <c r="H109" i="3"/>
  <c r="H103" i="3"/>
  <c r="F71" i="3"/>
  <c r="F70" i="3"/>
  <c r="F67" i="3"/>
  <c r="G61" i="3"/>
  <c r="F61" i="3"/>
  <c r="G59" i="3"/>
  <c r="G58" i="3"/>
  <c r="G57" i="3"/>
  <c r="G52" i="3"/>
  <c r="H48" i="3"/>
  <c r="G48" i="3"/>
  <c r="F68" i="3"/>
  <c r="F72" i="3"/>
  <c r="F78" i="3"/>
  <c r="F82" i="3"/>
  <c r="F48" i="3"/>
  <c r="G45" i="3"/>
  <c r="F45" i="3"/>
  <c r="G44" i="3"/>
  <c r="F44" i="3"/>
  <c r="G42" i="3"/>
  <c r="F42" i="3"/>
  <c r="G41" i="3"/>
  <c r="F41" i="3"/>
  <c r="G40" i="3"/>
  <c r="F40" i="3"/>
  <c r="H39" i="3"/>
  <c r="G39" i="3"/>
  <c r="F39" i="3"/>
  <c r="B3" i="18"/>
  <c r="B3" i="17"/>
  <c r="F158" i="18"/>
  <c r="G158" i="18"/>
  <c r="H158" i="18"/>
  <c r="I158" i="18"/>
  <c r="J158" i="18"/>
  <c r="K158" i="18"/>
  <c r="L158" i="18"/>
  <c r="M158" i="18"/>
  <c r="D168" i="18"/>
  <c r="D152" i="18"/>
  <c r="D167" i="18"/>
  <c r="D151" i="18"/>
  <c r="D166" i="18"/>
  <c r="D150" i="18"/>
  <c r="D165" i="18"/>
  <c r="D149" i="18"/>
  <c r="D164" i="18"/>
  <c r="D148" i="18"/>
  <c r="D163" i="18"/>
  <c r="D147" i="18"/>
  <c r="D162" i="18"/>
  <c r="D146" i="18"/>
  <c r="D161" i="18"/>
  <c r="D145" i="18"/>
  <c r="D160" i="18"/>
  <c r="D144" i="18"/>
  <c r="D159" i="18"/>
  <c r="F143" i="18"/>
  <c r="G143" i="18"/>
  <c r="H143" i="18"/>
  <c r="I143" i="18"/>
  <c r="J143" i="18"/>
  <c r="K143" i="18"/>
  <c r="L143" i="18"/>
  <c r="M143" i="18"/>
  <c r="M134" i="18"/>
  <c r="J122" i="18"/>
  <c r="K122" i="18"/>
  <c r="L122" i="18"/>
  <c r="M122" i="18"/>
  <c r="M103" i="18"/>
  <c r="L103" i="18"/>
  <c r="K103" i="18"/>
  <c r="J103" i="18"/>
  <c r="I103" i="18"/>
  <c r="F44" i="18"/>
  <c r="I101" i="18"/>
  <c r="I108" i="18"/>
  <c r="H82" i="18"/>
  <c r="G82" i="18"/>
  <c r="H80" i="18"/>
  <c r="G80" i="18"/>
  <c r="H77" i="18"/>
  <c r="G77" i="18"/>
  <c r="H76" i="18"/>
  <c r="G76" i="18"/>
  <c r="H75" i="18"/>
  <c r="G75" i="18"/>
  <c r="H72" i="18"/>
  <c r="G72" i="18"/>
  <c r="H71" i="18"/>
  <c r="H73" i="18"/>
  <c r="G71" i="18"/>
  <c r="G73" i="18"/>
  <c r="H68" i="18"/>
  <c r="G68" i="18"/>
  <c r="H67" i="18"/>
  <c r="H69" i="18"/>
  <c r="H79" i="18"/>
  <c r="G67" i="18"/>
  <c r="G69" i="18"/>
  <c r="G79" i="18"/>
  <c r="F82" i="18"/>
  <c r="F80" i="18"/>
  <c r="F77" i="18"/>
  <c r="F76" i="18"/>
  <c r="F75" i="18"/>
  <c r="F72" i="18"/>
  <c r="F71" i="18"/>
  <c r="F73" i="18"/>
  <c r="F68" i="18"/>
  <c r="F67" i="18"/>
  <c r="F69" i="18"/>
  <c r="F79" i="18"/>
  <c r="M62" i="18"/>
  <c r="L62" i="18"/>
  <c r="K62" i="18"/>
  <c r="J62" i="18"/>
  <c r="I62" i="18"/>
  <c r="M57" i="18"/>
  <c r="L57" i="18"/>
  <c r="K57" i="18"/>
  <c r="J57" i="18"/>
  <c r="I57" i="18"/>
  <c r="M56" i="18"/>
  <c r="L56" i="18"/>
  <c r="K56" i="18"/>
  <c r="J56" i="18"/>
  <c r="I56" i="18"/>
  <c r="M55" i="18"/>
  <c r="L55" i="18"/>
  <c r="K55" i="18"/>
  <c r="J55" i="18"/>
  <c r="I55" i="18"/>
  <c r="M53" i="18"/>
  <c r="L53" i="18"/>
  <c r="K53" i="18"/>
  <c r="J53" i="18"/>
  <c r="I53" i="18"/>
  <c r="M52" i="18"/>
  <c r="L52" i="18"/>
  <c r="K52" i="18"/>
  <c r="J52" i="18"/>
  <c r="I52" i="18"/>
  <c r="M51" i="18"/>
  <c r="L51" i="18"/>
  <c r="K51" i="18"/>
  <c r="J51" i="18"/>
  <c r="I51" i="18"/>
  <c r="M50" i="18"/>
  <c r="L50" i="18"/>
  <c r="K50" i="18"/>
  <c r="J50" i="18"/>
  <c r="I50" i="18"/>
  <c r="I67" i="18"/>
  <c r="H62" i="18"/>
  <c r="G62" i="18"/>
  <c r="H61" i="18"/>
  <c r="G61" i="18"/>
  <c r="H58" i="18"/>
  <c r="G58" i="18"/>
  <c r="H57" i="18"/>
  <c r="G57" i="18"/>
  <c r="H56" i="18"/>
  <c r="G56" i="18"/>
  <c r="H55" i="18"/>
  <c r="G55" i="18"/>
  <c r="H53" i="18"/>
  <c r="G53" i="18"/>
  <c r="H52" i="18"/>
  <c r="G52" i="18"/>
  <c r="H51" i="18"/>
  <c r="G51" i="18"/>
  <c r="H50" i="18"/>
  <c r="G50" i="18"/>
  <c r="F61" i="18"/>
  <c r="M60" i="18"/>
  <c r="M76" i="18"/>
  <c r="M92" i="18"/>
  <c r="L60" i="18"/>
  <c r="L76" i="18"/>
  <c r="L92" i="18"/>
  <c r="K60" i="18"/>
  <c r="K76" i="18"/>
  <c r="K92" i="18"/>
  <c r="J60" i="18"/>
  <c r="J76" i="18"/>
  <c r="J92" i="18"/>
  <c r="I60" i="18"/>
  <c r="I76" i="18"/>
  <c r="I92" i="18"/>
  <c r="F62" i="18"/>
  <c r="F58" i="18"/>
  <c r="F57" i="18"/>
  <c r="F56" i="18"/>
  <c r="F55" i="18"/>
  <c r="F53" i="18"/>
  <c r="F52" i="18"/>
  <c r="F51" i="18"/>
  <c r="F50" i="18"/>
  <c r="I47" i="18"/>
  <c r="F47" i="18"/>
  <c r="F29" i="18"/>
  <c r="F27" i="18"/>
  <c r="F11" i="18"/>
  <c r="F22" i="18"/>
  <c r="F21" i="18"/>
  <c r="F20" i="18"/>
  <c r="F19" i="18"/>
  <c r="F18" i="18"/>
  <c r="F14" i="18"/>
  <c r="F7" i="18"/>
  <c r="C152" i="18"/>
  <c r="C167" i="18"/>
  <c r="J21" i="18"/>
  <c r="I21" i="18"/>
  <c r="B2" i="18"/>
  <c r="F8" i="16"/>
  <c r="F9" i="16"/>
  <c r="F10" i="16"/>
  <c r="F34" i="16"/>
  <c r="C124" i="16"/>
  <c r="C108" i="16"/>
  <c r="C123" i="16"/>
  <c r="C107" i="16"/>
  <c r="C122" i="16"/>
  <c r="C106" i="16"/>
  <c r="C121" i="16"/>
  <c r="C105" i="16"/>
  <c r="C120" i="16"/>
  <c r="C104" i="16"/>
  <c r="C119" i="16"/>
  <c r="C103" i="16"/>
  <c r="C118" i="16"/>
  <c r="C102" i="16"/>
  <c r="C117" i="16"/>
  <c r="C101" i="16"/>
  <c r="C116" i="16"/>
  <c r="E99" i="16"/>
  <c r="F99" i="16"/>
  <c r="G99" i="16"/>
  <c r="H99" i="16"/>
  <c r="I99" i="16"/>
  <c r="J99" i="16"/>
  <c r="K99" i="16"/>
  <c r="L99" i="16"/>
  <c r="L114" i="16"/>
  <c r="K114" i="16"/>
  <c r="J114" i="16"/>
  <c r="I114" i="16"/>
  <c r="H114" i="16"/>
  <c r="G114" i="16"/>
  <c r="F114" i="16"/>
  <c r="E114" i="16"/>
  <c r="D114" i="16"/>
  <c r="C100" i="16"/>
  <c r="C115" i="16"/>
  <c r="L47" i="17"/>
  <c r="F26" i="16"/>
  <c r="F76" i="16"/>
  <c r="L36" i="17"/>
  <c r="L61" i="17"/>
  <c r="L60" i="17"/>
  <c r="L59" i="17"/>
  <c r="L57" i="17"/>
  <c r="F73" i="16"/>
  <c r="E73" i="16"/>
  <c r="F67" i="16"/>
  <c r="F69" i="16"/>
  <c r="E67" i="16"/>
  <c r="E69" i="16"/>
  <c r="I88" i="3"/>
  <c r="J88" i="3"/>
  <c r="F61" i="16"/>
  <c r="I66" i="3"/>
  <c r="J66" i="3"/>
  <c r="J76" i="3"/>
  <c r="F51" i="16"/>
  <c r="F79" i="16"/>
  <c r="J75" i="3"/>
  <c r="F50" i="16"/>
  <c r="F77" i="16"/>
  <c r="J74" i="3"/>
  <c r="F49" i="16"/>
  <c r="F75" i="16"/>
  <c r="J70" i="3"/>
  <c r="J71" i="3"/>
  <c r="J72" i="3"/>
  <c r="F47" i="16"/>
  <c r="F72" i="16"/>
  <c r="J67" i="3"/>
  <c r="F44" i="16"/>
  <c r="F68" i="16"/>
  <c r="E61" i="16"/>
  <c r="I76" i="3"/>
  <c r="E51" i="16"/>
  <c r="E79" i="16"/>
  <c r="I75" i="3"/>
  <c r="E50" i="16"/>
  <c r="E77" i="16"/>
  <c r="I74" i="3"/>
  <c r="E49" i="16"/>
  <c r="E75" i="16"/>
  <c r="I70" i="3"/>
  <c r="I71" i="3"/>
  <c r="I72" i="3"/>
  <c r="E47" i="16"/>
  <c r="E72" i="16"/>
  <c r="I67" i="3"/>
  <c r="E44" i="16"/>
  <c r="E68" i="16"/>
  <c r="F43" i="16"/>
  <c r="F66" i="16"/>
  <c r="E43" i="16"/>
  <c r="E45" i="16"/>
  <c r="E53" i="16"/>
  <c r="L45" i="16"/>
  <c r="L53" i="16"/>
  <c r="L55" i="16"/>
  <c r="L58" i="16"/>
  <c r="L60" i="16"/>
  <c r="K45" i="16"/>
  <c r="K53" i="16"/>
  <c r="K55" i="16"/>
  <c r="K58" i="16"/>
  <c r="K60" i="16"/>
  <c r="L11" i="16"/>
  <c r="F11" i="16"/>
  <c r="J13" i="17"/>
  <c r="B2" i="16"/>
  <c r="J27" i="17"/>
  <c r="E16" i="17"/>
  <c r="H27" i="17"/>
  <c r="L38" i="16"/>
  <c r="J16" i="17"/>
  <c r="L34" i="16"/>
  <c r="L33" i="16"/>
  <c r="J47" i="17"/>
  <c r="J54" i="17"/>
  <c r="J28" i="17"/>
  <c r="J32" i="17"/>
  <c r="J40" i="17"/>
  <c r="J20" i="17"/>
  <c r="J19" i="17"/>
  <c r="J18" i="17"/>
  <c r="J17" i="17"/>
  <c r="E13" i="17"/>
  <c r="O11" i="17"/>
  <c r="O13" i="17"/>
  <c r="E14" i="17"/>
  <c r="B2" i="17"/>
  <c r="F33" i="16"/>
  <c r="F38" i="16"/>
  <c r="H61" i="17"/>
  <c r="N61" i="17"/>
  <c r="H60" i="17"/>
  <c r="N60" i="17"/>
  <c r="H59" i="17"/>
  <c r="N59" i="17"/>
  <c r="H58" i="17"/>
  <c r="H57" i="17"/>
  <c r="N57" i="17"/>
  <c r="H53" i="17"/>
  <c r="N53" i="17"/>
  <c r="H51" i="17"/>
  <c r="H50" i="17"/>
  <c r="N50" i="17"/>
  <c r="H46" i="17"/>
  <c r="N46" i="17"/>
  <c r="H45" i="17"/>
  <c r="N45" i="17"/>
  <c r="H44" i="17"/>
  <c r="N44" i="17"/>
  <c r="N47" i="17"/>
  <c r="H39" i="17"/>
  <c r="N39" i="17"/>
  <c r="H38" i="17"/>
  <c r="H37" i="17"/>
  <c r="H36" i="17"/>
  <c r="H35" i="17"/>
  <c r="N35" i="17"/>
  <c r="H31" i="17"/>
  <c r="N31" i="17"/>
  <c r="H30" i="17"/>
  <c r="N30" i="17"/>
  <c r="H29" i="17"/>
  <c r="N29" i="17"/>
  <c r="H28" i="17"/>
  <c r="N28" i="17"/>
  <c r="B3" i="16"/>
  <c r="B3" i="15"/>
  <c r="B31" i="11"/>
  <c r="B30" i="11"/>
  <c r="B29" i="11"/>
  <c r="B28" i="11"/>
  <c r="M26" i="4"/>
  <c r="K26" i="11"/>
  <c r="L26" i="4"/>
  <c r="J26" i="11"/>
  <c r="K26" i="4"/>
  <c r="I26" i="11"/>
  <c r="J26" i="4"/>
  <c r="H26" i="11"/>
  <c r="I26" i="4"/>
  <c r="G26" i="11"/>
  <c r="L26" i="11"/>
  <c r="N9" i="13"/>
  <c r="N10" i="13"/>
  <c r="N11" i="13"/>
  <c r="N12" i="13"/>
  <c r="N13" i="13"/>
  <c r="N14" i="13"/>
  <c r="N16" i="13"/>
  <c r="G23" i="4"/>
  <c r="N17" i="13"/>
  <c r="F23" i="4"/>
  <c r="N18" i="13"/>
  <c r="E23" i="4"/>
  <c r="N19" i="13"/>
  <c r="D23" i="4"/>
  <c r="N20" i="13"/>
  <c r="C23" i="4"/>
  <c r="M9" i="13"/>
  <c r="M10" i="13"/>
  <c r="M11" i="13"/>
  <c r="M12" i="13"/>
  <c r="M13" i="13"/>
  <c r="M14" i="13"/>
  <c r="M16" i="13"/>
  <c r="G22" i="4"/>
  <c r="M17" i="13"/>
  <c r="F22" i="4"/>
  <c r="M18" i="13"/>
  <c r="E22" i="4"/>
  <c r="M19" i="13"/>
  <c r="D22" i="4"/>
  <c r="M20" i="13"/>
  <c r="C22" i="4"/>
  <c r="L9" i="13"/>
  <c r="L10" i="13"/>
  <c r="L11" i="13"/>
  <c r="L12" i="13"/>
  <c r="L13" i="13"/>
  <c r="L14" i="13"/>
  <c r="L16" i="13"/>
  <c r="G21" i="4"/>
  <c r="L17" i="13"/>
  <c r="F21" i="4"/>
  <c r="L18" i="13"/>
  <c r="E21" i="4"/>
  <c r="L19" i="13"/>
  <c r="D21" i="4"/>
  <c r="L20" i="13"/>
  <c r="C21" i="4"/>
  <c r="K9" i="13"/>
  <c r="K10" i="13"/>
  <c r="K11" i="13"/>
  <c r="K12" i="13"/>
  <c r="K13" i="13"/>
  <c r="K14" i="13"/>
  <c r="K16" i="13"/>
  <c r="G20" i="4"/>
  <c r="K17" i="13"/>
  <c r="F20" i="4"/>
  <c r="K18" i="13"/>
  <c r="E20" i="4"/>
  <c r="K19" i="13"/>
  <c r="D20" i="4"/>
  <c r="K20" i="13"/>
  <c r="C20" i="4"/>
  <c r="C25" i="12"/>
  <c r="Q25" i="12"/>
  <c r="C26" i="12"/>
  <c r="Q26" i="12"/>
  <c r="C27" i="12"/>
  <c r="Q27" i="12"/>
  <c r="C28" i="12"/>
  <c r="Q28" i="12"/>
  <c r="C29" i="12"/>
  <c r="Q29" i="12"/>
  <c r="Q31" i="12"/>
  <c r="G17" i="4"/>
  <c r="Q32" i="12"/>
  <c r="F17" i="4"/>
  <c r="Q33" i="12"/>
  <c r="E17" i="4"/>
  <c r="Q34" i="12"/>
  <c r="D17" i="4"/>
  <c r="Q35" i="12"/>
  <c r="C17" i="4"/>
  <c r="P25" i="12"/>
  <c r="P26" i="12"/>
  <c r="P27" i="12"/>
  <c r="P28" i="12"/>
  <c r="P29" i="12"/>
  <c r="P31" i="12"/>
  <c r="G16" i="4"/>
  <c r="P32" i="12"/>
  <c r="F16" i="4"/>
  <c r="P33" i="12"/>
  <c r="E16" i="4"/>
  <c r="P34" i="12"/>
  <c r="D16" i="4"/>
  <c r="P35" i="12"/>
  <c r="C16" i="4"/>
  <c r="I68" i="3"/>
  <c r="I78" i="3"/>
  <c r="I91" i="3"/>
  <c r="H23" i="4"/>
  <c r="H15" i="4"/>
  <c r="H91" i="3"/>
  <c r="H22" i="4"/>
  <c r="H14" i="4"/>
  <c r="H21" i="4"/>
  <c r="H13" i="4"/>
  <c r="H20" i="4"/>
  <c r="H12" i="4"/>
  <c r="R12" i="4"/>
  <c r="B26" i="11"/>
  <c r="B17" i="4"/>
  <c r="B33" i="11"/>
  <c r="B16" i="4"/>
  <c r="B34" i="11"/>
  <c r="B15" i="4"/>
  <c r="B35" i="11"/>
  <c r="B14" i="4"/>
  <c r="B36" i="11"/>
  <c r="B13" i="4"/>
  <c r="B37" i="11"/>
  <c r="B12" i="4"/>
  <c r="B38" i="11"/>
  <c r="G30" i="15"/>
  <c r="B27" i="15"/>
  <c r="C19" i="15"/>
  <c r="B21" i="15"/>
  <c r="B17" i="15"/>
  <c r="B16" i="15"/>
  <c r="B15" i="15"/>
  <c r="B14" i="15"/>
  <c r="B13" i="15"/>
  <c r="E31" i="14"/>
  <c r="F31" i="14"/>
  <c r="G31" i="14"/>
  <c r="H31" i="14"/>
  <c r="I31" i="14"/>
  <c r="J31" i="14"/>
  <c r="J41" i="14"/>
  <c r="I41" i="14"/>
  <c r="H41" i="14"/>
  <c r="G41" i="14"/>
  <c r="F41" i="14"/>
  <c r="E41" i="14"/>
  <c r="D41" i="14"/>
  <c r="C43" i="14"/>
  <c r="C44" i="14"/>
  <c r="C45" i="14"/>
  <c r="C46" i="14"/>
  <c r="C47" i="14"/>
  <c r="C33" i="14"/>
  <c r="C34" i="14"/>
  <c r="C35" i="14"/>
  <c r="C36" i="14"/>
  <c r="C37" i="14"/>
  <c r="O22" i="14"/>
  <c r="G25" i="14"/>
  <c r="H25" i="14"/>
  <c r="I25" i="14"/>
  <c r="J25" i="14"/>
  <c r="G24" i="14"/>
  <c r="H24" i="14"/>
  <c r="I24" i="14"/>
  <c r="J24" i="14"/>
  <c r="K66" i="3"/>
  <c r="L66" i="3"/>
  <c r="M66" i="3"/>
  <c r="M163" i="3"/>
  <c r="J19" i="14"/>
  <c r="L163" i="3"/>
  <c r="I19" i="14"/>
  <c r="K163" i="3"/>
  <c r="H19" i="14"/>
  <c r="J163" i="3"/>
  <c r="G19" i="14"/>
  <c r="I163" i="3"/>
  <c r="F19" i="14"/>
  <c r="M76" i="3"/>
  <c r="M146" i="3"/>
  <c r="J16" i="14"/>
  <c r="L76" i="3"/>
  <c r="L146" i="3"/>
  <c r="I16" i="14"/>
  <c r="K76" i="3"/>
  <c r="K146" i="3"/>
  <c r="H16" i="14"/>
  <c r="J146" i="3"/>
  <c r="G16" i="14"/>
  <c r="I146" i="3"/>
  <c r="F16" i="14"/>
  <c r="M75" i="3"/>
  <c r="M145" i="3"/>
  <c r="J15" i="14"/>
  <c r="L75" i="3"/>
  <c r="L145" i="3"/>
  <c r="I15" i="14"/>
  <c r="K75" i="3"/>
  <c r="K145" i="3"/>
  <c r="H15" i="14"/>
  <c r="J145" i="3"/>
  <c r="G15" i="14"/>
  <c r="I145" i="3"/>
  <c r="F15" i="14"/>
  <c r="M74" i="3"/>
  <c r="M144" i="3"/>
  <c r="J14" i="14"/>
  <c r="L74" i="3"/>
  <c r="L144" i="3"/>
  <c r="I14" i="14"/>
  <c r="K74" i="3"/>
  <c r="K144" i="3"/>
  <c r="H14" i="14"/>
  <c r="J144" i="3"/>
  <c r="G14" i="14"/>
  <c r="I144" i="3"/>
  <c r="F14" i="14"/>
  <c r="M67" i="3"/>
  <c r="M68" i="3"/>
  <c r="M70" i="3"/>
  <c r="M71" i="3"/>
  <c r="M72" i="3"/>
  <c r="M78" i="3"/>
  <c r="J10" i="14"/>
  <c r="L67" i="3"/>
  <c r="L68" i="3"/>
  <c r="L70" i="3"/>
  <c r="L71" i="3"/>
  <c r="L72" i="3"/>
  <c r="L78" i="3"/>
  <c r="I10" i="14"/>
  <c r="I12" i="14"/>
  <c r="K67" i="3"/>
  <c r="K68" i="3"/>
  <c r="K70" i="3"/>
  <c r="K71" i="3"/>
  <c r="K72" i="3"/>
  <c r="K78" i="3"/>
  <c r="H10" i="14"/>
  <c r="J68" i="3"/>
  <c r="J78" i="3"/>
  <c r="G10" i="14"/>
  <c r="G12" i="14"/>
  <c r="M91" i="3"/>
  <c r="J9" i="14"/>
  <c r="L91" i="3"/>
  <c r="I9" i="14"/>
  <c r="K91" i="3"/>
  <c r="H9" i="14"/>
  <c r="J91" i="3"/>
  <c r="G9" i="14"/>
  <c r="J8" i="14"/>
  <c r="I8" i="14"/>
  <c r="H8" i="14"/>
  <c r="G8" i="14"/>
  <c r="F10" i="14"/>
  <c r="F9" i="14"/>
  <c r="F8" i="14"/>
  <c r="B23" i="15"/>
  <c r="D40" i="14"/>
  <c r="B39" i="14"/>
  <c r="B29" i="14"/>
  <c r="L5" i="14"/>
  <c r="B5" i="14"/>
  <c r="J20" i="13"/>
  <c r="I20" i="13"/>
  <c r="H20" i="13"/>
  <c r="G20" i="13"/>
  <c r="F20" i="13"/>
  <c r="J19" i="13"/>
  <c r="I19" i="13"/>
  <c r="H19" i="13"/>
  <c r="G19" i="13"/>
  <c r="F19" i="13"/>
  <c r="J18" i="13"/>
  <c r="I18" i="13"/>
  <c r="H18" i="13"/>
  <c r="G18" i="13"/>
  <c r="F18" i="13"/>
  <c r="J17" i="13"/>
  <c r="I17" i="13"/>
  <c r="H17" i="13"/>
  <c r="G17" i="13"/>
  <c r="F17" i="13"/>
  <c r="J16" i="13"/>
  <c r="I16" i="13"/>
  <c r="H16" i="13"/>
  <c r="G16" i="13"/>
  <c r="F16" i="13"/>
  <c r="E20" i="13"/>
  <c r="E19" i="13"/>
  <c r="E18" i="13"/>
  <c r="E17" i="13"/>
  <c r="E16" i="13"/>
  <c r="B5" i="13"/>
  <c r="J35" i="12"/>
  <c r="I35" i="12"/>
  <c r="H35" i="12"/>
  <c r="G35" i="12"/>
  <c r="F35" i="12"/>
  <c r="J34" i="12"/>
  <c r="I34" i="12"/>
  <c r="H34" i="12"/>
  <c r="G34" i="12"/>
  <c r="F34" i="12"/>
  <c r="J33" i="12"/>
  <c r="I33" i="12"/>
  <c r="H33" i="12"/>
  <c r="G33" i="12"/>
  <c r="F33" i="12"/>
  <c r="J32" i="12"/>
  <c r="I32" i="12"/>
  <c r="H32" i="12"/>
  <c r="G32" i="12"/>
  <c r="F32" i="12"/>
  <c r="J31" i="12"/>
  <c r="I31" i="12"/>
  <c r="H31" i="12"/>
  <c r="G31" i="12"/>
  <c r="F31" i="12"/>
  <c r="C35" i="12"/>
  <c r="C34" i="12"/>
  <c r="C33" i="12"/>
  <c r="C32" i="12"/>
  <c r="C31" i="12"/>
  <c r="B29" i="12"/>
  <c r="B28" i="12"/>
  <c r="B27" i="12"/>
  <c r="B26" i="12"/>
  <c r="B25" i="12"/>
  <c r="O20" i="12"/>
  <c r="M20" i="12"/>
  <c r="T20" i="12"/>
  <c r="N20" i="12"/>
  <c r="L20" i="12"/>
  <c r="J20" i="12"/>
  <c r="I20" i="12"/>
  <c r="H20" i="12"/>
  <c r="G20" i="12"/>
  <c r="F20" i="12"/>
  <c r="C20" i="12"/>
  <c r="C37" i="12"/>
  <c r="H87" i="3"/>
  <c r="P20" i="12"/>
  <c r="P37" i="12"/>
  <c r="B20" i="12"/>
  <c r="B37" i="12"/>
  <c r="T8" i="12"/>
  <c r="T9" i="12"/>
  <c r="T10" i="12"/>
  <c r="T11" i="12"/>
  <c r="T12" i="12"/>
  <c r="T18" i="12"/>
  <c r="S8" i="12"/>
  <c r="S9" i="12"/>
  <c r="S10" i="12"/>
  <c r="S11" i="12"/>
  <c r="S12" i="12"/>
  <c r="S18" i="12"/>
  <c r="R8" i="12"/>
  <c r="R9" i="12"/>
  <c r="R10" i="12"/>
  <c r="R11" i="12"/>
  <c r="R12" i="12"/>
  <c r="R18" i="12"/>
  <c r="Q18" i="12"/>
  <c r="P18" i="12"/>
  <c r="O18" i="12"/>
  <c r="N18" i="12"/>
  <c r="M18" i="12"/>
  <c r="L18" i="12"/>
  <c r="J18" i="12"/>
  <c r="I18" i="12"/>
  <c r="H18" i="12"/>
  <c r="G18" i="12"/>
  <c r="F18" i="12"/>
  <c r="T17" i="12"/>
  <c r="S17" i="12"/>
  <c r="R17" i="12"/>
  <c r="Q17" i="12"/>
  <c r="P17" i="12"/>
  <c r="O17" i="12"/>
  <c r="N17" i="12"/>
  <c r="M17" i="12"/>
  <c r="L17" i="12"/>
  <c r="J17" i="12"/>
  <c r="I17" i="12"/>
  <c r="H17" i="12"/>
  <c r="G17" i="12"/>
  <c r="F17" i="12"/>
  <c r="T16" i="12"/>
  <c r="S16" i="12"/>
  <c r="R16" i="12"/>
  <c r="Q16" i="12"/>
  <c r="P16" i="12"/>
  <c r="O16" i="12"/>
  <c r="N16" i="12"/>
  <c r="M16" i="12"/>
  <c r="L16" i="12"/>
  <c r="J16" i="12"/>
  <c r="I16" i="12"/>
  <c r="H16" i="12"/>
  <c r="G16" i="12"/>
  <c r="F16" i="12"/>
  <c r="T15" i="12"/>
  <c r="S15" i="12"/>
  <c r="R15" i="12"/>
  <c r="Q15" i="12"/>
  <c r="P15" i="12"/>
  <c r="O15" i="12"/>
  <c r="N15" i="12"/>
  <c r="M15" i="12"/>
  <c r="L15" i="12"/>
  <c r="J15" i="12"/>
  <c r="I15" i="12"/>
  <c r="H15" i="12"/>
  <c r="G15" i="12"/>
  <c r="F15" i="12"/>
  <c r="T14" i="12"/>
  <c r="S14" i="12"/>
  <c r="R14" i="12"/>
  <c r="Q14" i="12"/>
  <c r="P14" i="12"/>
  <c r="O14" i="12"/>
  <c r="N14" i="12"/>
  <c r="M14" i="12"/>
  <c r="L14" i="12"/>
  <c r="J14" i="12"/>
  <c r="I14" i="12"/>
  <c r="H14" i="12"/>
  <c r="G14" i="12"/>
  <c r="F14" i="12"/>
  <c r="C18" i="12"/>
  <c r="C17" i="12"/>
  <c r="C16" i="12"/>
  <c r="C15" i="12"/>
  <c r="C14" i="12"/>
  <c r="L7" i="12"/>
  <c r="L24" i="12"/>
  <c r="M7" i="12"/>
  <c r="M24" i="12"/>
  <c r="B2" i="12"/>
  <c r="T7" i="12"/>
  <c r="S7" i="12"/>
  <c r="Q7" i="12"/>
  <c r="Q24" i="12"/>
  <c r="P7" i="12"/>
  <c r="P24" i="12"/>
  <c r="O7" i="12"/>
  <c r="O24" i="12"/>
  <c r="N7" i="12"/>
  <c r="N24" i="12"/>
  <c r="B3" i="13"/>
  <c r="B3" i="12"/>
  <c r="B2" i="15"/>
  <c r="H105" i="3"/>
  <c r="H113" i="3"/>
  <c r="H120" i="3"/>
  <c r="H126" i="3"/>
  <c r="H93" i="3"/>
  <c r="H32" i="3"/>
  <c r="G105" i="3"/>
  <c r="G113" i="3"/>
  <c r="G120" i="3"/>
  <c r="G126" i="3"/>
  <c r="G93" i="3"/>
  <c r="G32" i="3"/>
  <c r="G87" i="3"/>
  <c r="G31" i="3"/>
  <c r="F85" i="3"/>
  <c r="F87" i="3"/>
  <c r="F31" i="3"/>
  <c r="E12" i="3"/>
  <c r="B3" i="14"/>
  <c r="M58" i="18"/>
  <c r="K58" i="18"/>
  <c r="I58" i="18"/>
  <c r="B2" i="14"/>
  <c r="H8" i="4"/>
  <c r="I5" i="4"/>
  <c r="C5" i="4"/>
  <c r="B5" i="4"/>
  <c r="B2" i="4"/>
  <c r="M90" i="3"/>
  <c r="L90" i="3"/>
  <c r="K90" i="3"/>
  <c r="J90" i="3"/>
  <c r="I90" i="3"/>
  <c r="H92" i="3"/>
  <c r="G92" i="3"/>
  <c r="F143" i="3"/>
  <c r="F144" i="3"/>
  <c r="F145" i="3"/>
  <c r="F146" i="3"/>
  <c r="F157" i="3"/>
  <c r="F92" i="3"/>
  <c r="G91" i="3"/>
  <c r="H90" i="3"/>
  <c r="G90" i="3"/>
  <c r="F91" i="3"/>
  <c r="F90" i="3"/>
  <c r="I36" i="3"/>
  <c r="F36" i="3"/>
  <c r="J81" i="3"/>
  <c r="K81" i="3"/>
  <c r="L81" i="3"/>
  <c r="M81" i="3"/>
  <c r="J47" i="3"/>
  <c r="K47" i="3"/>
  <c r="L47" i="3"/>
  <c r="M47" i="3"/>
  <c r="I131" i="3"/>
  <c r="J174" i="3"/>
  <c r="K174" i="3"/>
  <c r="L174" i="3"/>
  <c r="M174" i="3"/>
  <c r="J172" i="3"/>
  <c r="K172" i="3"/>
  <c r="L172" i="3"/>
  <c r="M172" i="3"/>
  <c r="J171" i="3"/>
  <c r="K171" i="3"/>
  <c r="L171" i="3"/>
  <c r="M171" i="3"/>
  <c r="J170" i="3"/>
  <c r="K170" i="3"/>
  <c r="L170" i="3"/>
  <c r="M170" i="3"/>
  <c r="J169" i="3"/>
  <c r="K169" i="3"/>
  <c r="L169" i="3"/>
  <c r="M169" i="3"/>
  <c r="J148" i="3"/>
  <c r="K148" i="3"/>
  <c r="L148" i="3"/>
  <c r="M148" i="3"/>
  <c r="J147" i="3"/>
  <c r="K147" i="3"/>
  <c r="L147" i="3"/>
  <c r="M147" i="3"/>
  <c r="J165" i="3"/>
  <c r="K165" i="3"/>
  <c r="L165" i="3"/>
  <c r="M165" i="3"/>
  <c r="J164" i="3"/>
  <c r="K164" i="3"/>
  <c r="L164" i="3"/>
  <c r="M164" i="3"/>
  <c r="J162" i="3"/>
  <c r="K162" i="3"/>
  <c r="L162" i="3"/>
  <c r="M162" i="3"/>
  <c r="J161" i="3"/>
  <c r="K161" i="3"/>
  <c r="L161" i="3"/>
  <c r="M161" i="3"/>
  <c r="J160" i="3"/>
  <c r="K160" i="3"/>
  <c r="I125" i="3"/>
  <c r="J125" i="3"/>
  <c r="K125" i="3"/>
  <c r="L125" i="3"/>
  <c r="M125" i="3"/>
  <c r="I112" i="3"/>
  <c r="I104" i="3"/>
  <c r="G50" i="3"/>
  <c r="G51" i="3"/>
  <c r="K88" i="3"/>
  <c r="L88" i="3"/>
  <c r="M88" i="3"/>
  <c r="I111" i="3"/>
  <c r="J111" i="3"/>
  <c r="K111" i="3"/>
  <c r="L111" i="3"/>
  <c r="M111" i="3"/>
  <c r="H23" i="3"/>
  <c r="I23" i="3"/>
  <c r="G55" i="3"/>
  <c r="G56" i="3"/>
  <c r="F175" i="3"/>
  <c r="F161" i="3"/>
  <c r="F166" i="3"/>
  <c r="F24" i="3"/>
  <c r="B2" i="3"/>
  <c r="G24" i="3"/>
  <c r="I24" i="3"/>
  <c r="M24" i="3"/>
  <c r="L24" i="3"/>
  <c r="K24" i="3"/>
  <c r="J24" i="3"/>
  <c r="J96" i="3"/>
  <c r="F42" i="16"/>
  <c r="H24" i="3"/>
  <c r="I133" i="3"/>
  <c r="J133" i="3"/>
  <c r="K133" i="3"/>
  <c r="L133" i="3"/>
  <c r="M133" i="3"/>
  <c r="I129" i="3"/>
  <c r="J129" i="3"/>
  <c r="K129" i="3"/>
  <c r="L129" i="3"/>
  <c r="M129" i="3"/>
  <c r="I110" i="3"/>
  <c r="J110" i="3"/>
  <c r="K110" i="3"/>
  <c r="L110" i="3"/>
  <c r="M110" i="3"/>
  <c r="I108" i="3"/>
  <c r="J108" i="3"/>
  <c r="K108" i="3"/>
  <c r="L108" i="3"/>
  <c r="M108" i="3"/>
  <c r="I103" i="3"/>
  <c r="J103" i="3"/>
  <c r="K103" i="3"/>
  <c r="L103" i="3"/>
  <c r="M103" i="3"/>
  <c r="I100" i="3"/>
  <c r="J100" i="3"/>
  <c r="K100" i="3"/>
  <c r="G134" i="3"/>
  <c r="I153" i="3"/>
  <c r="J104" i="3"/>
  <c r="J112" i="3"/>
  <c r="I152" i="3"/>
  <c r="K112" i="3"/>
  <c r="K153" i="3"/>
  <c r="K104" i="3"/>
  <c r="K152" i="3"/>
  <c r="J153" i="3"/>
  <c r="J152" i="3"/>
  <c r="L104" i="3"/>
  <c r="L112" i="3"/>
  <c r="L153" i="3"/>
  <c r="M112" i="3"/>
  <c r="M153" i="3"/>
  <c r="M104" i="3"/>
  <c r="M152" i="3"/>
  <c r="I130" i="3"/>
  <c r="L152" i="3"/>
  <c r="G136" i="3"/>
  <c r="J131" i="3"/>
  <c r="I123" i="3"/>
  <c r="L160" i="3"/>
  <c r="I119" i="3"/>
  <c r="I155" i="3"/>
  <c r="L100" i="3"/>
  <c r="F177" i="3"/>
  <c r="K131" i="3"/>
  <c r="L131" i="3"/>
  <c r="M131" i="3"/>
  <c r="J130" i="3"/>
  <c r="I102" i="3"/>
  <c r="J118" i="3"/>
  <c r="I109" i="3"/>
  <c r="I166" i="3"/>
  <c r="J166" i="3"/>
  <c r="J119" i="3"/>
  <c r="M160" i="3"/>
  <c r="J123" i="3"/>
  <c r="I118" i="3"/>
  <c r="I156" i="3"/>
  <c r="K130" i="3"/>
  <c r="K123" i="3"/>
  <c r="K166" i="3"/>
  <c r="H134" i="3"/>
  <c r="H136" i="3"/>
  <c r="J155" i="3"/>
  <c r="M100" i="3"/>
  <c r="J102" i="3"/>
  <c r="K119" i="3"/>
  <c r="I151" i="3"/>
  <c r="J151" i="3"/>
  <c r="J156" i="3"/>
  <c r="J109" i="3"/>
  <c r="K109" i="3"/>
  <c r="L130" i="3"/>
  <c r="M130" i="3"/>
  <c r="K155" i="3"/>
  <c r="L119" i="3"/>
  <c r="M119" i="3"/>
  <c r="M123" i="3"/>
  <c r="L123" i="3"/>
  <c r="L118" i="3"/>
  <c r="G138" i="3"/>
  <c r="L166" i="3"/>
  <c r="M166" i="3"/>
  <c r="K102" i="3"/>
  <c r="K151" i="3"/>
  <c r="L109" i="3"/>
  <c r="K118" i="3"/>
  <c r="K156" i="3"/>
  <c r="M109" i="3"/>
  <c r="L156" i="3"/>
  <c r="L102" i="3"/>
  <c r="M118" i="3"/>
  <c r="M156" i="3"/>
  <c r="L155" i="3"/>
  <c r="M102" i="3"/>
  <c r="L151" i="3"/>
  <c r="M155" i="3"/>
  <c r="M151" i="3"/>
  <c r="H138" i="3"/>
  <c r="K37" i="3"/>
  <c r="S20" i="12"/>
  <c r="E28" i="12"/>
  <c r="R20" i="12"/>
  <c r="F12" i="14"/>
  <c r="H12" i="14"/>
  <c r="J12" i="14"/>
  <c r="M141" i="3"/>
  <c r="O13" i="14"/>
  <c r="K9" i="12"/>
  <c r="K26" i="12"/>
  <c r="K11" i="12"/>
  <c r="K28" i="12"/>
  <c r="K10" i="12"/>
  <c r="K27" i="12"/>
  <c r="I141" i="3"/>
  <c r="L96" i="3"/>
  <c r="H32" i="17"/>
  <c r="H40" i="17"/>
  <c r="H47" i="17"/>
  <c r="H54" i="17"/>
  <c r="H62" i="17"/>
  <c r="H64" i="17"/>
  <c r="J64" i="17"/>
  <c r="H31" i="3"/>
  <c r="E26" i="12"/>
  <c r="K96" i="3"/>
  <c r="F45" i="16"/>
  <c r="F53" i="16"/>
  <c r="E66" i="16"/>
  <c r="G23" i="3"/>
  <c r="F23" i="3"/>
  <c r="N36" i="17"/>
  <c r="F24" i="16"/>
  <c r="E27" i="12"/>
  <c r="G141" i="3"/>
  <c r="E76" i="16"/>
  <c r="M96" i="3"/>
  <c r="H37" i="3"/>
  <c r="K48" i="18"/>
  <c r="K141" i="3"/>
  <c r="K64" i="3"/>
  <c r="M48" i="18"/>
  <c r="M37" i="3"/>
  <c r="M64" i="3"/>
  <c r="G48" i="18"/>
  <c r="G37" i="3"/>
  <c r="G96" i="3"/>
  <c r="E17" i="12"/>
  <c r="E18" i="12"/>
  <c r="E14" i="12"/>
  <c r="E25" i="12"/>
  <c r="E29" i="12"/>
  <c r="K12" i="12"/>
  <c r="K29" i="12"/>
  <c r="J48" i="18"/>
  <c r="J64" i="3"/>
  <c r="J141" i="3"/>
  <c r="J37" i="3"/>
  <c r="L48" i="18"/>
  <c r="I6" i="14"/>
  <c r="L37" i="3"/>
  <c r="L141" i="3"/>
  <c r="I48" i="18"/>
  <c r="I64" i="3"/>
  <c r="I37" i="3"/>
  <c r="I96" i="3"/>
  <c r="E42" i="16"/>
  <c r="F6" i="14"/>
  <c r="F64" i="3"/>
  <c r="F141" i="3"/>
  <c r="F48" i="18"/>
  <c r="H16" i="4"/>
  <c r="J6" i="14"/>
  <c r="H141" i="3"/>
  <c r="K8" i="12"/>
  <c r="E16" i="12"/>
  <c r="H64" i="3"/>
  <c r="H96" i="3"/>
  <c r="G64" i="3"/>
  <c r="E15" i="12"/>
  <c r="C153" i="18"/>
  <c r="C168" i="18"/>
  <c r="C145" i="18"/>
  <c r="C160" i="18"/>
  <c r="C147" i="18"/>
  <c r="C162" i="18"/>
  <c r="C149" i="18"/>
  <c r="C164" i="18"/>
  <c r="I65" i="18"/>
  <c r="I113" i="18"/>
  <c r="I88" i="18"/>
  <c r="I131" i="18"/>
  <c r="L131" i="18"/>
  <c r="L65" i="18"/>
  <c r="L88" i="18"/>
  <c r="L113" i="18"/>
  <c r="J131" i="18"/>
  <c r="J113" i="18"/>
  <c r="J65" i="18"/>
  <c r="J88" i="18"/>
  <c r="E34" i="12"/>
  <c r="E32" i="12"/>
  <c r="E33" i="12"/>
  <c r="E31" i="12"/>
  <c r="E35" i="12"/>
  <c r="M113" i="18"/>
  <c r="M88" i="18"/>
  <c r="M131" i="18"/>
  <c r="M65" i="18"/>
  <c r="K25" i="12"/>
  <c r="K17" i="12"/>
  <c r="K15" i="12"/>
  <c r="J16" i="4"/>
  <c r="H34" i="11"/>
  <c r="I16" i="4"/>
  <c r="G34" i="11"/>
  <c r="M34" i="11"/>
  <c r="M16" i="4"/>
  <c r="K34" i="11"/>
  <c r="K16" i="4"/>
  <c r="I34" i="11"/>
  <c r="N34" i="11"/>
  <c r="L16" i="4"/>
  <c r="J34" i="11"/>
  <c r="O34" i="11"/>
  <c r="F65" i="18"/>
  <c r="F88" i="18"/>
  <c r="F113" i="18"/>
  <c r="F131" i="18"/>
  <c r="G131" i="18"/>
  <c r="G65" i="18"/>
  <c r="G88" i="18"/>
  <c r="G113" i="18"/>
  <c r="K131" i="18"/>
  <c r="K65" i="18"/>
  <c r="K113" i="18"/>
  <c r="K88" i="18"/>
  <c r="J58" i="18"/>
  <c r="L58" i="18"/>
  <c r="F9" i="18"/>
  <c r="K21" i="18"/>
  <c r="K23" i="18"/>
  <c r="F16" i="18"/>
  <c r="F17" i="18"/>
  <c r="C151" i="18"/>
  <c r="C166" i="18"/>
  <c r="C144" i="18"/>
  <c r="C159" i="18"/>
  <c r="C146" i="18"/>
  <c r="C161" i="18"/>
  <c r="C148" i="18"/>
  <c r="C163" i="18"/>
  <c r="C150" i="18"/>
  <c r="C165" i="18"/>
  <c r="O25" i="12"/>
  <c r="N25" i="12"/>
  <c r="L25" i="12"/>
  <c r="K16" i="12"/>
  <c r="K14" i="12"/>
  <c r="K18" i="12"/>
  <c r="M25" i="12"/>
  <c r="L64" i="3"/>
  <c r="G6" i="14"/>
  <c r="F37" i="3"/>
  <c r="I117" i="3"/>
  <c r="I154" i="3"/>
  <c r="I120" i="3"/>
  <c r="L29" i="12"/>
  <c r="O29" i="12"/>
  <c r="M29" i="12"/>
  <c r="N29" i="12"/>
  <c r="L34" i="11"/>
  <c r="O28" i="12"/>
  <c r="M28" i="12"/>
  <c r="L28" i="12"/>
  <c r="N28" i="12"/>
  <c r="I173" i="3"/>
  <c r="J23" i="3"/>
  <c r="J117" i="3"/>
  <c r="O27" i="12"/>
  <c r="N27" i="12"/>
  <c r="L27" i="12"/>
  <c r="M27" i="12"/>
  <c r="O26" i="12"/>
  <c r="K31" i="12"/>
  <c r="L26" i="12"/>
  <c r="L32" i="12"/>
  <c r="K35" i="12"/>
  <c r="M26" i="12"/>
  <c r="M33" i="12"/>
  <c r="N26" i="12"/>
  <c r="K32" i="12"/>
  <c r="K33" i="12"/>
  <c r="K34" i="12"/>
  <c r="M31" i="12"/>
  <c r="G13" i="4"/>
  <c r="M13" i="4"/>
  <c r="K37" i="11"/>
  <c r="M34" i="12"/>
  <c r="D13" i="4"/>
  <c r="J13" i="4"/>
  <c r="H37" i="11"/>
  <c r="M35" i="12"/>
  <c r="C13" i="4"/>
  <c r="I13" i="4"/>
  <c r="G37" i="11"/>
  <c r="M37" i="11"/>
  <c r="M32" i="12"/>
  <c r="F13" i="4"/>
  <c r="L13" i="4"/>
  <c r="J37" i="11"/>
  <c r="E13" i="4"/>
  <c r="K13" i="4"/>
  <c r="I37" i="11"/>
  <c r="O37" i="11"/>
  <c r="L37" i="11"/>
  <c r="F12" i="4"/>
  <c r="L12" i="4"/>
  <c r="J38" i="11"/>
  <c r="L31" i="12"/>
  <c r="G12" i="4"/>
  <c r="M12" i="4"/>
  <c r="K38" i="11"/>
  <c r="P38" i="11"/>
  <c r="O35" i="12"/>
  <c r="C15" i="4"/>
  <c r="I15" i="4"/>
  <c r="G35" i="11"/>
  <c r="L35" i="11"/>
  <c r="O34" i="12"/>
  <c r="D15" i="4"/>
  <c r="J15" i="4"/>
  <c r="H35" i="11"/>
  <c r="O32" i="12"/>
  <c r="F15" i="4"/>
  <c r="L15" i="4"/>
  <c r="J35" i="11"/>
  <c r="O33" i="12"/>
  <c r="E15" i="4"/>
  <c r="K15" i="4"/>
  <c r="I35" i="11"/>
  <c r="O35" i="11"/>
  <c r="N35" i="11"/>
  <c r="O31" i="12"/>
  <c r="G15" i="4"/>
  <c r="M15" i="4"/>
  <c r="K35" i="11"/>
  <c r="J120" i="3"/>
  <c r="J154" i="3"/>
  <c r="I175" i="3"/>
  <c r="I124" i="3"/>
  <c r="N35" i="12"/>
  <c r="C14" i="4"/>
  <c r="I14" i="4"/>
  <c r="G36" i="11"/>
  <c r="L36" i="11"/>
  <c r="N34" i="12"/>
  <c r="D14" i="4"/>
  <c r="J14" i="4"/>
  <c r="H36" i="11"/>
  <c r="M36" i="11"/>
  <c r="N32" i="12"/>
  <c r="F14" i="4"/>
  <c r="L14" i="4"/>
  <c r="J36" i="11"/>
  <c r="N31" i="12"/>
  <c r="G14" i="4"/>
  <c r="M14" i="4"/>
  <c r="K36" i="11"/>
  <c r="P36" i="11"/>
  <c r="N33" i="12"/>
  <c r="E14" i="4"/>
  <c r="K14" i="4"/>
  <c r="I36" i="11"/>
  <c r="N36" i="11"/>
  <c r="J173" i="3"/>
  <c r="J175" i="3"/>
  <c r="K23" i="3"/>
  <c r="K173" i="3"/>
  <c r="J101" i="3"/>
  <c r="I126" i="3"/>
  <c r="J124" i="3"/>
  <c r="J80" i="3"/>
  <c r="I80" i="3"/>
  <c r="J126" i="3"/>
  <c r="L117" i="3"/>
  <c r="K101" i="3"/>
  <c r="K150" i="3"/>
  <c r="L120" i="3"/>
  <c r="M117" i="3"/>
  <c r="M154" i="3"/>
  <c r="M120" i="3"/>
  <c r="M101" i="3"/>
  <c r="N26" i="11"/>
  <c r="L101" i="3"/>
  <c r="O36" i="11"/>
  <c r="P35" i="11"/>
  <c r="M35" i="11"/>
  <c r="K175" i="3"/>
  <c r="K124" i="3"/>
  <c r="P37" i="11"/>
  <c r="F65" i="16"/>
  <c r="L42" i="16"/>
  <c r="H81" i="18"/>
  <c r="H84" i="18"/>
  <c r="H85" i="18"/>
  <c r="H133" i="18"/>
  <c r="L23" i="3"/>
  <c r="K117" i="3"/>
  <c r="K42" i="16"/>
  <c r="E65" i="16"/>
  <c r="M21" i="4"/>
  <c r="K30" i="11"/>
  <c r="K20" i="4"/>
  <c r="I31" i="11"/>
  <c r="I23" i="4"/>
  <c r="G28" i="11"/>
  <c r="L28" i="11"/>
  <c r="J20" i="4"/>
  <c r="H31" i="11"/>
  <c r="K22" i="4"/>
  <c r="I29" i="11"/>
  <c r="L20" i="4"/>
  <c r="J31" i="11"/>
  <c r="O31" i="11"/>
  <c r="J23" i="4"/>
  <c r="H28" i="11"/>
  <c r="M28" i="11"/>
  <c r="I20" i="4"/>
  <c r="G31" i="11"/>
  <c r="L31" i="11"/>
  <c r="K21" i="4"/>
  <c r="I30" i="11"/>
  <c r="K23" i="4"/>
  <c r="I28" i="11"/>
  <c r="F35" i="16"/>
  <c r="L22" i="4"/>
  <c r="J29" i="11"/>
  <c r="L23" i="4"/>
  <c r="J28" i="11"/>
  <c r="O28" i="11"/>
  <c r="I22" i="4"/>
  <c r="G29" i="11"/>
  <c r="L29" i="11"/>
  <c r="M23" i="4"/>
  <c r="K28" i="11"/>
  <c r="L21" i="4"/>
  <c r="J30" i="11"/>
  <c r="O30" i="11"/>
  <c r="D20" i="12"/>
  <c r="E20" i="12"/>
  <c r="J21" i="4"/>
  <c r="H30" i="11"/>
  <c r="M22" i="4"/>
  <c r="K29" i="11"/>
  <c r="P29" i="11"/>
  <c r="I21" i="4"/>
  <c r="G30" i="11"/>
  <c r="L30" i="11"/>
  <c r="J22" i="4"/>
  <c r="H29" i="11"/>
  <c r="M29" i="11"/>
  <c r="M20" i="4"/>
  <c r="K31" i="11"/>
  <c r="P31" i="11"/>
  <c r="E15" i="17"/>
  <c r="L35" i="16"/>
  <c r="I68" i="18"/>
  <c r="I75" i="18"/>
  <c r="I91" i="18"/>
  <c r="I97" i="18"/>
  <c r="I77" i="18"/>
  <c r="I93" i="18"/>
  <c r="I71" i="18"/>
  <c r="I72" i="18"/>
  <c r="I73" i="18"/>
  <c r="I69" i="18"/>
  <c r="I79" i="18"/>
  <c r="I85" i="18"/>
  <c r="J67" i="18"/>
  <c r="F81" i="18"/>
  <c r="F84" i="18"/>
  <c r="F85" i="18"/>
  <c r="G81" i="18"/>
  <c r="G84" i="18"/>
  <c r="G85" i="18"/>
  <c r="N37" i="11"/>
  <c r="P34" i="11"/>
  <c r="L35" i="12"/>
  <c r="C12" i="4"/>
  <c r="I12" i="4"/>
  <c r="G38" i="11"/>
  <c r="L38" i="11"/>
  <c r="L33" i="12"/>
  <c r="E12" i="4"/>
  <c r="K12" i="4"/>
  <c r="I38" i="11"/>
  <c r="L34" i="12"/>
  <c r="D12" i="4"/>
  <c r="J12" i="4"/>
  <c r="H38" i="11"/>
  <c r="M38" i="11"/>
  <c r="I101" i="3"/>
  <c r="F70" i="16"/>
  <c r="H48" i="18"/>
  <c r="H6" i="14"/>
  <c r="E70" i="16"/>
  <c r="P26" i="11"/>
  <c r="O26" i="11"/>
  <c r="M26" i="11"/>
  <c r="F15" i="18"/>
  <c r="F23" i="18"/>
  <c r="L8" i="18"/>
  <c r="L7" i="18"/>
  <c r="J21" i="17"/>
  <c r="H131" i="18"/>
  <c r="H65" i="18"/>
  <c r="H88" i="18"/>
  <c r="H113" i="18"/>
  <c r="I150" i="3"/>
  <c r="J150" i="3"/>
  <c r="J97" i="18"/>
  <c r="J68" i="18"/>
  <c r="J69" i="18"/>
  <c r="J72" i="18"/>
  <c r="J77" i="18"/>
  <c r="J93" i="18"/>
  <c r="J71" i="18"/>
  <c r="J73" i="18"/>
  <c r="J75" i="18"/>
  <c r="J91" i="18"/>
  <c r="K67" i="18"/>
  <c r="L36" i="16"/>
  <c r="E21" i="17"/>
  <c r="L37" i="16"/>
  <c r="K20" i="12"/>
  <c r="K37" i="12"/>
  <c r="E37" i="12"/>
  <c r="K120" i="3"/>
  <c r="K126" i="3"/>
  <c r="K154" i="3"/>
  <c r="L154" i="3"/>
  <c r="N38" i="11"/>
  <c r="P28" i="11"/>
  <c r="O29" i="11"/>
  <c r="N28" i="11"/>
  <c r="M31" i="11"/>
  <c r="N31" i="11"/>
  <c r="F30" i="3"/>
  <c r="O15" i="14"/>
  <c r="H30" i="3"/>
  <c r="F36" i="16"/>
  <c r="G30" i="3"/>
  <c r="E20" i="3"/>
  <c r="L173" i="3"/>
  <c r="L175" i="3"/>
  <c r="M23" i="3"/>
  <c r="M173" i="3"/>
  <c r="M175" i="3"/>
  <c r="K80" i="3"/>
  <c r="L124" i="3"/>
  <c r="L150" i="3"/>
  <c r="M150" i="3"/>
  <c r="M30" i="11"/>
  <c r="N30" i="11"/>
  <c r="N29" i="11"/>
  <c r="P30" i="11"/>
  <c r="O38" i="11"/>
  <c r="L10" i="16"/>
  <c r="L9" i="16"/>
  <c r="L8" i="16"/>
  <c r="L58" i="17"/>
  <c r="L37" i="18"/>
  <c r="L11" i="18"/>
  <c r="L38" i="18"/>
  <c r="L10" i="18"/>
  <c r="H135" i="18"/>
  <c r="H134" i="18"/>
  <c r="L9" i="18"/>
  <c r="I18" i="14"/>
  <c r="I21" i="14"/>
  <c r="L61" i="18"/>
  <c r="L26" i="3"/>
  <c r="M27" i="3"/>
  <c r="J28" i="3"/>
  <c r="F28" i="3"/>
  <c r="M28" i="3"/>
  <c r="L27" i="3"/>
  <c r="G28" i="3"/>
  <c r="K27" i="3"/>
  <c r="H26" i="3"/>
  <c r="F27" i="3"/>
  <c r="G27" i="3"/>
  <c r="L28" i="3"/>
  <c r="G26" i="3"/>
  <c r="K28" i="3"/>
  <c r="K26" i="3"/>
  <c r="F37" i="16"/>
  <c r="I28" i="3"/>
  <c r="I26" i="3"/>
  <c r="J27" i="3"/>
  <c r="M26" i="3"/>
  <c r="H27" i="3"/>
  <c r="H28" i="3"/>
  <c r="J26" i="3"/>
  <c r="F26" i="3"/>
  <c r="I27" i="3"/>
  <c r="K61" i="18"/>
  <c r="H18" i="14"/>
  <c r="H21" i="14"/>
  <c r="L37" i="12"/>
  <c r="M37" i="12"/>
  <c r="N37" i="12"/>
  <c r="O37" i="12"/>
  <c r="G18" i="14"/>
  <c r="G21" i="14"/>
  <c r="J61" i="18"/>
  <c r="J94" i="18"/>
  <c r="M61" i="18"/>
  <c r="J18" i="14"/>
  <c r="J21" i="14"/>
  <c r="L126" i="3"/>
  <c r="M124" i="3"/>
  <c r="M126" i="3"/>
  <c r="K71" i="18"/>
  <c r="K77" i="18"/>
  <c r="K93" i="18"/>
  <c r="K72" i="18"/>
  <c r="K94" i="18"/>
  <c r="L67" i="18"/>
  <c r="K75" i="18"/>
  <c r="K91" i="18"/>
  <c r="K68" i="18"/>
  <c r="K69" i="18"/>
  <c r="K97" i="18"/>
  <c r="F18" i="14"/>
  <c r="F21" i="14"/>
  <c r="F22" i="14"/>
  <c r="I61" i="18"/>
  <c r="I94" i="18"/>
  <c r="L80" i="3"/>
  <c r="J79" i="18"/>
  <c r="J85" i="18"/>
  <c r="E84" i="16"/>
  <c r="L51" i="17"/>
  <c r="F84" i="16"/>
  <c r="N58" i="17"/>
  <c r="N62" i="17"/>
  <c r="L62" i="17"/>
  <c r="L27" i="17"/>
  <c r="E83" i="16"/>
  <c r="F83" i="16"/>
  <c r="E91" i="16"/>
  <c r="F91" i="16"/>
  <c r="L39" i="18"/>
  <c r="L27" i="18"/>
  <c r="L40" i="18"/>
  <c r="L75" i="18"/>
  <c r="L91" i="18"/>
  <c r="M67" i="18"/>
  <c r="L68" i="18"/>
  <c r="L69" i="18"/>
  <c r="L77" i="18"/>
  <c r="L93" i="18"/>
  <c r="L72" i="18"/>
  <c r="L71" i="18"/>
  <c r="L97" i="18"/>
  <c r="L94" i="18"/>
  <c r="H27" i="14"/>
  <c r="H22" i="14"/>
  <c r="I22" i="14"/>
  <c r="I27" i="14"/>
  <c r="K73" i="18"/>
  <c r="K79" i="18"/>
  <c r="K85" i="18"/>
  <c r="M80" i="3"/>
  <c r="J27" i="14"/>
  <c r="J22" i="14"/>
  <c r="G27" i="14"/>
  <c r="G22" i="14"/>
  <c r="N27" i="17"/>
  <c r="N32" i="17"/>
  <c r="L32" i="17"/>
  <c r="N51" i="17"/>
  <c r="F27" i="16"/>
  <c r="L52" i="17"/>
  <c r="N52" i="17"/>
  <c r="F78" i="16"/>
  <c r="F81" i="16"/>
  <c r="E78" i="16"/>
  <c r="E81" i="16"/>
  <c r="L38" i="17"/>
  <c r="N38" i="17"/>
  <c r="F25" i="16"/>
  <c r="L29" i="18"/>
  <c r="L28" i="18"/>
  <c r="F28" i="16"/>
  <c r="L37" i="17"/>
  <c r="N37" i="17"/>
  <c r="N40" i="17"/>
  <c r="O16" i="14"/>
  <c r="O17" i="14"/>
  <c r="O21" i="14"/>
  <c r="O23" i="14"/>
  <c r="O25" i="14"/>
  <c r="O19" i="14"/>
  <c r="M71" i="18"/>
  <c r="M97" i="18"/>
  <c r="M75" i="18"/>
  <c r="M91" i="18"/>
  <c r="M77" i="18"/>
  <c r="M93" i="18"/>
  <c r="M68" i="18"/>
  <c r="M69" i="18"/>
  <c r="M72" i="18"/>
  <c r="M94" i="18"/>
  <c r="L73" i="18"/>
  <c r="L79" i="18"/>
  <c r="L85" i="18"/>
  <c r="N54" i="17"/>
  <c r="N64" i="17"/>
  <c r="L40" i="17"/>
  <c r="L54" i="17"/>
  <c r="L64" i="17"/>
  <c r="F37" i="18"/>
  <c r="I115" i="18"/>
  <c r="I116" i="18"/>
  <c r="I120" i="18"/>
  <c r="F38" i="18"/>
  <c r="C41" i="14"/>
  <c r="C31" i="14"/>
  <c r="M73" i="18"/>
  <c r="M79" i="18"/>
  <c r="M85" i="18"/>
  <c r="M133" i="18"/>
  <c r="M135" i="18"/>
  <c r="F39" i="18"/>
  <c r="H136" i="18"/>
  <c r="I121" i="18"/>
  <c r="I123" i="18"/>
  <c r="J120" i="18"/>
  <c r="J121" i="18"/>
  <c r="J123" i="18"/>
  <c r="K120" i="18"/>
  <c r="F40" i="18"/>
  <c r="K121" i="18"/>
  <c r="K123" i="18"/>
  <c r="L120" i="18"/>
  <c r="L121" i="18"/>
  <c r="L123" i="18"/>
  <c r="M120" i="18"/>
  <c r="M121" i="18"/>
  <c r="M123" i="18"/>
  <c r="I30" i="3"/>
  <c r="J30" i="3"/>
  <c r="K30" i="3"/>
  <c r="L30" i="3"/>
  <c r="M30" i="3"/>
  <c r="I31" i="3"/>
  <c r="J31" i="3"/>
  <c r="K31" i="3"/>
  <c r="L31" i="3"/>
  <c r="M31" i="3"/>
  <c r="I32" i="3"/>
  <c r="J32" i="3"/>
  <c r="K32" i="3"/>
  <c r="L32" i="3"/>
  <c r="M32" i="3"/>
  <c r="I79" i="3"/>
  <c r="J79" i="3"/>
  <c r="K79" i="3"/>
  <c r="L79" i="3"/>
  <c r="M79" i="3"/>
  <c r="I82" i="3"/>
  <c r="J82" i="3"/>
  <c r="K82" i="3"/>
  <c r="L82" i="3"/>
  <c r="M82" i="3"/>
  <c r="I83" i="3"/>
  <c r="J83" i="3"/>
  <c r="K83" i="3"/>
  <c r="L83" i="3"/>
  <c r="M83" i="3"/>
  <c r="I85" i="3"/>
  <c r="J85" i="3"/>
  <c r="K85" i="3"/>
  <c r="L85" i="3"/>
  <c r="M85" i="3"/>
  <c r="I87" i="3"/>
  <c r="J87" i="3"/>
  <c r="K87" i="3"/>
  <c r="L87" i="3"/>
  <c r="M87" i="3"/>
  <c r="I92" i="3"/>
  <c r="J92" i="3"/>
  <c r="K92" i="3"/>
  <c r="L92" i="3"/>
  <c r="M92" i="3"/>
  <c r="I93" i="3"/>
  <c r="J93" i="3"/>
  <c r="K93" i="3"/>
  <c r="L93" i="3"/>
  <c r="M93" i="3"/>
  <c r="I99" i="3"/>
  <c r="J99" i="3"/>
  <c r="K99" i="3"/>
  <c r="L99" i="3"/>
  <c r="M99" i="3"/>
  <c r="I105" i="3"/>
  <c r="J105" i="3"/>
  <c r="K105" i="3"/>
  <c r="L105" i="3"/>
  <c r="M105" i="3"/>
  <c r="I113" i="3"/>
  <c r="J113" i="3"/>
  <c r="K113" i="3"/>
  <c r="L113" i="3"/>
  <c r="M113" i="3"/>
  <c r="I132" i="3"/>
  <c r="J132" i="3"/>
  <c r="K132" i="3"/>
  <c r="L132" i="3"/>
  <c r="M132" i="3"/>
  <c r="I134" i="3"/>
  <c r="J134" i="3"/>
  <c r="K134" i="3"/>
  <c r="L134" i="3"/>
  <c r="M134" i="3"/>
  <c r="I136" i="3"/>
  <c r="J136" i="3"/>
  <c r="K136" i="3"/>
  <c r="L136" i="3"/>
  <c r="M136" i="3"/>
  <c r="I138" i="3"/>
  <c r="J138" i="3"/>
  <c r="K138" i="3"/>
  <c r="L138" i="3"/>
  <c r="M138" i="3"/>
  <c r="I143" i="3"/>
  <c r="J143" i="3"/>
  <c r="K143" i="3"/>
  <c r="L143" i="3"/>
  <c r="M143" i="3"/>
  <c r="I157" i="3"/>
  <c r="J157" i="3"/>
  <c r="K157" i="3"/>
  <c r="L157" i="3"/>
  <c r="M157" i="3"/>
  <c r="I177" i="3"/>
  <c r="J177" i="3"/>
  <c r="K177" i="3"/>
  <c r="L177" i="3"/>
  <c r="M177" i="3"/>
  <c r="I178" i="3"/>
  <c r="J178" i="3"/>
  <c r="K178" i="3"/>
  <c r="L178" i="3"/>
  <c r="M178" i="3"/>
  <c r="I80" i="18"/>
  <c r="J80" i="18"/>
  <c r="K80" i="18"/>
  <c r="L80" i="18"/>
  <c r="M80" i="18"/>
  <c r="I81" i="18"/>
  <c r="J81" i="18"/>
  <c r="K81" i="18"/>
  <c r="L81" i="18"/>
  <c r="M81" i="18"/>
  <c r="I82" i="18"/>
  <c r="J82" i="18"/>
  <c r="K82" i="18"/>
  <c r="L82" i="18"/>
  <c r="M82" i="18"/>
  <c r="I84" i="18"/>
  <c r="J84" i="18"/>
  <c r="K84" i="18"/>
  <c r="L84" i="18"/>
  <c r="M84" i="18"/>
  <c r="I90" i="18"/>
  <c r="J90" i="18"/>
  <c r="K90" i="18"/>
  <c r="L90" i="18"/>
  <c r="M90" i="18"/>
  <c r="I95" i="18"/>
  <c r="J95" i="18"/>
  <c r="K95" i="18"/>
  <c r="L95" i="18"/>
  <c r="M95" i="18"/>
  <c r="I99" i="18"/>
  <c r="J99" i="18"/>
  <c r="K99" i="18"/>
  <c r="L99" i="18"/>
  <c r="M99" i="18"/>
  <c r="J101" i="18"/>
  <c r="K101" i="18"/>
  <c r="L101" i="18"/>
  <c r="M101" i="18"/>
  <c r="I102" i="18"/>
  <c r="J102" i="18"/>
  <c r="K102" i="18"/>
  <c r="L102" i="18"/>
  <c r="M102" i="18"/>
  <c r="I105" i="18"/>
  <c r="J105" i="18"/>
  <c r="K105" i="18"/>
  <c r="L105" i="18"/>
  <c r="M105" i="18"/>
  <c r="I106" i="18"/>
  <c r="J106" i="18"/>
  <c r="K106" i="18"/>
  <c r="L106" i="18"/>
  <c r="M106" i="18"/>
  <c r="J108" i="18"/>
  <c r="K108" i="18"/>
  <c r="L108" i="18"/>
  <c r="M108" i="18"/>
  <c r="I109" i="18"/>
  <c r="J109" i="18"/>
  <c r="K109" i="18"/>
  <c r="L109" i="18"/>
  <c r="M109" i="18"/>
  <c r="I110" i="18"/>
  <c r="J110" i="18"/>
  <c r="K110" i="18"/>
  <c r="L110" i="18"/>
  <c r="M110" i="18"/>
  <c r="J115" i="18"/>
  <c r="K115" i="18"/>
  <c r="L115" i="18"/>
  <c r="M115" i="18"/>
  <c r="J116" i="18"/>
  <c r="K116" i="18"/>
  <c r="L116" i="18"/>
  <c r="M116" i="18"/>
  <c r="I117" i="18"/>
  <c r="J117" i="18"/>
  <c r="K117" i="18"/>
  <c r="L117" i="18"/>
  <c r="M117" i="18"/>
  <c r="I118" i="18"/>
  <c r="J118" i="18"/>
  <c r="K118" i="18"/>
  <c r="L118" i="18"/>
  <c r="M118" i="18"/>
  <c r="I125" i="18"/>
  <c r="J125" i="18"/>
  <c r="K125" i="18"/>
  <c r="L125" i="18"/>
  <c r="M125" i="18"/>
  <c r="I126" i="18"/>
  <c r="J126" i="18"/>
  <c r="K126" i="18"/>
  <c r="L126" i="18"/>
  <c r="M126" i="18"/>
  <c r="I128" i="18"/>
  <c r="J128" i="18"/>
  <c r="K128" i="18"/>
  <c r="L128" i="18"/>
  <c r="M128" i="18"/>
  <c r="M136" i="18"/>
  <c r="H138" i="18"/>
  <c r="D143" i="18"/>
  <c r="D158" i="18"/>
  <c r="E54" i="16"/>
  <c r="F54" i="16"/>
  <c r="E55" i="16"/>
  <c r="F55" i="16"/>
  <c r="E56" i="16"/>
  <c r="F56" i="16"/>
  <c r="E58" i="16"/>
  <c r="F58" i="16"/>
  <c r="E60" i="16"/>
  <c r="F60" i="16"/>
  <c r="E82" i="16"/>
  <c r="F82" i="16"/>
  <c r="E85" i="16"/>
  <c r="F85" i="16"/>
  <c r="E86" i="16"/>
  <c r="F86" i="16"/>
  <c r="E88" i="16"/>
  <c r="F88" i="16"/>
  <c r="E90" i="16"/>
  <c r="F90" i="16"/>
  <c r="E93" i="16"/>
  <c r="F93" i="16"/>
  <c r="E94" i="16"/>
  <c r="F94" i="16"/>
  <c r="C99" i="16"/>
  <c r="C114" i="16"/>
  <c r="Q20" i="12"/>
  <c r="Q37" i="12"/>
  <c r="H17" i="4"/>
  <c r="I17" i="4"/>
  <c r="J17" i="4"/>
  <c r="K17" i="4"/>
  <c r="L17" i="4"/>
  <c r="M17" i="4"/>
  <c r="G33" i="11"/>
  <c r="H33" i="11"/>
  <c r="I33" i="11"/>
  <c r="J33" i="11"/>
  <c r="K33" i="11"/>
  <c r="L33" i="11"/>
  <c r="M33" i="11"/>
  <c r="N33" i="11"/>
  <c r="O33" i="11"/>
  <c r="P33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E6" authorId="0" shapeId="0" xr:uid="{96C9DDDE-6A1D-42B2-A738-76E62ED67D01}">
      <text>
        <r>
          <rPr>
            <b/>
            <sz val="8"/>
            <color indexed="81"/>
            <rFont val="Tahoma"/>
            <family val="2"/>
          </rPr>
          <t>BIWS:</t>
        </r>
        <r>
          <rPr>
            <sz val="8"/>
            <color indexed="81"/>
            <rFont val="Tahoma"/>
            <family val="2"/>
          </rPr>
          <t xml:space="preserve">
Daily 20-year Treasury rate from http://www.ustreas.gov/offices/domestic-finance/debt-management/interest-rate/ltcompositeindex_historical.shtml</t>
        </r>
      </text>
    </comment>
    <comment ref="E7" authorId="0" shapeId="0" xr:uid="{667FB86B-1CD4-48F9-9529-F4470DE3E18B}">
      <text>
        <r>
          <rPr>
            <b/>
            <sz val="8"/>
            <color indexed="81"/>
            <rFont val="Tahoma"/>
            <family val="2"/>
          </rPr>
          <t>BIWS:</t>
        </r>
        <r>
          <rPr>
            <sz val="8"/>
            <color indexed="81"/>
            <rFont val="Tahoma"/>
            <family val="2"/>
          </rPr>
          <t xml:space="preserve">
Picked from middle of standard range of 3% - 10%.</t>
        </r>
      </text>
    </comment>
  </commentList>
</comments>
</file>

<file path=xl/sharedStrings.xml><?xml version="1.0" encoding="utf-8"?>
<sst xmlns="http://schemas.openxmlformats.org/spreadsheetml/2006/main" count="688" uniqueCount="389">
  <si>
    <t>Gross Profit:</t>
  </si>
  <si>
    <t>Operating Expenses:</t>
  </si>
  <si>
    <t>Total Operating Expenses:</t>
  </si>
  <si>
    <t>Operating Income:</t>
  </si>
  <si>
    <t>Pre-Tax Income:</t>
  </si>
  <si>
    <t>Income Tax Provision:</t>
  </si>
  <si>
    <t>Current Assets:</t>
  </si>
  <si>
    <t>Total Current Assets:</t>
  </si>
  <si>
    <t>Goodwill:</t>
  </si>
  <si>
    <t>Total Assets:</t>
  </si>
  <si>
    <t>Net Income:</t>
  </si>
  <si>
    <t>Cash &amp; Cash-Equivalents:</t>
  </si>
  <si>
    <t>Diluted Shares Outstanding:</t>
  </si>
  <si>
    <t>Research &amp; Development:</t>
  </si>
  <si>
    <t>Inventory:</t>
  </si>
  <si>
    <t>Other Current Assets:</t>
  </si>
  <si>
    <t>Total Liabilities &amp; SE:</t>
  </si>
  <si>
    <t>Other Income &amp; Expense:</t>
  </si>
  <si>
    <t>Income Statement</t>
  </si>
  <si>
    <t>Balance Sheet</t>
  </si>
  <si>
    <t>Short-Term Securities:</t>
  </si>
  <si>
    <t>Accounts Receivable:</t>
  </si>
  <si>
    <t>Deferred Tax Assets:</t>
  </si>
  <si>
    <t>Long-Term Securities:</t>
  </si>
  <si>
    <t>Other Assets:</t>
  </si>
  <si>
    <t>Long-Term Assets:</t>
  </si>
  <si>
    <t>Assets:</t>
  </si>
  <si>
    <t>Liabilities &amp; Shareholders' Equity:</t>
  </si>
  <si>
    <t>Current Liabilities:</t>
  </si>
  <si>
    <t>Accounts Payable:</t>
  </si>
  <si>
    <t>Accrued Expenses:</t>
  </si>
  <si>
    <t>Deferred Revenue:</t>
  </si>
  <si>
    <t>Total Current Liabilities:</t>
  </si>
  <si>
    <t>Long-Term Liabilities:</t>
  </si>
  <si>
    <t>Other Long-Term Liabilities:</t>
  </si>
  <si>
    <t>Total Liabilities:</t>
  </si>
  <si>
    <t>Shareholders' Equity:</t>
  </si>
  <si>
    <t>Common Stock:</t>
  </si>
  <si>
    <t>Additional Paid-In Capital:</t>
  </si>
  <si>
    <t>Treasury Stock:</t>
  </si>
  <si>
    <t>Retained Earnings:</t>
  </si>
  <si>
    <t>Total Shareholders' Equity:</t>
  </si>
  <si>
    <t>Cash Flow Statement</t>
  </si>
  <si>
    <t>Operating Activities:</t>
  </si>
  <si>
    <t>Stock-Based Compensation:</t>
  </si>
  <si>
    <t>Deferred Income Tax Expense:</t>
  </si>
  <si>
    <t>Loss on PP&amp;E:</t>
  </si>
  <si>
    <t>Changes in Operating Assets &amp; Liabilities:</t>
  </si>
  <si>
    <t>Other Liabilities:</t>
  </si>
  <si>
    <t>Cash Flow from Operations:</t>
  </si>
  <si>
    <t>Investing Activities:</t>
  </si>
  <si>
    <t>Purchases of Securities:</t>
  </si>
  <si>
    <t>Proceeds from Maturities &amp; Sales:</t>
  </si>
  <si>
    <t>Purchases of LT Investments:</t>
  </si>
  <si>
    <t>Capital Expenditures:</t>
  </si>
  <si>
    <t>Acquisition of Intangibles:</t>
  </si>
  <si>
    <t>Other:</t>
  </si>
  <si>
    <t>Cash Flow from Investing:</t>
  </si>
  <si>
    <t>Financing Activities:</t>
  </si>
  <si>
    <t>Proceeds from Common Stock:</t>
  </si>
  <si>
    <t>Tax Benefits from Stock-Based Comp:</t>
  </si>
  <si>
    <t>Cash Used for Equity Awards:</t>
  </si>
  <si>
    <t>Cash Flow from Financing:</t>
  </si>
  <si>
    <t>Increase / Decrease in Cash:</t>
  </si>
  <si>
    <t>Cash &amp; Cash Equivalents:</t>
  </si>
  <si>
    <t>Operating Assumptions</t>
  </si>
  <si>
    <t>Company Name:</t>
  </si>
  <si>
    <t>Apple Inc.</t>
  </si>
  <si>
    <t>Last Historical Year:</t>
  </si>
  <si>
    <t>COGS % Revenue:</t>
  </si>
  <si>
    <t>Revenue:</t>
  </si>
  <si>
    <t>Cost of Goods Sold:</t>
  </si>
  <si>
    <t>Selling, General &amp; Administrative:</t>
  </si>
  <si>
    <t>R&amp;D % Revenue:</t>
  </si>
  <si>
    <t>SG&amp;A % Revenue:</t>
  </si>
  <si>
    <t>Debt Issue Date:</t>
  </si>
  <si>
    <t>Debt Interest Rate:</t>
  </si>
  <si>
    <t>Accounts Receivable % Revenue:</t>
  </si>
  <si>
    <t>Accounts Receivable Days:</t>
  </si>
  <si>
    <t>Days in Year:</t>
  </si>
  <si>
    <t>Projections</t>
  </si>
  <si>
    <t>Historical</t>
  </si>
  <si>
    <t>Inventory % COGS:</t>
  </si>
  <si>
    <t>Accounts Payable % COGS:</t>
  </si>
  <si>
    <t>Accounts Payable Days:</t>
  </si>
  <si>
    <t>Accrued Expenses % Operating Expenses:</t>
  </si>
  <si>
    <t>Short-Term Deferred Revenue % Revenue:</t>
  </si>
  <si>
    <t>Long-Term Deferred Revenue % Revenue:</t>
  </si>
  <si>
    <t>Stock-Based Compensation % Revenue:</t>
  </si>
  <si>
    <t>CapEx % Revenue:</t>
  </si>
  <si>
    <t>Interest Income:</t>
  </si>
  <si>
    <t>Interest Expense:</t>
  </si>
  <si>
    <t>Effective Cash Interest Rate:</t>
  </si>
  <si>
    <t>Effective Tax Rate:</t>
  </si>
  <si>
    <t>Long-Term Debt:</t>
  </si>
  <si>
    <t>Raise / (Pay Off) Long-Term Debt</t>
  </si>
  <si>
    <t>Amortization of Intangibles:</t>
  </si>
  <si>
    <t>Plants, Property &amp; Equipment:</t>
  </si>
  <si>
    <t>Depreciation &amp; Amortization of PP&amp;E:</t>
  </si>
  <si>
    <t>Debt Amount:</t>
  </si>
  <si>
    <t>BALANCE CHECK:</t>
  </si>
  <si>
    <t>Depreciation &amp; Amortization % Revenue:</t>
  </si>
  <si>
    <t>Revenue Growth %:</t>
  </si>
  <si>
    <t>($ in Millions, Except Per Share Amounts in Dollars and Share Counts in Thousands)</t>
  </si>
  <si>
    <t>Dividends Issued:</t>
  </si>
  <si>
    <t>Common Stock Repurchased:</t>
  </si>
  <si>
    <t>Other Intangible Assets:</t>
  </si>
  <si>
    <t>Accumulated Other Comprehensive Income:</t>
  </si>
  <si>
    <t>Assumptions &amp; Valuation Overview</t>
  </si>
  <si>
    <t>Basic Shares Outstanding:</t>
  </si>
  <si>
    <t>Basic Equity Value:</t>
  </si>
  <si>
    <t>EBIT:</t>
  </si>
  <si>
    <t>EBITDA:</t>
  </si>
  <si>
    <t>Diluted Equity Value:</t>
  </si>
  <si>
    <t>Earnings Per Share (EPS):</t>
  </si>
  <si>
    <t>Share Price:</t>
  </si>
  <si>
    <t>Valuation Date:</t>
  </si>
  <si>
    <t>Plus: Debt</t>
  </si>
  <si>
    <t>Plus: Minority Interest</t>
  </si>
  <si>
    <t>Plus: Preferred Stock</t>
  </si>
  <si>
    <t>Enterprise Value:</t>
  </si>
  <si>
    <t>EV / Revenue:</t>
  </si>
  <si>
    <t>EV / EBIT:</t>
  </si>
  <si>
    <t>EV / EBITDA:</t>
  </si>
  <si>
    <t>Equity Value / FCF:</t>
  </si>
  <si>
    <t>P / E:</t>
  </si>
  <si>
    <t>P / BV:</t>
  </si>
  <si>
    <t>Number</t>
  </si>
  <si>
    <t>Exercise</t>
  </si>
  <si>
    <t>Price</t>
  </si>
  <si>
    <t>Dilution</t>
  </si>
  <si>
    <t>Name</t>
  </si>
  <si>
    <t>Tranche A</t>
  </si>
  <si>
    <t>Tranche B</t>
  </si>
  <si>
    <t>Tranche C</t>
  </si>
  <si>
    <t>Total</t>
  </si>
  <si>
    <t>Tranche D</t>
  </si>
  <si>
    <t>Tranche E</t>
  </si>
  <si>
    <t>Book Value Per Share (BV):</t>
  </si>
  <si>
    <t>Plus: Other Liabilities</t>
  </si>
  <si>
    <t>Less: Cash &amp; Investments</t>
  </si>
  <si>
    <t>Levered Free Cash Flow:</t>
  </si>
  <si>
    <t>25th</t>
  </si>
  <si>
    <t>75th</t>
  </si>
  <si>
    <t>Applicable</t>
  </si>
  <si>
    <t>Minimum</t>
  </si>
  <si>
    <t>Pecentile</t>
  </si>
  <si>
    <t>Median</t>
  </si>
  <si>
    <t>Maximum</t>
  </si>
  <si>
    <t>Methodology Name</t>
  </si>
  <si>
    <t>Multiple</t>
  </si>
  <si>
    <t>Figure</t>
  </si>
  <si>
    <t>Public Company Comparables:</t>
  </si>
  <si>
    <t>Precedent Transactions:</t>
  </si>
  <si>
    <t>Discounted Cash Flow Analysis:</t>
  </si>
  <si>
    <t>Min.</t>
  </si>
  <si>
    <t>Max</t>
  </si>
  <si>
    <t>Min Point</t>
  </si>
  <si>
    <t>25 Point</t>
  </si>
  <si>
    <t>Med Point</t>
  </si>
  <si>
    <t>75 Point</t>
  </si>
  <si>
    <t>Max Point</t>
  </si>
  <si>
    <t>Share Units:</t>
  </si>
  <si>
    <t>Tax Rate:</t>
  </si>
  <si>
    <t>Options Calculations (in Thousands Except Exercise Price):</t>
  </si>
  <si>
    <t>Networking &amp; Hardware M&amp;A Transactions Over $1 Billion with US-Based Sellers Since 1/1/2008</t>
  </si>
  <si>
    <t>Operating Statistics</t>
  </si>
  <si>
    <t>Capitalization</t>
  </si>
  <si>
    <t>Projected</t>
  </si>
  <si>
    <t>Share</t>
  </si>
  <si>
    <t>Diluted</t>
  </si>
  <si>
    <t>Equity</t>
  </si>
  <si>
    <t>Preferred</t>
  </si>
  <si>
    <t>Minority</t>
  </si>
  <si>
    <t>Other</t>
  </si>
  <si>
    <t>Enterprise</t>
  </si>
  <si>
    <t>Revenue</t>
  </si>
  <si>
    <t>EBITDA</t>
  </si>
  <si>
    <t>EPS</t>
  </si>
  <si>
    <t>EBITDA Margin</t>
  </si>
  <si>
    <t>Company Name</t>
  </si>
  <si>
    <t>Shares</t>
  </si>
  <si>
    <t>Value</t>
  </si>
  <si>
    <t>Cash</t>
  </si>
  <si>
    <t>Debt</t>
  </si>
  <si>
    <t>Stock</t>
  </si>
  <si>
    <t>Interest</t>
  </si>
  <si>
    <t>Liabilities</t>
  </si>
  <si>
    <t>Growth</t>
  </si>
  <si>
    <t>75th Percentile</t>
  </si>
  <si>
    <t>25th Percentile</t>
  </si>
  <si>
    <t>Hewlett-Packard Company</t>
  </si>
  <si>
    <t>Dell Inc.</t>
  </si>
  <si>
    <t>Cisco Systems, Inc.</t>
  </si>
  <si>
    <t>Intel Corporation</t>
  </si>
  <si>
    <t>Motorola, Inc.</t>
  </si>
  <si>
    <t>Valuation Statistics</t>
  </si>
  <si>
    <t xml:space="preserve">Enterprise Value / </t>
  </si>
  <si>
    <t>P / E Multiple</t>
  </si>
  <si>
    <t>Operating Metrics</t>
  </si>
  <si>
    <t>Valuation Multiples</t>
  </si>
  <si>
    <t xml:space="preserve">EV / </t>
  </si>
  <si>
    <t>Trailing</t>
  </si>
  <si>
    <t>Forward</t>
  </si>
  <si>
    <t>Acquirer Name</t>
  </si>
  <si>
    <t>Target Name</t>
  </si>
  <si>
    <t>Date</t>
  </si>
  <si>
    <t>3Com</t>
  </si>
  <si>
    <t>Starent Networks</t>
  </si>
  <si>
    <t>Emerson Electric Co.</t>
  </si>
  <si>
    <t>Avocent</t>
  </si>
  <si>
    <t>EMC Corporation</t>
  </si>
  <si>
    <t>Data Domain</t>
  </si>
  <si>
    <t>Oracle Corporation</t>
  </si>
  <si>
    <t>Sun Microsystems</t>
  </si>
  <si>
    <t>Brocade Communication Systems, Inc.</t>
  </si>
  <si>
    <t>Foundry Networks</t>
  </si>
  <si>
    <t>Less: Taxes</t>
  </si>
  <si>
    <t>Plus: Depreciation</t>
  </si>
  <si>
    <t>Plus: Amortization</t>
  </si>
  <si>
    <t>Plus: Stock-Based Compensation</t>
  </si>
  <si>
    <t>Less: Capital Expenditures</t>
  </si>
  <si>
    <t>Unlevered Free Cash Flow</t>
  </si>
  <si>
    <t>Present Value of Free Cash Flow</t>
  </si>
  <si>
    <t>Normal Discount Period:</t>
  </si>
  <si>
    <t>Mid-Year Discount:</t>
  </si>
  <si>
    <t>Free Cash Flow Growth Rate:</t>
  </si>
  <si>
    <t>Use Multiples Method?</t>
  </si>
  <si>
    <t>Discount Rate:</t>
  </si>
  <si>
    <t>Terminal EBITDA Multiple:</t>
  </si>
  <si>
    <t>Terminal Growth Rate:</t>
  </si>
  <si>
    <t>Terminal Value:</t>
  </si>
  <si>
    <t>PV of Terminal Value:</t>
  </si>
  <si>
    <t>Sum of PV of Cash Flows:</t>
  </si>
  <si>
    <t>Terminal Value % EV:</t>
  </si>
  <si>
    <t>Balance Sheet Adjustment:</t>
  </si>
  <si>
    <t>Implied Equity Value:</t>
  </si>
  <si>
    <t>Implied Price Per Share:</t>
  </si>
  <si>
    <t>Discount Rate</t>
  </si>
  <si>
    <t>Terminal Growth Rate</t>
  </si>
  <si>
    <t>Terminal EBITDA Multiple</t>
  </si>
  <si>
    <t>Discount Rate Calculation - Assumptions</t>
  </si>
  <si>
    <t>Risk-Free Rate:</t>
  </si>
  <si>
    <t>Equity Risk Premium:</t>
  </si>
  <si>
    <t>Interest Rate on Debt:</t>
  </si>
  <si>
    <t>Comparable Companies - Unlevered Beta Calculation</t>
  </si>
  <si>
    <t>Levered</t>
  </si>
  <si>
    <t>Unlevered</t>
  </si>
  <si>
    <t>Beta</t>
  </si>
  <si>
    <t>Tax Rate</t>
  </si>
  <si>
    <t>Cost of Equity Based on Comparables:</t>
  </si>
  <si>
    <t>Cost of Equity Based on Historical Beta:</t>
  </si>
  <si>
    <t>WACC = Cost of Equity * % Equity + Cost of Debt * % Debt * (1 - Tax Rate) + Cost of Preferred Stock * % Preferred Stock</t>
  </si>
  <si>
    <t>WACC</t>
  </si>
  <si>
    <t>Less: Increase in Working Capital:</t>
  </si>
  <si>
    <t>Trailing EV / Revenue:</t>
  </si>
  <si>
    <t>Trailing EV / EBITDA:</t>
  </si>
  <si>
    <t>Forward EV / Revenue:</t>
  </si>
  <si>
    <t>Forward EV / EBITDA:</t>
  </si>
  <si>
    <t>11-15% Discount Rate, 5-9x Terminal Multiple:</t>
  </si>
  <si>
    <t>Transaction Assumptions</t>
  </si>
  <si>
    <t>Per Share Purchase Price:</t>
  </si>
  <si>
    <t>Equity Purchase Price:</t>
  </si>
  <si>
    <t>% Cash:</t>
  </si>
  <si>
    <t>% Debt:</t>
  </si>
  <si>
    <t>% Stock:</t>
  </si>
  <si>
    <t>Foregone Cash Interest Rate:</t>
  </si>
  <si>
    <t>New Shares Issued:</t>
  </si>
  <si>
    <t>Buyer - Financial Profile</t>
  </si>
  <si>
    <t>Seller - Financial Profile</t>
  </si>
  <si>
    <t>Balance Sheets - Buyer, Seller &amp; Combined</t>
  </si>
  <si>
    <t>Buyer</t>
  </si>
  <si>
    <t>Seller</t>
  </si>
  <si>
    <t>Combined</t>
  </si>
  <si>
    <t>Adjustments</t>
  </si>
  <si>
    <t>Buyer Name:</t>
  </si>
  <si>
    <t>Seller Name:</t>
  </si>
  <si>
    <t>Research in Motion Limited</t>
  </si>
  <si>
    <t>Offer Price Per Share:</t>
  </si>
  <si>
    <t>Options Calculations - Current Price:</t>
  </si>
  <si>
    <t>Options Calculations - Purchase Price:</t>
  </si>
  <si>
    <t>Current Share Price:</t>
  </si>
  <si>
    <t>Deferred Income Tax Liability:</t>
  </si>
  <si>
    <t>Cash Used:</t>
  </si>
  <si>
    <t>Debt Issued:</t>
  </si>
  <si>
    <t>Diluted Share &amp; Enterprise Value Calculations - Seller</t>
  </si>
  <si>
    <t>Cash &amp; Short-Term Securities:</t>
  </si>
  <si>
    <t>Purchase Price:</t>
  </si>
  <si>
    <t>Buyer - Income Statement</t>
  </si>
  <si>
    <t>Seller - Income Statement</t>
  </si>
  <si>
    <t>Depreciation of PP&amp;E:</t>
  </si>
  <si>
    <t>Interest Income / (Expense):</t>
  </si>
  <si>
    <t>Combined Income Statement</t>
  </si>
  <si>
    <t>Combined Revenue:</t>
  </si>
  <si>
    <t>Interest Income  / (Expense):</t>
  </si>
  <si>
    <t>Foregone Interest on Cash:</t>
  </si>
  <si>
    <t>Interest Paid on New Debt:</t>
  </si>
  <si>
    <t>Accretion / Dilution:</t>
  </si>
  <si>
    <t>Accretion / Dilution %:</t>
  </si>
  <si>
    <t>Revenue Synergy %:</t>
  </si>
  <si>
    <t>Revenue Synergy COGS %:</t>
  </si>
  <si>
    <t>Revenue Synergies:</t>
  </si>
  <si>
    <t>Revenue Synergy COGS:</t>
  </si>
  <si>
    <t>Cost Synergies % OpEx:</t>
  </si>
  <si>
    <t>OpEx Synergies:</t>
  </si>
  <si>
    <t>Goodwill Creation &amp; Balance Sheet Adjustments</t>
  </si>
  <si>
    <t>Goodwill Calculation:</t>
  </si>
  <si>
    <t>Less: Seller Book Value:</t>
  </si>
  <si>
    <t>Plus: Write-Off of Existing Goodwill:</t>
  </si>
  <si>
    <t>Total Allocable Purchase Premium:</t>
  </si>
  <si>
    <t>Less: Write-Up of PP&amp;E:</t>
  </si>
  <si>
    <t>Less: Write-Up of Intangibles:</t>
  </si>
  <si>
    <t>Less: Write-Down of DTL:</t>
  </si>
  <si>
    <t>Plus: New Deferred Tax Liability:</t>
  </si>
  <si>
    <t>Total Goodwill Created:</t>
  </si>
  <si>
    <t>Fixed Asset Write-Up:</t>
  </si>
  <si>
    <t>PP&amp;E Write-Up %:</t>
  </si>
  <si>
    <t>PP&amp;E Write-Up Amount:</t>
  </si>
  <si>
    <t>Depreciation Period (Years):</t>
  </si>
  <si>
    <t>Intangible Asset Write-Up:</t>
  </si>
  <si>
    <t>Purchase Price to Allocate:</t>
  </si>
  <si>
    <t>% Allocated to Intangibles:</t>
  </si>
  <si>
    <t>Intangibles Write-Up Amount:</t>
  </si>
  <si>
    <t>Amortization Period (Years):</t>
  </si>
  <si>
    <t>New Deferred Tax Liability:</t>
  </si>
  <si>
    <t>Depr. of PP&amp;E Write-Up:</t>
  </si>
  <si>
    <t>Amort. of New Intangibles:</t>
  </si>
  <si>
    <t>Sensitivity Analysis - Year 1 EPS Accretion/Dilution and Purchase Price vs. Operating Expense Synergies:</t>
  </si>
  <si>
    <t>Sensitivity Analysis - Year 1 EPS Accretion/Dilution and Purchase Price vs. Revenue Synergies:</t>
  </si>
  <si>
    <t>Per Share Purchase Price</t>
  </si>
  <si>
    <t>Expense Synergies % Seller OpEx:</t>
  </si>
  <si>
    <t>Revenue Synergies % Seller Revenue:</t>
  </si>
  <si>
    <t>Offer Premium:</t>
  </si>
  <si>
    <t>% Equity:</t>
  </si>
  <si>
    <t>Purchase Price Calculations:</t>
  </si>
  <si>
    <t>EBITDA Purchase Multiple:</t>
  </si>
  <si>
    <t>Debt Required:</t>
  </si>
  <si>
    <t>Equity Used:</t>
  </si>
  <si>
    <t>EBITDA Exit Multiple:</t>
  </si>
  <si>
    <t>Advisory Fee %:</t>
  </si>
  <si>
    <t>Financing Fee %:</t>
  </si>
  <si>
    <t>Debt Assumptions</t>
  </si>
  <si>
    <t>Debt %:</t>
  </si>
  <si>
    <t>Bank Debt %:</t>
  </si>
  <si>
    <t>High-Yield Debt %:</t>
  </si>
  <si>
    <t>Bank Debt Interest Rate:</t>
  </si>
  <si>
    <t>High-Yield Debt Interest Rate:</t>
  </si>
  <si>
    <t>Bank Debt:</t>
  </si>
  <si>
    <t>High-Yield Debt:</t>
  </si>
  <si>
    <t>Bank Debt Principal Repayment %:</t>
  </si>
  <si>
    <t>High-Yield Debt Principal Repayment %:</t>
  </si>
  <si>
    <t>Sources &amp; Uses</t>
  </si>
  <si>
    <t>Sources:</t>
  </si>
  <si>
    <t>Investor Equity:</t>
  </si>
  <si>
    <t>Total Sources:</t>
  </si>
  <si>
    <t>Uses:</t>
  </si>
  <si>
    <t>Equity Value of Company:</t>
  </si>
  <si>
    <t>Advisory Fees:</t>
  </si>
  <si>
    <t>Financing Fees:</t>
  </si>
  <si>
    <t>Total Uses:</t>
  </si>
  <si>
    <t>Initial Cash Balance:</t>
  </si>
  <si>
    <t>Minimum Cash Balance:</t>
  </si>
  <si>
    <t>Change in Working Capital % Revenue:</t>
  </si>
  <si>
    <t>Decrease (Increase) in Working Capital:</t>
  </si>
  <si>
    <t>Free Cash Flow:</t>
  </si>
  <si>
    <t>Beginning Cash Balance:</t>
  </si>
  <si>
    <t>Plus: Free Cash Flow:</t>
  </si>
  <si>
    <t>Less: Minimum Cash Balance:</t>
  </si>
  <si>
    <t>Cash Available for Debt Repayment:</t>
  </si>
  <si>
    <t>Cash Used for Debt Repayment:</t>
  </si>
  <si>
    <t>Net Change in Cash:</t>
  </si>
  <si>
    <t>Ending Cash Balance:</t>
  </si>
  <si>
    <t>Debt &amp; Interest Schedules</t>
  </si>
  <si>
    <t>Beginning Bank Debt:</t>
  </si>
  <si>
    <t>Mandatory Repayment:</t>
  </si>
  <si>
    <t>Optional Repayment:</t>
  </si>
  <si>
    <t>Ending Bank Debt:</t>
  </si>
  <si>
    <t>Beginning High-Yield Debt:</t>
  </si>
  <si>
    <t>Ending High-Yield Debt:</t>
  </si>
  <si>
    <t>Interest Paid on Debt:</t>
  </si>
  <si>
    <t>Interest Earned on Cash:</t>
  </si>
  <si>
    <t>Net Interest Income / (Expense):</t>
  </si>
  <si>
    <t>Investor Returns</t>
  </si>
  <si>
    <t>EBITDA Multiple:</t>
  </si>
  <si>
    <t>IRR:</t>
  </si>
  <si>
    <t>Sensitivity Analysis - 5-Year IRR and Purchase Premium vs. Exit Multiple</t>
  </si>
  <si>
    <t>Sensitivity Analysis - 5-Year IRR and Purchase Premium vs. % Debt:</t>
  </si>
  <si>
    <t>Purchase Premium / Per-Share Price</t>
  </si>
  <si>
    <t>Exit Multiple: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</si>
</sst>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&quot;$&quot;#,##0"/>
    <numFmt numFmtId="168" formatCode="0.0%;[Red]\(0.0%\)"/>
    <numFmt numFmtId="169" formatCode="&quot;$&quot;#,##0.000_);[Red]\(&quot;$&quot;#,##0.000\)"/>
    <numFmt numFmtId="181" formatCode="#,##0.0"/>
    <numFmt numFmtId="184" formatCode="_(&quot;$&quot;* #,##0.0_);_(&quot;$&quot;* \(#,##0.0\);_(&quot;$&quot;* &quot;-&quot;?_);_(@_)"/>
    <numFmt numFmtId="185" formatCode="_(* #,##0.0_);_(* \(#,##0.0\);_(* &quot;-&quot;?_);_(@_)"/>
    <numFmt numFmtId="186" formatCode="0.0\ \x"/>
    <numFmt numFmtId="192" formatCode="m/d/yyyy;@"/>
    <numFmt numFmtId="193" formatCode="0.000"/>
    <numFmt numFmtId="194" formatCode="&quot;Yes&quot;;&quot;Yes&quot;;&quot;No&quot;"/>
    <numFmt numFmtId="198" formatCode="0.00%;\(0.00%\)"/>
    <numFmt numFmtId="199" formatCode="0.0%;\(0.0%\)"/>
    <numFmt numFmtId="215" formatCode="_(&quot;$&quot;* #,##0_);[Red]_(&quot;$&quot;* \(#,##0\);_(&quot;$&quot;* &quot;-&quot;_);_(@_)"/>
    <numFmt numFmtId="216" formatCode="_(* #,##0_);[Red]_(* \(#,##0\);_(* &quot;-&quot;_);_(@_)"/>
    <numFmt numFmtId="217" formatCode="_(&quot;$&quot;* #,##0.00_);[Red]_(&quot;$&quot;* \(#,##0.00\);_(&quot;$&quot;* &quot;-&quot;??_);_(@_)"/>
    <numFmt numFmtId="218" formatCode="_(* #,##0.00_);[Red]_(* \(#,##0.00\);_(* &quot;-&quot;??_);_(@_)"/>
  </numFmts>
  <fonts count="29" x14ac:knownFonts="1">
    <font>
      <sz val="11"/>
      <color theme="1"/>
      <name val="Calibri"/>
      <family val="2"/>
      <scheme val="minor"/>
    </font>
    <font>
      <b/>
      <u/>
      <sz val="10"/>
      <color indexed="9"/>
      <name val="Arial"/>
      <family val="2"/>
    </font>
    <font>
      <u/>
      <sz val="10"/>
      <color indexed="9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u/>
      <sz val="11"/>
      <color indexed="9"/>
      <name val="Calibri"/>
      <family val="2"/>
      <scheme val="minor"/>
    </font>
    <font>
      <u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4"/>
      <name val="Calibri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01">
    <xf numFmtId="0" fontId="0" fillId="0" borderId="0" xfId="0"/>
    <xf numFmtId="0" fontId="0" fillId="0" borderId="1" xfId="0" applyBorder="1"/>
    <xf numFmtId="0" fontId="0" fillId="0" borderId="0" xfId="0" applyBorder="1"/>
    <xf numFmtId="0" fontId="9" fillId="0" borderId="1" xfId="0" applyFont="1" applyBorder="1"/>
    <xf numFmtId="0" fontId="9" fillId="0" borderId="2" xfId="0" applyFont="1" applyBorder="1"/>
    <xf numFmtId="0" fontId="0" fillId="0" borderId="0" xfId="0" applyBorder="1" applyAlignment="1">
      <alignment horizontal="centerContinuous"/>
    </xf>
    <xf numFmtId="0" fontId="9" fillId="0" borderId="3" xfId="0" applyFont="1" applyBorder="1"/>
    <xf numFmtId="0" fontId="0" fillId="0" borderId="4" xfId="0" applyBorder="1"/>
    <xf numFmtId="165" fontId="10" fillId="0" borderId="5" xfId="0" applyNumberFormat="1" applyFont="1" applyBorder="1"/>
    <xf numFmtId="165" fontId="10" fillId="0" borderId="4" xfId="0" applyNumberFormat="1" applyFon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  <xf numFmtId="0" fontId="9" fillId="0" borderId="1" xfId="0" applyFont="1" applyBorder="1" applyAlignment="1">
      <alignment horizontal="left" indent="1"/>
    </xf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68" fontId="11" fillId="0" borderId="0" xfId="0" applyNumberFormat="1" applyFont="1" applyBorder="1"/>
    <xf numFmtId="6" fontId="9" fillId="0" borderId="5" xfId="0" applyNumberFormat="1" applyFont="1" applyBorder="1"/>
    <xf numFmtId="8" fontId="9" fillId="0" borderId="5" xfId="0" applyNumberFormat="1" applyFont="1" applyBorder="1"/>
    <xf numFmtId="168" fontId="12" fillId="0" borderId="0" xfId="0" applyNumberFormat="1" applyFont="1" applyBorder="1"/>
    <xf numFmtId="6" fontId="10" fillId="0" borderId="0" xfId="0" applyNumberFormat="1" applyFont="1" applyBorder="1"/>
    <xf numFmtId="6" fontId="13" fillId="0" borderId="0" xfId="0" applyNumberFormat="1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6" fontId="10" fillId="0" borderId="4" xfId="0" applyNumberFormat="1" applyFont="1" applyBorder="1"/>
    <xf numFmtId="5" fontId="13" fillId="0" borderId="0" xfId="0" applyNumberFormat="1" applyFont="1" applyBorder="1"/>
    <xf numFmtId="5" fontId="14" fillId="0" borderId="0" xfId="0" applyNumberFormat="1" applyFont="1" applyBorder="1"/>
    <xf numFmtId="6" fontId="14" fillId="0" borderId="0" xfId="0" applyNumberFormat="1" applyFont="1" applyBorder="1"/>
    <xf numFmtId="6" fontId="9" fillId="0" borderId="0" xfId="0" applyNumberFormat="1" applyFont="1" applyBorder="1"/>
    <xf numFmtId="0" fontId="15" fillId="0" borderId="5" xfId="0" applyFont="1" applyBorder="1" applyAlignment="1">
      <alignment horizontal="center"/>
    </xf>
    <xf numFmtId="168" fontId="12" fillId="0" borderId="1" xfId="0" applyNumberFormat="1" applyFont="1" applyBorder="1"/>
    <xf numFmtId="0" fontId="0" fillId="0" borderId="4" xfId="0" applyBorder="1"/>
    <xf numFmtId="0" fontId="9" fillId="0" borderId="1" xfId="0" applyFont="1" applyBorder="1" applyAlignment="1">
      <alignment horizontal="centerContinuous"/>
    </xf>
    <xf numFmtId="6" fontId="16" fillId="0" borderId="0" xfId="0" applyNumberFormat="1" applyFont="1" applyBorder="1"/>
    <xf numFmtId="0" fontId="9" fillId="0" borderId="0" xfId="0" applyFont="1"/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0" fillId="0" borderId="6" xfId="0" applyFont="1" applyBorder="1"/>
    <xf numFmtId="6" fontId="15" fillId="0" borderId="0" xfId="0" applyNumberFormat="1" applyFont="1" applyBorder="1"/>
    <xf numFmtId="6" fontId="9" fillId="0" borderId="8" xfId="0" applyNumberFormat="1" applyFont="1" applyBorder="1"/>
    <xf numFmtId="165" fontId="15" fillId="0" borderId="4" xfId="0" applyNumberFormat="1" applyFont="1" applyBorder="1"/>
    <xf numFmtId="168" fontId="13" fillId="0" borderId="1" xfId="0" applyNumberFormat="1" applyFont="1" applyBorder="1" applyAlignment="1">
      <alignment horizontal="left" indent="1"/>
    </xf>
    <xf numFmtId="168" fontId="10" fillId="0" borderId="1" xfId="0" applyNumberFormat="1" applyFont="1" applyBorder="1" applyAlignment="1">
      <alignment horizontal="centerContinuous"/>
    </xf>
    <xf numFmtId="168" fontId="17" fillId="0" borderId="0" xfId="0" applyNumberFormat="1" applyFont="1" applyBorder="1" applyAlignment="1">
      <alignment horizontal="centerContinuous"/>
    </xf>
    <xf numFmtId="168" fontId="18" fillId="0" borderId="0" xfId="0" applyNumberFormat="1" applyFont="1" applyBorder="1" applyAlignment="1">
      <alignment horizontal="centerContinuous"/>
    </xf>
    <xf numFmtId="6" fontId="10" fillId="0" borderId="6" xfId="0" applyNumberFormat="1" applyFont="1" applyBorder="1"/>
    <xf numFmtId="0" fontId="9" fillId="0" borderId="0" xfId="0" applyFont="1" applyBorder="1" applyAlignment="1">
      <alignment horizontal="centerContinuous"/>
    </xf>
    <xf numFmtId="0" fontId="9" fillId="0" borderId="0" xfId="0" applyFont="1" applyAlignment="1">
      <alignment horizontal="centerContinuous"/>
    </xf>
    <xf numFmtId="0" fontId="0" fillId="0" borderId="1" xfId="0" applyFont="1" applyBorder="1" applyAlignment="1">
      <alignment horizontal="left"/>
    </xf>
    <xf numFmtId="165" fontId="10" fillId="0" borderId="0" xfId="0" applyNumberFormat="1" applyFont="1" applyBorder="1"/>
    <xf numFmtId="6" fontId="9" fillId="0" borderId="4" xfId="0" applyNumberFormat="1" applyFont="1" applyBorder="1"/>
    <xf numFmtId="8" fontId="9" fillId="0" borderId="0" xfId="0" applyNumberFormat="1" applyFont="1" applyBorder="1" applyAlignment="1">
      <alignment horizontal="centerContinuous"/>
    </xf>
    <xf numFmtId="0" fontId="0" fillId="0" borderId="0" xfId="0" applyFont="1" applyBorder="1"/>
    <xf numFmtId="3" fontId="16" fillId="0" borderId="0" xfId="0" applyNumberFormat="1" applyFont="1" applyBorder="1"/>
    <xf numFmtId="6" fontId="19" fillId="0" borderId="5" xfId="0" applyNumberFormat="1" applyFont="1" applyBorder="1"/>
    <xf numFmtId="6" fontId="20" fillId="0" borderId="5" xfId="0" applyNumberFormat="1" applyFont="1" applyBorder="1"/>
    <xf numFmtId="6" fontId="20" fillId="0" borderId="0" xfId="0" applyNumberFormat="1" applyFont="1" applyBorder="1"/>
    <xf numFmtId="4" fontId="15" fillId="0" borderId="0" xfId="0" applyNumberFormat="1" applyFont="1" applyBorder="1" applyAlignment="1">
      <alignment horizontal="left"/>
    </xf>
    <xf numFmtId="168" fontId="18" fillId="0" borderId="0" xfId="0" applyNumberFormat="1" applyFont="1" applyBorder="1" applyAlignment="1">
      <alignment horizontal="left"/>
    </xf>
    <xf numFmtId="6" fontId="19" fillId="0" borderId="0" xfId="0" applyNumberFormat="1" applyFont="1" applyBorder="1"/>
    <xf numFmtId="8" fontId="9" fillId="0" borderId="0" xfId="0" applyNumberFormat="1" applyFont="1" applyBorder="1"/>
    <xf numFmtId="3" fontId="20" fillId="0" borderId="6" xfId="0" applyNumberFormat="1" applyFont="1" applyBorder="1"/>
    <xf numFmtId="0" fontId="0" fillId="0" borderId="3" xfId="0" applyBorder="1"/>
    <xf numFmtId="0" fontId="9" fillId="0" borderId="0" xfId="0" applyFont="1" applyBorder="1"/>
    <xf numFmtId="0" fontId="0" fillId="0" borderId="8" xfId="0" applyBorder="1"/>
    <xf numFmtId="0" fontId="10" fillId="0" borderId="0" xfId="0" applyFont="1" applyBorder="1" applyAlignment="1">
      <alignment horizontal="center"/>
    </xf>
    <xf numFmtId="6" fontId="0" fillId="0" borderId="0" xfId="0" applyNumberFormat="1" applyFont="1" applyBorder="1"/>
    <xf numFmtId="6" fontId="0" fillId="0" borderId="0" xfId="0" applyNumberFormat="1" applyBorder="1"/>
    <xf numFmtId="6" fontId="9" fillId="0" borderId="6" xfId="0" applyNumberFormat="1" applyFont="1" applyBorder="1"/>
    <xf numFmtId="9" fontId="0" fillId="0" borderId="0" xfId="0" applyNumberFormat="1" applyBorder="1"/>
    <xf numFmtId="9" fontId="21" fillId="0" borderId="0" xfId="0" applyNumberFormat="1" applyFont="1" applyBorder="1"/>
    <xf numFmtId="6" fontId="19" fillId="0" borderId="6" xfId="0" applyNumberFormat="1" applyFont="1" applyBorder="1"/>
    <xf numFmtId="181" fontId="0" fillId="0" borderId="0" xfId="0" applyNumberFormat="1" applyFont="1" applyBorder="1"/>
    <xf numFmtId="4" fontId="15" fillId="0" borderId="5" xfId="0" applyNumberFormat="1" applyFont="1" applyBorder="1" applyAlignment="1">
      <alignment horizontal="left"/>
    </xf>
    <xf numFmtId="6" fontId="15" fillId="0" borderId="5" xfId="0" applyNumberFormat="1" applyFont="1" applyBorder="1"/>
    <xf numFmtId="6" fontId="13" fillId="0" borderId="5" xfId="0" applyNumberFormat="1" applyFont="1" applyBorder="1"/>
    <xf numFmtId="6" fontId="10" fillId="0" borderId="8" xfId="0" applyNumberFormat="1" applyFont="1" applyBorder="1"/>
    <xf numFmtId="6" fontId="10" fillId="0" borderId="5" xfId="0" applyNumberFormat="1" applyFont="1" applyBorder="1"/>
    <xf numFmtId="168" fontId="11" fillId="0" borderId="5" xfId="0" applyNumberFormat="1" applyFont="1" applyBorder="1"/>
    <xf numFmtId="168" fontId="18" fillId="0" borderId="5" xfId="0" applyNumberFormat="1" applyFont="1" applyBorder="1" applyAlignment="1">
      <alignment horizontal="left"/>
    </xf>
    <xf numFmtId="6" fontId="10" fillId="0" borderId="7" xfId="0" applyNumberFormat="1" applyFont="1" applyBorder="1"/>
    <xf numFmtId="0" fontId="15" fillId="0" borderId="5" xfId="0" applyFont="1" applyBorder="1" applyAlignment="1">
      <alignment horizontal="centerContinuous"/>
    </xf>
    <xf numFmtId="6" fontId="0" fillId="0" borderId="5" xfId="0" applyNumberFormat="1" applyFont="1" applyBorder="1"/>
    <xf numFmtId="6" fontId="0" fillId="0" borderId="5" xfId="0" applyNumberFormat="1" applyBorder="1"/>
    <xf numFmtId="0" fontId="0" fillId="0" borderId="5" xfId="0" applyBorder="1" applyAlignment="1">
      <alignment horizontal="centerContinuous"/>
    </xf>
    <xf numFmtId="6" fontId="9" fillId="0" borderId="7" xfId="0" applyNumberFormat="1" applyFont="1" applyBorder="1"/>
    <xf numFmtId="0" fontId="9" fillId="3" borderId="9" xfId="0" applyFont="1" applyFill="1" applyBorder="1" applyAlignment="1">
      <alignment horizontal="centerContinuous"/>
    </xf>
    <xf numFmtId="0" fontId="0" fillId="3" borderId="10" xfId="0" applyFill="1" applyBorder="1" applyAlignment="1">
      <alignment horizontal="centerContinuous"/>
    </xf>
    <xf numFmtId="0" fontId="9" fillId="4" borderId="10" xfId="0" applyFont="1" applyFill="1" applyBorder="1" applyAlignment="1">
      <alignment horizontal="centerContinuous"/>
    </xf>
    <xf numFmtId="0" fontId="9" fillId="4" borderId="11" xfId="0" applyFont="1" applyFill="1" applyBorder="1" applyAlignment="1">
      <alignment horizontal="centerContinuous"/>
    </xf>
    <xf numFmtId="0" fontId="0" fillId="3" borderId="11" xfId="0" applyFill="1" applyBorder="1" applyAlignment="1">
      <alignment horizontal="centerContinuous"/>
    </xf>
    <xf numFmtId="164" fontId="21" fillId="0" borderId="0" xfId="0" applyNumberFormat="1" applyFont="1" applyBorder="1"/>
    <xf numFmtId="164" fontId="21" fillId="0" borderId="6" xfId="0" applyNumberFormat="1" applyFont="1" applyBorder="1"/>
    <xf numFmtId="164" fontId="21" fillId="0" borderId="5" xfId="0" applyNumberFormat="1" applyFont="1" applyBorder="1"/>
    <xf numFmtId="181" fontId="0" fillId="0" borderId="5" xfId="0" applyNumberFormat="1" applyFont="1" applyBorder="1"/>
    <xf numFmtId="9" fontId="21" fillId="0" borderId="5" xfId="0" applyNumberFormat="1" applyFont="1" applyBorder="1"/>
    <xf numFmtId="164" fontId="21" fillId="0" borderId="7" xfId="0" applyNumberFormat="1" applyFont="1" applyBorder="1"/>
    <xf numFmtId="164" fontId="21" fillId="0" borderId="1" xfId="0" applyNumberFormat="1" applyFont="1" applyBorder="1"/>
    <xf numFmtId="181" fontId="0" fillId="0" borderId="1" xfId="0" applyNumberFormat="1" applyFont="1" applyBorder="1"/>
    <xf numFmtId="9" fontId="21" fillId="0" borderId="1" xfId="0" applyNumberFormat="1" applyFont="1" applyBorder="1"/>
    <xf numFmtId="164" fontId="21" fillId="0" borderId="3" xfId="0" applyNumberFormat="1" applyFont="1" applyBorder="1"/>
    <xf numFmtId="164" fontId="22" fillId="0" borderId="1" xfId="0" applyNumberFormat="1" applyFont="1" applyBorder="1"/>
    <xf numFmtId="164" fontId="22" fillId="0" borderId="0" xfId="0" applyNumberFormat="1" applyFont="1" applyBorder="1"/>
    <xf numFmtId="164" fontId="22" fillId="0" borderId="5" xfId="0" applyNumberFormat="1" applyFont="1" applyBorder="1"/>
    <xf numFmtId="0" fontId="0" fillId="0" borderId="1" xfId="0" applyFont="1" applyBorder="1" applyAlignment="1">
      <alignment horizontal="left" indent="1"/>
    </xf>
    <xf numFmtId="6" fontId="9" fillId="0" borderId="1" xfId="0" applyNumberFormat="1" applyFont="1" applyBorder="1"/>
    <xf numFmtId="8" fontId="0" fillId="0" borderId="0" xfId="0" applyNumberFormat="1"/>
    <xf numFmtId="6" fontId="10" fillId="0" borderId="1" xfId="0" applyNumberFormat="1" applyFont="1" applyBorder="1"/>
    <xf numFmtId="6" fontId="13" fillId="0" borderId="1" xfId="0" applyNumberFormat="1" applyFont="1" applyBorder="1"/>
    <xf numFmtId="6" fontId="20" fillId="0" borderId="0" xfId="0" applyNumberFormat="1" applyFont="1" applyFill="1" applyBorder="1"/>
    <xf numFmtId="6" fontId="0" fillId="0" borderId="0" xfId="0" applyNumberFormat="1"/>
    <xf numFmtId="6" fontId="0" fillId="0" borderId="1" xfId="0" applyNumberFormat="1" applyFont="1" applyBorder="1"/>
    <xf numFmtId="6" fontId="0" fillId="0" borderId="1" xfId="0" applyNumberFormat="1" applyBorder="1"/>
    <xf numFmtId="6" fontId="9" fillId="0" borderId="2" xfId="0" applyNumberFormat="1" applyFont="1" applyBorder="1"/>
    <xf numFmtId="169" fontId="9" fillId="0" borderId="0" xfId="0" applyNumberFormat="1" applyFont="1"/>
    <xf numFmtId="9" fontId="0" fillId="0" borderId="0" xfId="0" applyNumberFormat="1"/>
    <xf numFmtId="0" fontId="20" fillId="0" borderId="0" xfId="0" applyFont="1" applyBorder="1"/>
    <xf numFmtId="0" fontId="20" fillId="0" borderId="5" xfId="0" applyFont="1" applyBorder="1"/>
    <xf numFmtId="3" fontId="20" fillId="0" borderId="0" xfId="0" applyNumberFormat="1" applyFont="1" applyBorder="1"/>
    <xf numFmtId="3" fontId="13" fillId="0" borderId="0" xfId="0" applyNumberFormat="1" applyFont="1" applyBorder="1"/>
    <xf numFmtId="3" fontId="20" fillId="0" borderId="5" xfId="0" applyNumberFormat="1" applyFont="1" applyBorder="1"/>
    <xf numFmtId="3" fontId="13" fillId="0" borderId="5" xfId="0" applyNumberFormat="1" applyFont="1" applyBorder="1"/>
    <xf numFmtId="0" fontId="9" fillId="0" borderId="3" xfId="0" applyFont="1" applyBorder="1" applyAlignment="1">
      <alignment horizontal="left" indent="1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4" xfId="0" applyFont="1" applyBorder="1"/>
    <xf numFmtId="8" fontId="20" fillId="0" borderId="0" xfId="0" applyNumberFormat="1" applyFont="1" applyBorder="1" applyAlignment="1">
      <alignment horizontal="right"/>
    </xf>
    <xf numFmtId="14" fontId="20" fillId="0" borderId="0" xfId="0" applyNumberFormat="1" applyFont="1" applyBorder="1" applyAlignment="1">
      <alignment horizontal="right"/>
    </xf>
    <xf numFmtId="0" fontId="10" fillId="0" borderId="5" xfId="0" applyFont="1" applyBorder="1" applyAlignment="1">
      <alignment horizontal="center"/>
    </xf>
    <xf numFmtId="186" fontId="4" fillId="0" borderId="0" xfId="1" applyNumberFormat="1" applyFont="1"/>
    <xf numFmtId="186" fontId="4" fillId="0" borderId="5" xfId="1" applyNumberFormat="1" applyFont="1" applyBorder="1"/>
    <xf numFmtId="186" fontId="4" fillId="0" borderId="6" xfId="1" applyNumberFormat="1" applyFont="1" applyBorder="1"/>
    <xf numFmtId="186" fontId="4" fillId="0" borderId="7" xfId="1" applyNumberFormat="1" applyFont="1" applyBorder="1"/>
    <xf numFmtId="8" fontId="9" fillId="0" borderId="6" xfId="0" applyNumberFormat="1" applyFont="1" applyBorder="1"/>
    <xf numFmtId="8" fontId="9" fillId="0" borderId="7" xfId="0" applyNumberFormat="1" applyFont="1" applyBorder="1"/>
    <xf numFmtId="3" fontId="10" fillId="0" borderId="4" xfId="0" applyNumberFormat="1" applyFont="1" applyBorder="1"/>
    <xf numFmtId="0" fontId="0" fillId="0" borderId="0" xfId="0" applyFont="1"/>
    <xf numFmtId="0" fontId="3" fillId="0" borderId="1" xfId="1" applyBorder="1"/>
    <xf numFmtId="0" fontId="3" fillId="0" borderId="0" xfId="1" applyBorder="1"/>
    <xf numFmtId="0" fontId="3" fillId="0" borderId="5" xfId="1" applyBorder="1"/>
    <xf numFmtId="0" fontId="23" fillId="2" borderId="2" xfId="1" applyFont="1" applyFill="1" applyBorder="1"/>
    <xf numFmtId="0" fontId="24" fillId="2" borderId="4" xfId="1" applyFont="1" applyFill="1" applyBorder="1" applyAlignment="1">
      <alignment horizontal="centerContinuous"/>
    </xf>
    <xf numFmtId="0" fontId="13" fillId="0" borderId="1" xfId="1" applyFont="1" applyBorder="1"/>
    <xf numFmtId="186" fontId="13" fillId="0" borderId="0" xfId="1" applyNumberFormat="1" applyFont="1"/>
    <xf numFmtId="42" fontId="13" fillId="0" borderId="0" xfId="1" applyNumberFormat="1" applyFont="1"/>
    <xf numFmtId="44" fontId="13" fillId="0" borderId="0" xfId="1" applyNumberFormat="1" applyFont="1"/>
    <xf numFmtId="44" fontId="13" fillId="0" borderId="0" xfId="1" applyNumberFormat="1" applyFont="1" applyBorder="1"/>
    <xf numFmtId="44" fontId="13" fillId="0" borderId="5" xfId="1" applyNumberFormat="1" applyFont="1" applyBorder="1"/>
    <xf numFmtId="41" fontId="13" fillId="0" borderId="0" xfId="1" applyNumberFormat="1" applyFont="1"/>
    <xf numFmtId="43" fontId="13" fillId="0" borderId="0" xfId="1" applyNumberFormat="1" applyFont="1"/>
    <xf numFmtId="43" fontId="13" fillId="0" borderId="0" xfId="1" applyNumberFormat="1" applyFont="1" applyBorder="1"/>
    <xf numFmtId="43" fontId="13" fillId="0" borderId="5" xfId="1" applyNumberFormat="1" applyFont="1" applyBorder="1"/>
    <xf numFmtId="185" fontId="13" fillId="0" borderId="0" xfId="1" applyNumberFormat="1" applyFont="1" applyBorder="1"/>
    <xf numFmtId="186" fontId="13" fillId="0" borderId="0" xfId="1" applyNumberFormat="1" applyFont="1" applyBorder="1"/>
    <xf numFmtId="186" fontId="13" fillId="0" borderId="5" xfId="1" applyNumberFormat="1" applyFont="1" applyBorder="1"/>
    <xf numFmtId="0" fontId="10" fillId="0" borderId="1" xfId="1" applyFont="1" applyBorder="1"/>
    <xf numFmtId="0" fontId="13" fillId="0" borderId="3" xfId="1" applyFont="1" applyBorder="1"/>
    <xf numFmtId="44" fontId="13" fillId="0" borderId="6" xfId="1" applyNumberFormat="1" applyFont="1" applyBorder="1"/>
    <xf numFmtId="44" fontId="13" fillId="0" borderId="7" xfId="1" applyNumberFormat="1" applyFont="1" applyBorder="1"/>
    <xf numFmtId="164" fontId="13" fillId="0" borderId="6" xfId="1" applyNumberFormat="1" applyFont="1" applyBorder="1"/>
    <xf numFmtId="44" fontId="0" fillId="0" borderId="0" xfId="0" applyNumberFormat="1"/>
    <xf numFmtId="0" fontId="3" fillId="0" borderId="0" xfId="1"/>
    <xf numFmtId="185" fontId="3" fillId="0" borderId="0" xfId="1" applyNumberFormat="1"/>
    <xf numFmtId="0" fontId="13" fillId="0" borderId="0" xfId="1" applyFont="1"/>
    <xf numFmtId="0" fontId="23" fillId="2" borderId="4" xfId="1" applyFont="1" applyFill="1" applyBorder="1"/>
    <xf numFmtId="0" fontId="23" fillId="2" borderId="8" xfId="1" applyFont="1" applyFill="1" applyBorder="1"/>
    <xf numFmtId="0" fontId="23" fillId="2" borderId="1" xfId="1" applyFont="1" applyFill="1" applyBorder="1"/>
    <xf numFmtId="0" fontId="23" fillId="2" borderId="0" xfId="1" applyFont="1" applyFill="1" applyBorder="1" applyAlignment="1">
      <alignment horizontal="center"/>
    </xf>
    <xf numFmtId="0" fontId="13" fillId="0" borderId="0" xfId="1" applyFont="1" applyBorder="1"/>
    <xf numFmtId="0" fontId="13" fillId="0" borderId="5" xfId="1" applyFont="1" applyBorder="1"/>
    <xf numFmtId="0" fontId="23" fillId="2" borderId="3" xfId="1" applyFont="1" applyFill="1" applyBorder="1"/>
    <xf numFmtId="0" fontId="23" fillId="2" borderId="6" xfId="1" applyFont="1" applyFill="1" applyBorder="1"/>
    <xf numFmtId="0" fontId="23" fillId="2" borderId="6" xfId="1" applyFont="1" applyFill="1" applyBorder="1" applyAlignment="1">
      <alignment horizontal="center"/>
    </xf>
    <xf numFmtId="0" fontId="23" fillId="2" borderId="7" xfId="1" applyFont="1" applyFill="1" applyBorder="1" applyAlignment="1">
      <alignment horizontal="center"/>
    </xf>
    <xf numFmtId="0" fontId="10" fillId="0" borderId="0" xfId="1" applyFont="1" applyBorder="1"/>
    <xf numFmtId="0" fontId="10" fillId="0" borderId="5" xfId="1" applyFont="1" applyBorder="1"/>
    <xf numFmtId="193" fontId="13" fillId="0" borderId="5" xfId="1" applyNumberFormat="1" applyFont="1" applyBorder="1"/>
    <xf numFmtId="6" fontId="13" fillId="0" borderId="0" xfId="1" applyNumberFormat="1" applyFont="1" applyBorder="1"/>
    <xf numFmtId="42" fontId="13" fillId="0" borderId="0" xfId="1" applyNumberFormat="1" applyFont="1" applyBorder="1"/>
    <xf numFmtId="42" fontId="13" fillId="0" borderId="5" xfId="1" applyNumberFormat="1" applyFont="1" applyBorder="1"/>
    <xf numFmtId="41" fontId="13" fillId="0" borderId="0" xfId="1" applyNumberFormat="1" applyFont="1" applyBorder="1"/>
    <xf numFmtId="41" fontId="13" fillId="0" borderId="5" xfId="1" applyNumberFormat="1" applyFont="1" applyBorder="1"/>
    <xf numFmtId="164" fontId="13" fillId="0" borderId="5" xfId="1" applyNumberFormat="1" applyFont="1" applyBorder="1"/>
    <xf numFmtId="184" fontId="10" fillId="0" borderId="0" xfId="1" applyNumberFormat="1" applyFont="1" applyBorder="1"/>
    <xf numFmtId="185" fontId="13" fillId="0" borderId="5" xfId="1" applyNumberFormat="1" applyFont="1" applyBorder="1"/>
    <xf numFmtId="0" fontId="8" fillId="5" borderId="2" xfId="1" applyFont="1" applyFill="1" applyBorder="1"/>
    <xf numFmtId="0" fontId="8" fillId="5" borderId="4" xfId="1" applyFont="1" applyFill="1" applyBorder="1"/>
    <xf numFmtId="42" fontId="8" fillId="5" borderId="4" xfId="1" applyNumberFormat="1" applyFont="1" applyFill="1" applyBorder="1"/>
    <xf numFmtId="42" fontId="8" fillId="5" borderId="8" xfId="1" applyNumberFormat="1" applyFont="1" applyFill="1" applyBorder="1"/>
    <xf numFmtId="0" fontId="8" fillId="5" borderId="3" xfId="1" applyFont="1" applyFill="1" applyBorder="1"/>
    <xf numFmtId="0" fontId="8" fillId="5" borderId="6" xfId="1" applyFont="1" applyFill="1" applyBorder="1"/>
    <xf numFmtId="42" fontId="8" fillId="5" borderId="6" xfId="1" applyNumberFormat="1" applyFont="1" applyFill="1" applyBorder="1"/>
    <xf numFmtId="42" fontId="8" fillId="5" borderId="7" xfId="1" applyNumberFormat="1" applyFont="1" applyFill="1" applyBorder="1"/>
    <xf numFmtId="193" fontId="13" fillId="0" borderId="0" xfId="1" applyNumberFormat="1" applyFont="1" applyBorder="1"/>
    <xf numFmtId="0" fontId="12" fillId="0" borderId="1" xfId="1" applyFont="1" applyBorder="1" applyAlignment="1">
      <alignment horizontal="left" indent="1"/>
    </xf>
    <xf numFmtId="193" fontId="12" fillId="0" borderId="0" xfId="1" applyNumberFormat="1" applyFont="1" applyBorder="1"/>
    <xf numFmtId="193" fontId="12" fillId="0" borderId="5" xfId="1" applyNumberFormat="1" applyFont="1" applyBorder="1"/>
    <xf numFmtId="184" fontId="13" fillId="0" borderId="0" xfId="1" applyNumberFormat="1" applyFont="1"/>
    <xf numFmtId="0" fontId="12" fillId="0" borderId="3" xfId="1" applyFont="1" applyBorder="1"/>
    <xf numFmtId="0" fontId="13" fillId="0" borderId="6" xfId="1" applyFont="1" applyBorder="1"/>
    <xf numFmtId="199" fontId="12" fillId="0" borderId="6" xfId="1" applyNumberFormat="1" applyFont="1" applyBorder="1" applyAlignment="1">
      <alignment horizontal="right"/>
    </xf>
    <xf numFmtId="199" fontId="12" fillId="0" borderId="6" xfId="1" applyNumberFormat="1" applyFont="1" applyBorder="1"/>
    <xf numFmtId="199" fontId="12" fillId="0" borderId="7" xfId="1" applyNumberFormat="1" applyFont="1" applyBorder="1"/>
    <xf numFmtId="44" fontId="10" fillId="0" borderId="5" xfId="1" applyNumberFormat="1" applyFont="1" applyBorder="1"/>
    <xf numFmtId="0" fontId="10" fillId="0" borderId="0" xfId="1" applyFont="1" applyBorder="1" applyAlignment="1">
      <alignment horizontal="centerContinuous"/>
    </xf>
    <xf numFmtId="0" fontId="10" fillId="0" borderId="5" xfId="1" applyFont="1" applyBorder="1" applyAlignment="1">
      <alignment horizontal="centerContinuous"/>
    </xf>
    <xf numFmtId="44" fontId="7" fillId="0" borderId="0" xfId="1" applyNumberFormat="1" applyFont="1" applyBorder="1"/>
    <xf numFmtId="164" fontId="13" fillId="0" borderId="6" xfId="1" applyNumberFormat="1" applyFont="1" applyBorder="1" applyAlignment="1">
      <alignment horizontal="center"/>
    </xf>
    <xf numFmtId="164" fontId="10" fillId="0" borderId="6" xfId="1" applyNumberFormat="1" applyFont="1" applyBorder="1" applyAlignment="1">
      <alignment horizontal="center"/>
    </xf>
    <xf numFmtId="164" fontId="13" fillId="0" borderId="7" xfId="1" applyNumberFormat="1" applyFont="1" applyBorder="1" applyAlignment="1">
      <alignment horizontal="center"/>
    </xf>
    <xf numFmtId="44" fontId="13" fillId="0" borderId="2" xfId="1" applyNumberFormat="1" applyFont="1" applyBorder="1"/>
    <xf numFmtId="44" fontId="13" fillId="0" borderId="4" xfId="1" applyNumberFormat="1" applyFont="1" applyBorder="1"/>
    <xf numFmtId="44" fontId="10" fillId="0" borderId="4" xfId="1" applyNumberFormat="1" applyFont="1" applyBorder="1"/>
    <xf numFmtId="44" fontId="13" fillId="0" borderId="8" xfId="1" applyNumberFormat="1" applyFont="1" applyBorder="1"/>
    <xf numFmtId="44" fontId="13" fillId="0" borderId="1" xfId="1" applyNumberFormat="1" applyFont="1" applyBorder="1"/>
    <xf numFmtId="44" fontId="10" fillId="0" borderId="0" xfId="1" applyNumberFormat="1" applyFont="1" applyBorder="1"/>
    <xf numFmtId="164" fontId="10" fillId="0" borderId="5" xfId="1" applyNumberFormat="1" applyFont="1" applyBorder="1"/>
    <xf numFmtId="44" fontId="10" fillId="0" borderId="1" xfId="1" applyNumberFormat="1" applyFont="1" applyBorder="1"/>
    <xf numFmtId="164" fontId="13" fillId="0" borderId="7" xfId="1" applyNumberFormat="1" applyFont="1" applyBorder="1"/>
    <xf numFmtId="44" fontId="13" fillId="0" borderId="3" xfId="1" applyNumberFormat="1" applyFont="1" applyBorder="1"/>
    <xf numFmtId="44" fontId="10" fillId="0" borderId="6" xfId="1" applyNumberFormat="1" applyFont="1" applyBorder="1"/>
    <xf numFmtId="0" fontId="10" fillId="0" borderId="0" xfId="1" applyFont="1" applyAlignment="1">
      <alignment horizontal="center" vertical="center" textRotation="90"/>
    </xf>
    <xf numFmtId="186" fontId="10" fillId="0" borderId="5" xfId="1" applyNumberFormat="1" applyFont="1" applyBorder="1"/>
    <xf numFmtId="186" fontId="13" fillId="0" borderId="7" xfId="1" applyNumberFormat="1" applyFont="1" applyBorder="1"/>
    <xf numFmtId="6" fontId="16" fillId="0" borderId="0" xfId="1" applyNumberFormat="1" applyFont="1" applyBorder="1"/>
    <xf numFmtId="42" fontId="16" fillId="0" borderId="0" xfId="1" applyNumberFormat="1" applyFont="1" applyBorder="1"/>
    <xf numFmtId="42" fontId="16" fillId="0" borderId="5" xfId="1" applyNumberFormat="1" applyFont="1" applyBorder="1"/>
    <xf numFmtId="6" fontId="15" fillId="0" borderId="0" xfId="1" applyNumberFormat="1" applyFont="1" applyBorder="1"/>
    <xf numFmtId="42" fontId="15" fillId="0" borderId="0" xfId="1" applyNumberFormat="1" applyFont="1" applyBorder="1"/>
    <xf numFmtId="42" fontId="15" fillId="0" borderId="5" xfId="1" applyNumberFormat="1" applyFont="1" applyBorder="1"/>
    <xf numFmtId="9" fontId="20" fillId="0" borderId="5" xfId="0" applyNumberFormat="1" applyFont="1" applyBorder="1"/>
    <xf numFmtId="164" fontId="12" fillId="0" borderId="1" xfId="0" applyNumberFormat="1" applyFont="1" applyBorder="1"/>
    <xf numFmtId="164" fontId="12" fillId="0" borderId="0" xfId="0" applyNumberFormat="1" applyFont="1" applyBorder="1"/>
    <xf numFmtId="164" fontId="12" fillId="0" borderId="5" xfId="0" applyNumberFormat="1" applyFont="1" applyBorder="1"/>
    <xf numFmtId="6" fontId="13" fillId="0" borderId="5" xfId="1" applyNumberFormat="1" applyFont="1" applyBorder="1"/>
    <xf numFmtId="6" fontId="16" fillId="0" borderId="5" xfId="1" applyNumberFormat="1" applyFont="1" applyBorder="1"/>
    <xf numFmtId="6" fontId="8" fillId="5" borderId="4" xfId="1" applyNumberFormat="1" applyFont="1" applyFill="1" applyBorder="1"/>
    <xf numFmtId="6" fontId="8" fillId="5" borderId="6" xfId="1" applyNumberFormat="1" applyFont="1" applyFill="1" applyBorder="1"/>
    <xf numFmtId="0" fontId="23" fillId="2" borderId="7" xfId="1" applyFont="1" applyFill="1" applyBorder="1"/>
    <xf numFmtId="0" fontId="13" fillId="0" borderId="4" xfId="1" applyFont="1" applyBorder="1"/>
    <xf numFmtId="38" fontId="13" fillId="0" borderId="0" xfId="1" applyNumberFormat="1" applyFont="1" applyBorder="1"/>
    <xf numFmtId="43" fontId="13" fillId="0" borderId="0" xfId="1" applyNumberFormat="1" applyFont="1" applyBorder="1" applyAlignment="1">
      <alignment horizontal="right"/>
    </xf>
    <xf numFmtId="44" fontId="13" fillId="0" borderId="0" xfId="1" applyNumberFormat="1" applyFont="1" applyBorder="1" applyAlignment="1">
      <alignment horizontal="right"/>
    </xf>
    <xf numFmtId="0" fontId="10" fillId="3" borderId="9" xfId="1" applyFont="1" applyFill="1" applyBorder="1" applyAlignment="1">
      <alignment horizontal="left"/>
    </xf>
    <xf numFmtId="0" fontId="10" fillId="3" borderId="10" xfId="1" applyFont="1" applyFill="1" applyBorder="1"/>
    <xf numFmtId="43" fontId="10" fillId="3" borderId="11" xfId="1" applyNumberFormat="1" applyFont="1" applyFill="1" applyBorder="1"/>
    <xf numFmtId="0" fontId="10" fillId="0" borderId="0" xfId="1" applyFont="1" applyFill="1" applyBorder="1"/>
    <xf numFmtId="43" fontId="10" fillId="0" borderId="0" xfId="1" applyNumberFormat="1" applyFont="1" applyFill="1" applyBorder="1"/>
    <xf numFmtId="0" fontId="8" fillId="6" borderId="9" xfId="1" applyFont="1" applyFill="1" applyBorder="1"/>
    <xf numFmtId="43" fontId="8" fillId="6" borderId="10" xfId="1" applyNumberFormat="1" applyFont="1" applyFill="1" applyBorder="1"/>
    <xf numFmtId="42" fontId="8" fillId="6" borderId="10" xfId="1" applyNumberFormat="1" applyFont="1" applyFill="1" applyBorder="1"/>
    <xf numFmtId="9" fontId="8" fillId="6" borderId="10" xfId="1" applyNumberFormat="1" applyFont="1" applyFill="1" applyBorder="1"/>
    <xf numFmtId="0" fontId="23" fillId="2" borderId="5" xfId="1" applyFont="1" applyFill="1" applyBorder="1" applyAlignment="1">
      <alignment horizontal="center"/>
    </xf>
    <xf numFmtId="0" fontId="8" fillId="6" borderId="10" xfId="1" applyFont="1" applyFill="1" applyBorder="1"/>
    <xf numFmtId="0" fontId="8" fillId="6" borderId="2" xfId="1" applyFont="1" applyFill="1" applyBorder="1"/>
    <xf numFmtId="0" fontId="8" fillId="6" borderId="4" xfId="1" applyFont="1" applyFill="1" applyBorder="1"/>
    <xf numFmtId="198" fontId="8" fillId="6" borderId="4" xfId="1" applyNumberFormat="1" applyFont="1" applyFill="1" applyBorder="1"/>
    <xf numFmtId="0" fontId="8" fillId="6" borderId="3" xfId="1" applyFont="1" applyFill="1" applyBorder="1"/>
    <xf numFmtId="0" fontId="8" fillId="6" borderId="6" xfId="1" applyFont="1" applyFill="1" applyBorder="1"/>
    <xf numFmtId="198" fontId="8" fillId="6" borderId="6" xfId="1" applyNumberFormat="1" applyFont="1" applyFill="1" applyBorder="1"/>
    <xf numFmtId="198" fontId="8" fillId="6" borderId="10" xfId="1" applyNumberFormat="1" applyFont="1" applyFill="1" applyBorder="1"/>
    <xf numFmtId="193" fontId="22" fillId="0" borderId="0" xfId="1" applyNumberFormat="1" applyFont="1" applyBorder="1"/>
    <xf numFmtId="186" fontId="20" fillId="0" borderId="5" xfId="1" applyNumberFormat="1" applyFont="1" applyBorder="1"/>
    <xf numFmtId="164" fontId="20" fillId="0" borderId="5" xfId="1" applyNumberFormat="1" applyFont="1" applyBorder="1"/>
    <xf numFmtId="0" fontId="10" fillId="0" borderId="0" xfId="1" applyFont="1"/>
    <xf numFmtId="0" fontId="23" fillId="2" borderId="2" xfId="0" applyFont="1" applyFill="1" applyBorder="1" applyAlignment="1">
      <alignment horizontal="left"/>
    </xf>
    <xf numFmtId="0" fontId="25" fillId="2" borderId="4" xfId="1" applyFont="1" applyFill="1" applyBorder="1" applyAlignment="1">
      <alignment horizontal="centerContinuous"/>
    </xf>
    <xf numFmtId="0" fontId="26" fillId="2" borderId="4" xfId="1" applyFont="1" applyFill="1" applyBorder="1"/>
    <xf numFmtId="0" fontId="23" fillId="2" borderId="4" xfId="1" applyFont="1" applyFill="1" applyBorder="1" applyAlignment="1">
      <alignment horizontal="center"/>
    </xf>
    <xf numFmtId="0" fontId="26" fillId="2" borderId="8" xfId="1" applyFont="1" applyFill="1" applyBorder="1" applyAlignment="1">
      <alignment horizontal="centerContinuous"/>
    </xf>
    <xf numFmtId="0" fontId="26" fillId="2" borderId="1" xfId="1" applyFont="1" applyFill="1" applyBorder="1"/>
    <xf numFmtId="0" fontId="24" fillId="2" borderId="0" xfId="1" applyFont="1" applyFill="1" applyBorder="1" applyAlignment="1">
      <alignment horizontal="centerContinuous"/>
    </xf>
    <xf numFmtId="0" fontId="24" fillId="2" borderId="5" xfId="1" applyFont="1" applyFill="1" applyBorder="1" applyAlignment="1">
      <alignment horizontal="centerContinuous"/>
    </xf>
    <xf numFmtId="0" fontId="23" fillId="2" borderId="6" xfId="1" applyNumberFormat="1" applyFont="1" applyFill="1" applyBorder="1" applyAlignment="1">
      <alignment horizontal="center"/>
    </xf>
    <xf numFmtId="0" fontId="23" fillId="2" borderId="7" xfId="1" applyNumberFormat="1" applyFont="1" applyFill="1" applyBorder="1" applyAlignment="1">
      <alignment horizontal="center"/>
    </xf>
    <xf numFmtId="199" fontId="13" fillId="0" borderId="0" xfId="1" applyNumberFormat="1" applyFont="1"/>
    <xf numFmtId="0" fontId="13" fillId="0" borderId="2" xfId="1" applyFont="1" applyFill="1" applyBorder="1"/>
    <xf numFmtId="44" fontId="13" fillId="0" borderId="4" xfId="1" applyNumberFormat="1" applyFont="1" applyFill="1" applyBorder="1"/>
    <xf numFmtId="42" fontId="13" fillId="0" borderId="4" xfId="1" applyNumberFormat="1" applyFont="1" applyBorder="1"/>
    <xf numFmtId="199" fontId="13" fillId="0" borderId="4" xfId="1" applyNumberFormat="1" applyFont="1" applyBorder="1"/>
    <xf numFmtId="0" fontId="13" fillId="0" borderId="1" xfId="1" applyFont="1" applyFill="1" applyBorder="1"/>
    <xf numFmtId="0" fontId="10" fillId="3" borderId="9" xfId="1" applyFont="1" applyFill="1" applyBorder="1"/>
    <xf numFmtId="44" fontId="10" fillId="3" borderId="10" xfId="1" applyNumberFormat="1" applyFont="1" applyFill="1" applyBorder="1"/>
    <xf numFmtId="42" fontId="10" fillId="3" borderId="10" xfId="1" applyNumberFormat="1" applyFont="1" applyFill="1" applyBorder="1"/>
    <xf numFmtId="199" fontId="10" fillId="3" borderId="10" xfId="1" applyNumberFormat="1" applyFont="1" applyFill="1" applyBorder="1"/>
    <xf numFmtId="0" fontId="13" fillId="0" borderId="3" xfId="1" applyFont="1" applyFill="1" applyBorder="1"/>
    <xf numFmtId="43" fontId="13" fillId="0" borderId="6" xfId="1" applyNumberFormat="1" applyFont="1" applyBorder="1"/>
    <xf numFmtId="41" fontId="13" fillId="0" borderId="6" xfId="1" applyNumberFormat="1" applyFont="1" applyBorder="1"/>
    <xf numFmtId="199" fontId="13" fillId="0" borderId="6" xfId="1" applyNumberFormat="1" applyFont="1" applyBorder="1"/>
    <xf numFmtId="44" fontId="8" fillId="6" borderId="10" xfId="1" applyNumberFormat="1" applyFont="1" applyFill="1" applyBorder="1"/>
    <xf numFmtId="199" fontId="8" fillId="6" borderId="10" xfId="1" applyNumberFormat="1" applyFont="1" applyFill="1" applyBorder="1"/>
    <xf numFmtId="0" fontId="26" fillId="2" borderId="8" xfId="1" applyFont="1" applyFill="1" applyBorder="1"/>
    <xf numFmtId="0" fontId="25" fillId="2" borderId="0" xfId="1" applyFont="1" applyFill="1" applyBorder="1" applyAlignment="1">
      <alignment horizontal="centerContinuous"/>
    </xf>
    <xf numFmtId="0" fontId="26" fillId="2" borderId="0" xfId="1" applyFont="1" applyFill="1" applyBorder="1" applyAlignment="1">
      <alignment horizontal="centerContinuous"/>
    </xf>
    <xf numFmtId="0" fontId="13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186" fontId="13" fillId="0" borderId="4" xfId="1" applyNumberFormat="1" applyFont="1" applyBorder="1"/>
    <xf numFmtId="186" fontId="10" fillId="3" borderId="10" xfId="1" applyNumberFormat="1" applyFont="1" applyFill="1" applyBorder="1"/>
    <xf numFmtId="186" fontId="13" fillId="0" borderId="6" xfId="1" applyNumberFormat="1" applyFont="1" applyBorder="1"/>
    <xf numFmtId="186" fontId="8" fillId="6" borderId="10" xfId="1" applyNumberFormat="1" applyFont="1" applyFill="1" applyBorder="1"/>
    <xf numFmtId="42" fontId="20" fillId="0" borderId="0" xfId="1" applyNumberFormat="1" applyFont="1"/>
    <xf numFmtId="44" fontId="20" fillId="0" borderId="0" xfId="1" applyNumberFormat="1" applyFont="1"/>
    <xf numFmtId="43" fontId="20" fillId="0" borderId="0" xfId="1" applyNumberFormat="1" applyFont="1"/>
    <xf numFmtId="41" fontId="20" fillId="0" borderId="0" xfId="1" applyNumberFormat="1" applyFont="1"/>
    <xf numFmtId="37" fontId="8" fillId="6" borderId="10" xfId="1" applyNumberFormat="1" applyFont="1" applyFill="1" applyBorder="1"/>
    <xf numFmtId="6" fontId="8" fillId="6" borderId="10" xfId="1" applyNumberFormat="1" applyFont="1" applyFill="1" applyBorder="1"/>
    <xf numFmtId="8" fontId="8" fillId="6" borderId="10" xfId="1" applyNumberFormat="1" applyFont="1" applyFill="1" applyBorder="1"/>
    <xf numFmtId="199" fontId="13" fillId="0" borderId="8" xfId="1" applyNumberFormat="1" applyFont="1" applyBorder="1"/>
    <xf numFmtId="199" fontId="13" fillId="0" borderId="5" xfId="1" applyNumberFormat="1" applyFont="1" applyBorder="1"/>
    <xf numFmtId="199" fontId="10" fillId="3" borderId="11" xfId="1" applyNumberFormat="1" applyFont="1" applyFill="1" applyBorder="1"/>
    <xf numFmtId="199" fontId="13" fillId="0" borderId="7" xfId="1" applyNumberFormat="1" applyFont="1" applyBorder="1"/>
    <xf numFmtId="215" fontId="20" fillId="0" borderId="0" xfId="1" applyNumberFormat="1" applyFont="1"/>
    <xf numFmtId="216" fontId="20" fillId="0" borderId="0" xfId="1" applyNumberFormat="1" applyFont="1"/>
    <xf numFmtId="217" fontId="20" fillId="0" borderId="0" xfId="1" applyNumberFormat="1" applyFont="1"/>
    <xf numFmtId="218" fontId="20" fillId="0" borderId="0" xfId="1" applyNumberFormat="1" applyFont="1"/>
    <xf numFmtId="215" fontId="13" fillId="0" borderId="0" xfId="1" applyNumberFormat="1" applyFont="1"/>
    <xf numFmtId="216" fontId="13" fillId="0" borderId="0" xfId="1" applyNumberFormat="1" applyFont="1"/>
    <xf numFmtId="168" fontId="13" fillId="0" borderId="0" xfId="1" applyNumberFormat="1" applyFont="1"/>
    <xf numFmtId="186" fontId="8" fillId="6" borderId="11" xfId="1" applyNumberFormat="1" applyFont="1" applyFill="1" applyBorder="1"/>
    <xf numFmtId="199" fontId="8" fillId="6" borderId="11" xfId="1" applyNumberFormat="1" applyFont="1" applyFill="1" applyBorder="1"/>
    <xf numFmtId="186" fontId="13" fillId="0" borderId="8" xfId="1" applyNumberFormat="1" applyFont="1" applyBorder="1"/>
    <xf numFmtId="186" fontId="10" fillId="3" borderId="11" xfId="1" applyNumberFormat="1" applyFont="1" applyFill="1" applyBorder="1"/>
    <xf numFmtId="186" fontId="13" fillId="0" borderId="0" xfId="1" applyNumberFormat="1" applyFont="1" applyAlignment="1">
      <alignment horizontal="right"/>
    </xf>
    <xf numFmtId="43" fontId="8" fillId="6" borderId="11" xfId="1" applyNumberFormat="1" applyFont="1" applyFill="1" applyBorder="1"/>
    <xf numFmtId="42" fontId="16" fillId="0" borderId="0" xfId="1" applyNumberFormat="1" applyFont="1"/>
    <xf numFmtId="41" fontId="16" fillId="0" borderId="0" xfId="1" applyNumberFormat="1" applyFont="1"/>
    <xf numFmtId="168" fontId="20" fillId="0" borderId="0" xfId="1" applyNumberFormat="1" applyFont="1"/>
    <xf numFmtId="194" fontId="20" fillId="0" borderId="5" xfId="1" applyNumberFormat="1" applyFont="1" applyBorder="1"/>
    <xf numFmtId="0" fontId="25" fillId="2" borderId="8" xfId="1" applyFont="1" applyFill="1" applyBorder="1" applyAlignment="1">
      <alignment horizontal="centerContinuous"/>
    </xf>
    <xf numFmtId="184" fontId="13" fillId="0" borderId="0" xfId="1" applyNumberFormat="1" applyFont="1" applyBorder="1"/>
    <xf numFmtId="0" fontId="23" fillId="2" borderId="4" xfId="1" applyFont="1" applyFill="1" applyBorder="1" applyAlignment="1">
      <alignment horizontal="centerContinuous"/>
    </xf>
    <xf numFmtId="0" fontId="23" fillId="2" borderId="0" xfId="1" applyFont="1" applyFill="1" applyBorder="1"/>
    <xf numFmtId="0" fontId="26" fillId="2" borderId="0" xfId="1" applyFont="1" applyFill="1" applyBorder="1"/>
    <xf numFmtId="0" fontId="23" fillId="2" borderId="3" xfId="1" applyFont="1" applyFill="1" applyBorder="1" applyAlignment="1">
      <alignment horizontal="center"/>
    </xf>
    <xf numFmtId="192" fontId="13" fillId="0" borderId="0" xfId="1" applyNumberFormat="1" applyFont="1" applyAlignment="1">
      <alignment horizontal="right"/>
    </xf>
    <xf numFmtId="0" fontId="13" fillId="0" borderId="0" xfId="1" applyFont="1" applyFill="1" applyBorder="1"/>
    <xf numFmtId="0" fontId="13" fillId="0" borderId="2" xfId="1" applyFont="1" applyFill="1" applyBorder="1" applyAlignment="1">
      <alignment horizontal="right"/>
    </xf>
    <xf numFmtId="0" fontId="13" fillId="0" borderId="4" xfId="1" applyFont="1" applyFill="1" applyBorder="1" applyAlignment="1">
      <alignment horizontal="right"/>
    </xf>
    <xf numFmtId="0" fontId="13" fillId="0" borderId="1" xfId="1" applyFont="1" applyFill="1" applyBorder="1" applyAlignment="1">
      <alignment horizontal="right"/>
    </xf>
    <xf numFmtId="0" fontId="13" fillId="0" borderId="0" xfId="1" applyFont="1" applyFill="1" applyBorder="1" applyAlignment="1">
      <alignment horizontal="right"/>
    </xf>
    <xf numFmtId="0" fontId="10" fillId="3" borderId="9" xfId="1" applyFont="1" applyFill="1" applyBorder="1" applyAlignment="1">
      <alignment horizontal="right"/>
    </xf>
    <xf numFmtId="0" fontId="10" fillId="3" borderId="10" xfId="1" applyFont="1" applyFill="1" applyBorder="1" applyAlignment="1">
      <alignment horizontal="right"/>
    </xf>
    <xf numFmtId="0" fontId="13" fillId="0" borderId="3" xfId="1" applyFont="1" applyFill="1" applyBorder="1" applyAlignment="1">
      <alignment horizontal="right"/>
    </xf>
    <xf numFmtId="0" fontId="13" fillId="0" borderId="6" xfId="1" applyFont="1" applyFill="1" applyBorder="1" applyAlignment="1">
      <alignment horizontal="right"/>
    </xf>
    <xf numFmtId="42" fontId="20" fillId="0" borderId="0" xfId="1" applyNumberFormat="1" applyFont="1" applyAlignment="1">
      <alignment horizontal="right"/>
    </xf>
    <xf numFmtId="0" fontId="23" fillId="2" borderId="0" xfId="1" applyFont="1" applyFill="1" applyBorder="1" applyAlignment="1">
      <alignment horizontal="centerContinuous"/>
    </xf>
    <xf numFmtId="0" fontId="24" fillId="2" borderId="8" xfId="1" applyFont="1" applyFill="1" applyBorder="1" applyAlignment="1">
      <alignment horizontal="centerContinuous"/>
    </xf>
    <xf numFmtId="164" fontId="20" fillId="0" borderId="6" xfId="1" applyNumberFormat="1" applyFont="1" applyBorder="1" applyAlignment="1">
      <alignment horizontal="center"/>
    </xf>
    <xf numFmtId="198" fontId="20" fillId="0" borderId="5" xfId="1" applyNumberFormat="1" applyFont="1" applyBorder="1"/>
    <xf numFmtId="198" fontId="16" fillId="0" borderId="7" xfId="1" applyNumberFormat="1" applyFont="1" applyBorder="1"/>
    <xf numFmtId="6" fontId="10" fillId="0" borderId="8" xfId="1" applyNumberFormat="1" applyFont="1" applyBorder="1"/>
    <xf numFmtId="9" fontId="13" fillId="0" borderId="0" xfId="1" applyNumberFormat="1" applyFont="1"/>
    <xf numFmtId="10" fontId="13" fillId="0" borderId="0" xfId="1" applyNumberFormat="1" applyFont="1" applyBorder="1"/>
    <xf numFmtId="43" fontId="20" fillId="0" borderId="0" xfId="1" applyNumberFormat="1" applyFont="1" applyBorder="1"/>
    <xf numFmtId="43" fontId="10" fillId="3" borderId="10" xfId="1" applyNumberFormat="1" applyFont="1" applyFill="1" applyBorder="1"/>
    <xf numFmtId="9" fontId="3" fillId="0" borderId="0" xfId="1" applyNumberFormat="1"/>
    <xf numFmtId="164" fontId="16" fillId="0" borderId="5" xfId="1" applyNumberFormat="1" applyFont="1" applyBorder="1"/>
    <xf numFmtId="186" fontId="16" fillId="0" borderId="0" xfId="1" applyNumberFormat="1" applyFont="1"/>
    <xf numFmtId="6" fontId="16" fillId="0" borderId="0" xfId="1" applyNumberFormat="1" applyFont="1"/>
    <xf numFmtId="8" fontId="16" fillId="0" borderId="0" xfId="1" applyNumberFormat="1" applyFont="1"/>
    <xf numFmtId="44" fontId="16" fillId="0" borderId="6" xfId="1" applyNumberFormat="1" applyFont="1" applyBorder="1"/>
    <xf numFmtId="44" fontId="16" fillId="0" borderId="7" xfId="1" applyNumberFormat="1" applyFont="1" applyBorder="1"/>
    <xf numFmtId="44" fontId="16" fillId="0" borderId="0" xfId="0" applyNumberFormat="1" applyFont="1"/>
    <xf numFmtId="0" fontId="16" fillId="0" borderId="0" xfId="0" applyFont="1"/>
    <xf numFmtId="0" fontId="8" fillId="6" borderId="11" xfId="1" applyFont="1" applyFill="1" applyBorder="1"/>
    <xf numFmtId="0" fontId="8" fillId="6" borderId="8" xfId="1" applyFont="1" applyFill="1" applyBorder="1"/>
    <xf numFmtId="0" fontId="8" fillId="6" borderId="7" xfId="1" applyFont="1" applyFill="1" applyBorder="1"/>
    <xf numFmtId="0" fontId="23" fillId="2" borderId="4" xfId="0" applyFont="1" applyFill="1" applyBorder="1" applyAlignment="1">
      <alignment horizontal="left"/>
    </xf>
    <xf numFmtId="0" fontId="23" fillId="2" borderId="8" xfId="0" applyFont="1" applyFill="1" applyBorder="1" applyAlignment="1">
      <alignment horizontal="left"/>
    </xf>
    <xf numFmtId="0" fontId="0" fillId="0" borderId="1" xfId="0" applyFont="1" applyBorder="1"/>
    <xf numFmtId="0" fontId="20" fillId="0" borderId="5" xfId="0" applyFont="1" applyBorder="1" applyAlignment="1">
      <alignment horizontal="right"/>
    </xf>
    <xf numFmtId="0" fontId="0" fillId="0" borderId="7" xfId="0" applyBorder="1"/>
    <xf numFmtId="0" fontId="0" fillId="0" borderId="5" xfId="0" applyFont="1" applyBorder="1"/>
    <xf numFmtId="168" fontId="20" fillId="0" borderId="5" xfId="0" applyNumberFormat="1" applyFont="1" applyBorder="1"/>
    <xf numFmtId="0" fontId="0" fillId="0" borderId="0" xfId="0" applyFill="1" applyBorder="1"/>
    <xf numFmtId="0" fontId="0" fillId="0" borderId="1" xfId="0" applyFill="1" applyBorder="1" applyAlignment="1">
      <alignment horizontal="left" indent="1"/>
    </xf>
    <xf numFmtId="41" fontId="20" fillId="0" borderId="5" xfId="0" applyNumberFormat="1" applyFont="1" applyBorder="1"/>
    <xf numFmtId="0" fontId="0" fillId="0" borderId="0" xfId="0" applyBorder="1" applyAlignment="1">
      <alignment horizontal="left"/>
    </xf>
    <xf numFmtId="0" fontId="0" fillId="0" borderId="6" xfId="0" applyFill="1" applyBorder="1"/>
    <xf numFmtId="0" fontId="0" fillId="0" borderId="3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8" fontId="16" fillId="0" borderId="5" xfId="0" applyNumberFormat="1" applyFont="1" applyBorder="1" applyAlignment="1">
      <alignment horizontal="right"/>
    </xf>
    <xf numFmtId="3" fontId="16" fillId="0" borderId="5" xfId="0" applyNumberFormat="1" applyFont="1" applyBorder="1"/>
    <xf numFmtId="6" fontId="16" fillId="0" borderId="5" xfId="0" applyNumberFormat="1" applyFont="1" applyBorder="1"/>
    <xf numFmtId="3" fontId="16" fillId="0" borderId="6" xfId="0" applyNumberFormat="1" applyFont="1" applyBorder="1"/>
    <xf numFmtId="6" fontId="15" fillId="0" borderId="8" xfId="0" applyNumberFormat="1" applyFont="1" applyBorder="1"/>
    <xf numFmtId="3" fontId="16" fillId="0" borderId="7" xfId="0" applyNumberFormat="1" applyFont="1" applyBorder="1"/>
    <xf numFmtId="0" fontId="0" fillId="0" borderId="2" xfId="0" applyBorder="1" applyAlignment="1">
      <alignment horizontal="left" indent="1"/>
    </xf>
    <xf numFmtId="6" fontId="0" fillId="0" borderId="4" xfId="0" applyNumberFormat="1" applyFont="1" applyBorder="1"/>
    <xf numFmtId="6" fontId="0" fillId="0" borderId="8" xfId="0" applyNumberFormat="1" applyFont="1" applyBorder="1"/>
    <xf numFmtId="0" fontId="0" fillId="0" borderId="3" xfId="0" applyBorder="1" applyAlignment="1">
      <alignment horizontal="left" indent="1"/>
    </xf>
    <xf numFmtId="6" fontId="0" fillId="0" borderId="6" xfId="0" applyNumberFormat="1" applyFont="1" applyBorder="1"/>
    <xf numFmtId="6" fontId="0" fillId="0" borderId="7" xfId="0" applyNumberFormat="1" applyFont="1" applyBorder="1"/>
    <xf numFmtId="0" fontId="0" fillId="0" borderId="10" xfId="0" applyBorder="1"/>
    <xf numFmtId="0" fontId="0" fillId="0" borderId="0" xfId="0" applyAlignment="1">
      <alignment horizontal="left"/>
    </xf>
    <xf numFmtId="9" fontId="20" fillId="0" borderId="0" xfId="0" applyNumberFormat="1" applyFont="1" applyBorder="1"/>
    <xf numFmtId="0" fontId="9" fillId="0" borderId="7" xfId="0" applyFont="1" applyFill="1" applyBorder="1" applyAlignment="1">
      <alignment horizontal="center"/>
    </xf>
    <xf numFmtId="3" fontId="10" fillId="0" borderId="8" xfId="0" applyNumberFormat="1" applyFont="1" applyBorder="1"/>
    <xf numFmtId="8" fontId="16" fillId="0" borderId="0" xfId="0" applyNumberFormat="1" applyFont="1" applyBorder="1" applyAlignment="1">
      <alignment horizontal="right"/>
    </xf>
    <xf numFmtId="0" fontId="9" fillId="0" borderId="1" xfId="0" applyFont="1" applyFill="1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Border="1" applyAlignment="1">
      <alignment horizontal="left" indent="1"/>
    </xf>
    <xf numFmtId="0" fontId="9" fillId="0" borderId="0" xfId="0" applyFont="1" applyFill="1" applyBorder="1" applyAlignment="1">
      <alignment horizontal="centerContinuous"/>
    </xf>
    <xf numFmtId="0" fontId="9" fillId="0" borderId="10" xfId="0" applyFont="1" applyBorder="1"/>
    <xf numFmtId="3" fontId="10" fillId="0" borderId="11" xfId="0" applyNumberFormat="1" applyFont="1" applyBorder="1"/>
    <xf numFmtId="0" fontId="16" fillId="0" borderId="5" xfId="0" applyFont="1" applyBorder="1" applyAlignment="1">
      <alignment horizontal="right"/>
    </xf>
    <xf numFmtId="3" fontId="16" fillId="0" borderId="5" xfId="0" applyNumberFormat="1" applyFont="1" applyBorder="1" applyAlignment="1">
      <alignment horizontal="right"/>
    </xf>
    <xf numFmtId="6" fontId="16" fillId="0" borderId="5" xfId="0" applyNumberFormat="1" applyFont="1" applyBorder="1" applyAlignment="1">
      <alignment horizontal="right"/>
    </xf>
    <xf numFmtId="3" fontId="13" fillId="0" borderId="5" xfId="0" applyNumberFormat="1" applyFont="1" applyBorder="1" applyAlignment="1">
      <alignment horizontal="right"/>
    </xf>
    <xf numFmtId="164" fontId="20" fillId="0" borderId="0" xfId="0" applyNumberFormat="1" applyFont="1" applyBorder="1"/>
    <xf numFmtId="164" fontId="20" fillId="0" borderId="5" xfId="0" applyNumberFormat="1" applyFont="1" applyBorder="1"/>
    <xf numFmtId="164" fontId="16" fillId="0" borderId="0" xfId="0" applyNumberFormat="1" applyFont="1" applyBorder="1"/>
    <xf numFmtId="164" fontId="16" fillId="0" borderId="5" xfId="0" applyNumberFormat="1" applyFont="1" applyBorder="1"/>
    <xf numFmtId="6" fontId="10" fillId="0" borderId="4" xfId="1" applyNumberFormat="1" applyFont="1" applyBorder="1"/>
    <xf numFmtId="6" fontId="13" fillId="0" borderId="7" xfId="1" applyNumberFormat="1" applyFont="1" applyBorder="1"/>
    <xf numFmtId="164" fontId="20" fillId="0" borderId="6" xfId="0" applyNumberFormat="1" applyFont="1" applyBorder="1"/>
    <xf numFmtId="3" fontId="20" fillId="0" borderId="7" xfId="0" applyNumberFormat="1" applyFont="1" applyBorder="1"/>
    <xf numFmtId="0" fontId="13" fillId="0" borderId="0" xfId="0" applyFont="1" applyBorder="1"/>
    <xf numFmtId="0" fontId="13" fillId="0" borderId="5" xfId="0" applyFont="1" applyBorder="1"/>
    <xf numFmtId="9" fontId="16" fillId="0" borderId="7" xfId="0" applyNumberFormat="1" applyFont="1" applyBorder="1" applyAlignment="1">
      <alignment horizontal="right"/>
    </xf>
    <xf numFmtId="9" fontId="16" fillId="0" borderId="7" xfId="0" applyNumberFormat="1" applyFont="1" applyBorder="1"/>
    <xf numFmtId="6" fontId="20" fillId="0" borderId="0" xfId="1" applyNumberFormat="1" applyFont="1" applyBorder="1"/>
    <xf numFmtId="0" fontId="7" fillId="2" borderId="2" xfId="0" applyFont="1" applyFill="1" applyBorder="1"/>
    <xf numFmtId="0" fontId="7" fillId="2" borderId="4" xfId="0" applyFont="1" applyFill="1" applyBorder="1"/>
    <xf numFmtId="0" fontId="8" fillId="2" borderId="4" xfId="0" applyFont="1" applyFill="1" applyBorder="1" applyAlignment="1">
      <alignment horizontal="centerContinuous"/>
    </xf>
    <xf numFmtId="0" fontId="8" fillId="2" borderId="8" xfId="0" applyFont="1" applyFill="1" applyBorder="1" applyAlignment="1">
      <alignment horizontal="centerContinuous"/>
    </xf>
    <xf numFmtId="0" fontId="7" fillId="2" borderId="1" xfId="0" applyFont="1" applyFill="1" applyBorder="1"/>
    <xf numFmtId="199" fontId="20" fillId="7" borderId="2" xfId="0" applyNumberFormat="1" applyFont="1" applyFill="1" applyBorder="1"/>
    <xf numFmtId="199" fontId="8" fillId="7" borderId="4" xfId="0" applyNumberFormat="1" applyFont="1" applyFill="1" applyBorder="1" applyAlignment="1">
      <alignment horizontal="center"/>
    </xf>
    <xf numFmtId="199" fontId="8" fillId="7" borderId="8" xfId="0" applyNumberFormat="1" applyFont="1" applyFill="1" applyBorder="1" applyAlignment="1">
      <alignment horizontal="center"/>
    </xf>
    <xf numFmtId="44" fontId="8" fillId="7" borderId="1" xfId="1" applyNumberFormat="1" applyFont="1" applyFill="1" applyBorder="1"/>
    <xf numFmtId="168" fontId="0" fillId="0" borderId="2" xfId="0" applyNumberFormat="1" applyFont="1" applyBorder="1"/>
    <xf numFmtId="168" fontId="0" fillId="0" borderId="4" xfId="0" applyNumberFormat="1" applyFont="1" applyBorder="1"/>
    <xf numFmtId="168" fontId="0" fillId="0" borderId="8" xfId="0" applyNumberFormat="1" applyFont="1" applyBorder="1"/>
    <xf numFmtId="168" fontId="0" fillId="0" borderId="1" xfId="0" applyNumberFormat="1" applyFont="1" applyBorder="1"/>
    <xf numFmtId="168" fontId="0" fillId="0" borderId="0" xfId="0" applyNumberFormat="1" applyFont="1" applyBorder="1"/>
    <xf numFmtId="168" fontId="0" fillId="0" borderId="5" xfId="0" applyNumberFormat="1" applyFont="1" applyBorder="1"/>
    <xf numFmtId="44" fontId="8" fillId="7" borderId="12" xfId="1" applyNumberFormat="1" applyFont="1" applyFill="1" applyBorder="1"/>
    <xf numFmtId="168" fontId="0" fillId="0" borderId="3" xfId="0" applyNumberFormat="1" applyFont="1" applyBorder="1"/>
    <xf numFmtId="168" fontId="0" fillId="0" borderId="6" xfId="0" applyNumberFormat="1" applyFont="1" applyBorder="1"/>
    <xf numFmtId="168" fontId="0" fillId="0" borderId="7" xfId="0" applyNumberFormat="1" applyFont="1" applyBorder="1"/>
    <xf numFmtId="6" fontId="9" fillId="0" borderId="10" xfId="0" applyNumberFormat="1" applyFont="1" applyBorder="1"/>
    <xf numFmtId="0" fontId="9" fillId="0" borderId="6" xfId="0" applyFont="1" applyBorder="1"/>
    <xf numFmtId="0" fontId="9" fillId="0" borderId="3" xfId="0" applyFont="1" applyBorder="1" applyAlignment="1">
      <alignment horizontal="left"/>
    </xf>
    <xf numFmtId="168" fontId="9" fillId="0" borderId="6" xfId="0" applyNumberFormat="1" applyFont="1" applyBorder="1"/>
    <xf numFmtId="168" fontId="9" fillId="0" borderId="7" xfId="0" applyNumberFormat="1" applyFont="1" applyBorder="1"/>
    <xf numFmtId="0" fontId="0" fillId="0" borderId="9" xfId="0" applyFont="1" applyBorder="1" applyAlignment="1">
      <alignment horizontal="left"/>
    </xf>
    <xf numFmtId="3" fontId="13" fillId="0" borderId="10" xfId="0" applyNumberFormat="1" applyFont="1" applyBorder="1"/>
    <xf numFmtId="3" fontId="13" fillId="0" borderId="11" xfId="0" applyNumberFormat="1" applyFont="1" applyBorder="1"/>
    <xf numFmtId="6" fontId="19" fillId="0" borderId="8" xfId="0" applyNumberFormat="1" applyFont="1" applyBorder="1"/>
    <xf numFmtId="0" fontId="0" fillId="0" borderId="9" xfId="0" applyFont="1" applyBorder="1" applyAlignment="1">
      <alignment horizontal="left" indent="1"/>
    </xf>
    <xf numFmtId="0" fontId="0" fillId="0" borderId="9" xfId="0" applyBorder="1" applyAlignment="1">
      <alignment horizontal="left" indent="1"/>
    </xf>
    <xf numFmtId="6" fontId="13" fillId="0" borderId="10" xfId="0" applyNumberFormat="1" applyFont="1" applyBorder="1"/>
    <xf numFmtId="6" fontId="13" fillId="0" borderId="11" xfId="0" applyNumberFormat="1" applyFont="1" applyBorder="1"/>
    <xf numFmtId="0" fontId="0" fillId="0" borderId="9" xfId="0" applyBorder="1" applyAlignment="1">
      <alignment horizontal="left" indent="2"/>
    </xf>
    <xf numFmtId="6" fontId="9" fillId="0" borderId="3" xfId="0" applyNumberFormat="1" applyFont="1" applyBorder="1"/>
    <xf numFmtId="4" fontId="0" fillId="0" borderId="8" xfId="0" applyNumberFormat="1" applyBorder="1"/>
    <xf numFmtId="4" fontId="0" fillId="0" borderId="5" xfId="0" applyNumberFormat="1" applyBorder="1"/>
    <xf numFmtId="4" fontId="0" fillId="0" borderId="7" xfId="0" applyNumberFormat="1" applyBorder="1"/>
    <xf numFmtId="0" fontId="10" fillId="0" borderId="8" xfId="0" applyFont="1" applyBorder="1" applyAlignment="1">
      <alignment horizontal="center"/>
    </xf>
    <xf numFmtId="0" fontId="0" fillId="0" borderId="2" xfId="0" applyBorder="1"/>
    <xf numFmtId="164" fontId="11" fillId="0" borderId="0" xfId="0" applyNumberFormat="1" applyFont="1" applyBorder="1"/>
    <xf numFmtId="164" fontId="11" fillId="0" borderId="5" xfId="0" applyNumberFormat="1" applyFont="1" applyBorder="1"/>
    <xf numFmtId="164" fontId="11" fillId="0" borderId="1" xfId="0" applyNumberFormat="1" applyFont="1" applyBorder="1"/>
    <xf numFmtId="164" fontId="11" fillId="0" borderId="6" xfId="0" applyNumberFormat="1" applyFont="1" applyBorder="1"/>
    <xf numFmtId="164" fontId="11" fillId="0" borderId="7" xfId="0" applyNumberFormat="1" applyFont="1" applyBorder="1"/>
    <xf numFmtId="164" fontId="11" fillId="0" borderId="3" xfId="0" applyNumberFormat="1" applyFont="1" applyBorder="1"/>
    <xf numFmtId="8" fontId="0" fillId="0" borderId="0" xfId="0" applyNumberFormat="1" applyBorder="1"/>
    <xf numFmtId="164" fontId="13" fillId="0" borderId="0" xfId="0" applyNumberFormat="1" applyFont="1" applyBorder="1"/>
    <xf numFmtId="3" fontId="10" fillId="0" borderId="10" xfId="0" applyNumberFormat="1" applyFont="1" applyBorder="1"/>
    <xf numFmtId="10" fontId="20" fillId="0" borderId="0" xfId="0" applyNumberFormat="1" applyFont="1" applyBorder="1"/>
    <xf numFmtId="0" fontId="9" fillId="0" borderId="9" xfId="0" applyFont="1" applyBorder="1"/>
    <xf numFmtId="0" fontId="9" fillId="0" borderId="9" xfId="0" applyFont="1" applyBorder="1" applyAlignment="1">
      <alignment horizontal="left"/>
    </xf>
    <xf numFmtId="0" fontId="0" fillId="0" borderId="11" xfId="0" applyBorder="1"/>
    <xf numFmtId="6" fontId="9" fillId="0" borderId="11" xfId="0" applyNumberFormat="1" applyFont="1" applyBorder="1"/>
    <xf numFmtId="186" fontId="27" fillId="0" borderId="0" xfId="1" applyNumberFormat="1" applyFont="1"/>
    <xf numFmtId="186" fontId="0" fillId="0" borderId="5" xfId="0" applyNumberFormat="1" applyBorder="1"/>
    <xf numFmtId="164" fontId="9" fillId="0" borderId="7" xfId="0" applyNumberFormat="1" applyFont="1" applyBorder="1"/>
    <xf numFmtId="199" fontId="20" fillId="7" borderId="4" xfId="0" applyNumberFormat="1" applyFont="1" applyFill="1" applyBorder="1"/>
    <xf numFmtId="44" fontId="8" fillId="7" borderId="3" xfId="1" applyNumberFormat="1" applyFont="1" applyFill="1" applyBorder="1"/>
    <xf numFmtId="164" fontId="8" fillId="7" borderId="7" xfId="1" applyNumberFormat="1" applyFont="1" applyFill="1" applyBorder="1" applyAlignment="1">
      <alignment horizontal="center"/>
    </xf>
    <xf numFmtId="164" fontId="8" fillId="7" borderId="5" xfId="1" applyNumberFormat="1" applyFont="1" applyFill="1" applyBorder="1" applyAlignment="1">
      <alignment horizontal="center"/>
    </xf>
    <xf numFmtId="186" fontId="28" fillId="7" borderId="10" xfId="1" applyNumberFormat="1" applyFont="1" applyFill="1" applyBorder="1" applyAlignment="1">
      <alignment horizontal="center"/>
    </xf>
    <xf numFmtId="164" fontId="8" fillId="7" borderId="10" xfId="1" applyNumberFormat="1" applyFont="1" applyFill="1" applyBorder="1" applyAlignment="1">
      <alignment horizontal="center"/>
    </xf>
    <xf numFmtId="164" fontId="8" fillId="7" borderId="11" xfId="1" applyNumberFormat="1" applyFont="1" applyFill="1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/>
    <xf numFmtId="186" fontId="4" fillId="0" borderId="0" xfId="1" applyNumberFormat="1" applyFont="1" applyBorder="1"/>
    <xf numFmtId="0" fontId="10" fillId="0" borderId="1" xfId="1" applyFont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vertical="center" textRotation="90" wrapText="1"/>
    </xf>
    <xf numFmtId="0" fontId="0" fillId="0" borderId="3" xfId="0" applyFont="1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8" fillId="2" borderId="3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48E720FB-E7BA-48A9-BCF7-568DF482D4A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 </c:v>
          </c:tx>
          <c:spPr>
            <a:noFill/>
            <a:ln w="25400">
              <a:noFill/>
            </a:ln>
          </c:spPr>
          <c:invertIfNegative val="0"/>
          <c:cat>
            <c:strRef>
              <c:f>'Valuation Graph'!$B$26:$B$39</c:f>
              <c:strCache>
                <c:ptCount val="13"/>
                <c:pt idx="0">
                  <c:v>11-15% Discount Rate, 5-9x Terminal Multiple:</c:v>
                </c:pt>
                <c:pt idx="2">
                  <c:v>Forward EV / EBITDA:</c:v>
                </c:pt>
                <c:pt idx="3">
                  <c:v>Trailing EV / EBITDA:</c:v>
                </c:pt>
                <c:pt idx="4">
                  <c:v>Forward EV / Revenue:</c:v>
                </c:pt>
                <c:pt idx="5">
                  <c:v>Trailing EV / Revenue:</c:v>
                </c:pt>
                <c:pt idx="7">
                  <c:v>2010E P / E:</c:v>
                </c:pt>
                <c:pt idx="8">
                  <c:v>2009 P / E:</c:v>
                </c:pt>
                <c:pt idx="9">
                  <c:v>2010E EV / EBITDA:</c:v>
                </c:pt>
                <c:pt idx="10">
                  <c:v>2009 EV / EBITDA:</c:v>
                </c:pt>
                <c:pt idx="11">
                  <c:v>2010E EV / Revenue:</c:v>
                </c:pt>
                <c:pt idx="12">
                  <c:v>2009 EV / Revenue:</c:v>
                </c:pt>
              </c:strCache>
            </c:strRef>
          </c:cat>
          <c:val>
            <c:numRef>
              <c:f>'Valuation Graph'!$L$26:$L$39</c:f>
              <c:numCache>
                <c:formatCode>General</c:formatCode>
                <c:ptCount val="14"/>
                <c:pt idx="0" formatCode="_(&quot;$&quot;* #,##0.00_);_(&quot;$&quot;* \(#,##0.00\);_(&quot;$&quot;* &quot;-&quot;??_);_(@_)">
                  <c:v>163.88467736114288</c:v>
                </c:pt>
                <c:pt idx="2" formatCode="_(&quot;$&quot;* #,##0.00_);_(&quot;$&quot;* \(#,##0.00\);_(&quot;$&quot;* &quot;-&quot;??_);_(@_)">
                  <c:v>211.189993057538</c:v>
                </c:pt>
                <c:pt idx="3" formatCode="_(&quot;$&quot;* #,##0.00_);_(&quot;$&quot;* \(#,##0.00\);_(&quot;$&quot;* &quot;-&quot;??_);_(@_)">
                  <c:v>162.40158501213483</c:v>
                </c:pt>
                <c:pt idx="4" formatCode="_(&quot;$&quot;* #,##0.00_);_(&quot;$&quot;* \(#,##0.00\);_(&quot;$&quot;* &quot;-&quot;??_);_(@_)">
                  <c:v>63.658403367201267</c:v>
                </c:pt>
                <c:pt idx="5" formatCode="_(&quot;$&quot;* #,##0.00_);_(&quot;$&quot;* \(#,##0.00\);_(&quot;$&quot;* &quot;-&quot;??_);_(@_)">
                  <c:v>57.408544658171422</c:v>
                </c:pt>
                <c:pt idx="7" formatCode="_(&quot;$&quot;* #,##0.00_);_(&quot;$&quot;* \(#,##0.00\);_(&quot;$&quot;* &quot;-&quot;??_);_(@_)">
                  <c:v>126.67759511792397</c:v>
                </c:pt>
                <c:pt idx="8" formatCode="_(&quot;$&quot;* #,##0.00_);_(&quot;$&quot;* \(#,##0.00\);_(&quot;$&quot;* &quot;-&quot;??_);_(@_)">
                  <c:v>136.10324271205886</c:v>
                </c:pt>
                <c:pt idx="9" formatCode="_(&quot;$&quot;* #,##0.00_);_(&quot;$&quot;* \(#,##0.00\);_(&quot;$&quot;* &quot;-&quot;??_);_(@_)">
                  <c:v>103.83522962633329</c:v>
                </c:pt>
                <c:pt idx="10" formatCode="_(&quot;$&quot;* #,##0.00_);_(&quot;$&quot;* \(#,##0.00\);_(&quot;$&quot;* &quot;-&quot;??_);_(@_)">
                  <c:v>101.49162167508079</c:v>
                </c:pt>
                <c:pt idx="11" formatCode="_(&quot;$&quot;* #,##0.00_);_(&quot;$&quot;* \(#,##0.00\);_(&quot;$&quot;* &quot;-&quot;??_);_(@_)">
                  <c:v>54.315365591586641</c:v>
                </c:pt>
                <c:pt idx="12" formatCode="_(&quot;$&quot;* #,##0.00_);_(&quot;$&quot;* \(#,##0.00\);_(&quot;$&quot;* &quot;-&quot;??_);_(@_)">
                  <c:v>52.117222846031865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BB-4E7A-9E0E-CC6CDF75F6BB}"/>
            </c:ext>
          </c:extLst>
        </c:ser>
        <c:ser>
          <c:idx val="1"/>
          <c:order val="1"/>
          <c:tx>
            <c:v>Min to 25th</c:v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'Valuation Graph'!$B$26:$B$39</c:f>
              <c:strCache>
                <c:ptCount val="13"/>
                <c:pt idx="0">
                  <c:v>11-15% Discount Rate, 5-9x Terminal Multiple:</c:v>
                </c:pt>
                <c:pt idx="2">
                  <c:v>Forward EV / EBITDA:</c:v>
                </c:pt>
                <c:pt idx="3">
                  <c:v>Trailing EV / EBITDA:</c:v>
                </c:pt>
                <c:pt idx="4">
                  <c:v>Forward EV / Revenue:</c:v>
                </c:pt>
                <c:pt idx="5">
                  <c:v>Trailing EV / Revenue:</c:v>
                </c:pt>
                <c:pt idx="7">
                  <c:v>2010E P / E:</c:v>
                </c:pt>
                <c:pt idx="8">
                  <c:v>2009 P / E:</c:v>
                </c:pt>
                <c:pt idx="9">
                  <c:v>2010E EV / EBITDA:</c:v>
                </c:pt>
                <c:pt idx="10">
                  <c:v>2009 EV / EBITDA:</c:v>
                </c:pt>
                <c:pt idx="11">
                  <c:v>2010E EV / Revenue:</c:v>
                </c:pt>
                <c:pt idx="12">
                  <c:v>2009 EV / Revenue:</c:v>
                </c:pt>
              </c:strCache>
            </c:strRef>
          </c:cat>
          <c:val>
            <c:numRef>
              <c:f>'Valuation Graph'!$M$26:$M$39</c:f>
              <c:numCache>
                <c:formatCode>General</c:formatCode>
                <c:ptCount val="14"/>
                <c:pt idx="0" formatCode="_(&quot;$&quot;* #,##0.00_);_(&quot;$&quot;* \(#,##0.00\);_(&quot;$&quot;* &quot;-&quot;??_);_(@_)">
                  <c:v>18.308969513248655</c:v>
                </c:pt>
                <c:pt idx="2" formatCode="_(&quot;$&quot;* #,##0.00_);_(&quot;$&quot;* \(#,##0.00\);_(&quot;$&quot;* &quot;-&quot;??_);_(@_)">
                  <c:v>66.51296541945436</c:v>
                </c:pt>
                <c:pt idx="3" formatCode="_(&quot;$&quot;* #,##0.00_);_(&quot;$&quot;* \(#,##0.00\);_(&quot;$&quot;* &quot;-&quot;??_);_(@_)">
                  <c:v>40.59204782486654</c:v>
                </c:pt>
                <c:pt idx="4" formatCode="_(&quot;$&quot;* #,##0.00_);_(&quot;$&quot;* \(#,##0.00\);_(&quot;$&quot;* &quot;-&quot;??_);_(@_)">
                  <c:v>99.651528714453605</c:v>
                </c:pt>
                <c:pt idx="5" formatCode="_(&quot;$&quot;* #,##0.00_);_(&quot;$&quot;* \(#,##0.00\);_(&quot;$&quot;* &quot;-&quot;??_);_(@_)">
                  <c:v>71.668998902263183</c:v>
                </c:pt>
                <c:pt idx="7" formatCode="_(&quot;$&quot;* #,##0.00_);_(&quot;$&quot;* \(#,##0.00\);_(&quot;$&quot;* &quot;-&quot;??_);_(@_)">
                  <c:v>14.259507912679254</c:v>
                </c:pt>
                <c:pt idx="8" formatCode="_(&quot;$&quot;* #,##0.00_);_(&quot;$&quot;* \(#,##0.00\);_(&quot;$&quot;* &quot;-&quot;??_);_(@_)">
                  <c:v>9.6651265344484045</c:v>
                </c:pt>
                <c:pt idx="9" formatCode="_(&quot;$&quot;* #,##0.00_);_(&quot;$&quot;* \(#,##0.00\);_(&quot;$&quot;* &quot;-&quot;??_);_(@_)">
                  <c:v>25.227959971989819</c:v>
                </c:pt>
                <c:pt idx="10" formatCode="_(&quot;$&quot;* #,##0.00_);_(&quot;$&quot;* \(#,##0.00\);_(&quot;$&quot;* &quot;-&quot;??_);_(@_)">
                  <c:v>41.531939054488973</c:v>
                </c:pt>
                <c:pt idx="11" formatCode="_(&quot;$&quot;* #,##0.00_);_(&quot;$&quot;* \(#,##0.00\);_(&quot;$&quot;* &quot;-&quot;??_);_(@_)">
                  <c:v>12.308441281050307</c:v>
                </c:pt>
                <c:pt idx="12" formatCode="_(&quot;$&quot;* #,##0.00_);_(&quot;$&quot;* \(#,##0.00\);_(&quot;$&quot;* &quot;-&quot;??_);_(@_)">
                  <c:v>7.5258612706125803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BB-4E7A-9E0E-CC6CDF75F6BB}"/>
            </c:ext>
          </c:extLst>
        </c:ser>
        <c:ser>
          <c:idx val="2"/>
          <c:order val="2"/>
          <c:tx>
            <c:v>25th to Median</c:v>
          </c:tx>
          <c:spPr>
            <a:solidFill>
              <a:srgbClr val="558ED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'Valuation Graph'!$B$26:$B$39</c:f>
              <c:strCache>
                <c:ptCount val="13"/>
                <c:pt idx="0">
                  <c:v>11-15% Discount Rate, 5-9x Terminal Multiple:</c:v>
                </c:pt>
                <c:pt idx="2">
                  <c:v>Forward EV / EBITDA:</c:v>
                </c:pt>
                <c:pt idx="3">
                  <c:v>Trailing EV / EBITDA:</c:v>
                </c:pt>
                <c:pt idx="4">
                  <c:v>Forward EV / Revenue:</c:v>
                </c:pt>
                <c:pt idx="5">
                  <c:v>Trailing EV / Revenue:</c:v>
                </c:pt>
                <c:pt idx="7">
                  <c:v>2010E P / E:</c:v>
                </c:pt>
                <c:pt idx="8">
                  <c:v>2009 P / E:</c:v>
                </c:pt>
                <c:pt idx="9">
                  <c:v>2010E EV / EBITDA:</c:v>
                </c:pt>
                <c:pt idx="10">
                  <c:v>2009 EV / EBITDA:</c:v>
                </c:pt>
                <c:pt idx="11">
                  <c:v>2010E EV / Revenue:</c:v>
                </c:pt>
                <c:pt idx="12">
                  <c:v>2009 EV / Revenue:</c:v>
                </c:pt>
              </c:strCache>
            </c:strRef>
          </c:cat>
          <c:val>
            <c:numRef>
              <c:f>'Valuation Graph'!$N$26:$N$39</c:f>
              <c:numCache>
                <c:formatCode>General</c:formatCode>
                <c:ptCount val="14"/>
                <c:pt idx="0" formatCode="_(&quot;$&quot;* #,##0.00_);_(&quot;$&quot;* \(#,##0.00\);_(&quot;$&quot;* &quot;-&quot;??_);_(@_)">
                  <c:v>19.785945337800314</c:v>
                </c:pt>
                <c:pt idx="2" formatCode="_(&quot;$&quot;* #,##0.00_);_(&quot;$&quot;* \(#,##0.00\);_(&quot;$&quot;* &quot;-&quot;??_);_(@_)">
                  <c:v>102.05565894993612</c:v>
                </c:pt>
                <c:pt idx="3" formatCode="_(&quot;$&quot;* #,##0.00_);_(&quot;$&quot;* \(#,##0.00\);_(&quot;$&quot;* &quot;-&quot;??_);_(@_)">
                  <c:v>41.297473229854461</c:v>
                </c:pt>
                <c:pt idx="4" formatCode="_(&quot;$&quot;* #,##0.00_);_(&quot;$&quot;* \(#,##0.00\);_(&quot;$&quot;* &quot;-&quot;??_);_(@_)">
                  <c:v>34.73133759550106</c:v>
                </c:pt>
                <c:pt idx="5" formatCode="_(&quot;$&quot;* #,##0.00_);_(&quot;$&quot;* \(#,##0.00\);_(&quot;$&quot;* &quot;-&quot;??_);_(@_)">
                  <c:v>36.738934057325451</c:v>
                </c:pt>
                <c:pt idx="7" formatCode="_(&quot;$&quot;* #,##0.00_);_(&quot;$&quot;* \(#,##0.00\);_(&quot;$&quot;* &quot;-&quot;??_);_(@_)">
                  <c:v>47.73865045292149</c:v>
                </c:pt>
                <c:pt idx="8" formatCode="_(&quot;$&quot;* #,##0.00_);_(&quot;$&quot;* \(#,##0.00\);_(&quot;$&quot;* &quot;-&quot;??_);_(@_)">
                  <c:v>33.425794435825537</c:v>
                </c:pt>
                <c:pt idx="9" formatCode="_(&quot;$&quot;* #,##0.00_);_(&quot;$&quot;* \(#,##0.00\);_(&quot;$&quot;* &quot;-&quot;??_);_(@_)">
                  <c:v>8.4746579884196365</c:v>
                </c:pt>
                <c:pt idx="10" formatCode="_(&quot;$&quot;* #,##0.00_);_(&quot;$&quot;* \(#,##0.00\);_(&quot;$&quot;* &quot;-&quot;??_);_(@_)">
                  <c:v>3.8749383103691457</c:v>
                </c:pt>
                <c:pt idx="11" formatCode="_(&quot;$&quot;* #,##0.00_);_(&quot;$&quot;* \(#,##0.00\);_(&quot;$&quot;* &quot;-&quot;??_);_(@_)">
                  <c:v>30.20643826941776</c:v>
                </c:pt>
                <c:pt idx="12" formatCode="_(&quot;$&quot;* #,##0.00_);_(&quot;$&quot;* \(#,##0.00\);_(&quot;$&quot;* &quot;-&quot;??_);_(@_)">
                  <c:v>29.436266900299657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BB-4E7A-9E0E-CC6CDF75F6BB}"/>
            </c:ext>
          </c:extLst>
        </c:ser>
        <c:ser>
          <c:idx val="3"/>
          <c:order val="3"/>
          <c:tx>
            <c:v>Median to 75th</c:v>
          </c:tx>
          <c:spPr>
            <a:solidFill>
              <a:srgbClr val="8EB4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'Valuation Graph'!$B$26:$B$39</c:f>
              <c:strCache>
                <c:ptCount val="13"/>
                <c:pt idx="0">
                  <c:v>11-15% Discount Rate, 5-9x Terminal Multiple:</c:v>
                </c:pt>
                <c:pt idx="2">
                  <c:v>Forward EV / EBITDA:</c:v>
                </c:pt>
                <c:pt idx="3">
                  <c:v>Trailing EV / EBITDA:</c:v>
                </c:pt>
                <c:pt idx="4">
                  <c:v>Forward EV / Revenue:</c:v>
                </c:pt>
                <c:pt idx="5">
                  <c:v>Trailing EV / Revenue:</c:v>
                </c:pt>
                <c:pt idx="7">
                  <c:v>2010E P / E:</c:v>
                </c:pt>
                <c:pt idx="8">
                  <c:v>2009 P / E:</c:v>
                </c:pt>
                <c:pt idx="9">
                  <c:v>2010E EV / EBITDA:</c:v>
                </c:pt>
                <c:pt idx="10">
                  <c:v>2009 EV / EBITDA:</c:v>
                </c:pt>
                <c:pt idx="11">
                  <c:v>2010E EV / Revenue:</c:v>
                </c:pt>
                <c:pt idx="12">
                  <c:v>2009 EV / Revenue:</c:v>
                </c:pt>
              </c:strCache>
            </c:strRef>
          </c:cat>
          <c:val>
            <c:numRef>
              <c:f>'Valuation Graph'!$O$26:$O$39</c:f>
              <c:numCache>
                <c:formatCode>General</c:formatCode>
                <c:ptCount val="14"/>
                <c:pt idx="0" formatCode="_(&quot;$&quot;* #,##0.00_);_(&quot;$&quot;* \(#,##0.00\);_(&quot;$&quot;* &quot;-&quot;??_);_(@_)">
                  <c:v>21.379335853981615</c:v>
                </c:pt>
                <c:pt idx="2" formatCode="_(&quot;$&quot;* #,##0.00_);_(&quot;$&quot;* \(#,##0.00\);_(&quot;$&quot;* &quot;-&quot;??_);_(@_)">
                  <c:v>86.00355782952812</c:v>
                </c:pt>
                <c:pt idx="3" formatCode="_(&quot;$&quot;* #,##0.00_);_(&quot;$&quot;* \(#,##0.00\);_(&quot;$&quot;* &quot;-&quot;??_);_(@_)">
                  <c:v>41.242722239939383</c:v>
                </c:pt>
                <c:pt idx="4" formatCode="_(&quot;$&quot;* #,##0.00_);_(&quot;$&quot;* \(#,##0.00\);_(&quot;$&quot;* &quot;-&quot;??_);_(@_)">
                  <c:v>130.62043428743164</c:v>
                </c:pt>
                <c:pt idx="5" formatCode="_(&quot;$&quot;* #,##0.00_);_(&quot;$&quot;* \(#,##0.00\);_(&quot;$&quot;* &quot;-&quot;??_);_(@_)">
                  <c:v>153.80010993890309</c:v>
                </c:pt>
                <c:pt idx="7" formatCode="_(&quot;$&quot;* #,##0.00_);_(&quot;$&quot;* \(#,##0.00\);_(&quot;$&quot;* &quot;-&quot;??_);_(@_)">
                  <c:v>3.8713313189927874</c:v>
                </c:pt>
                <c:pt idx="8" formatCode="_(&quot;$&quot;* #,##0.00_);_(&quot;$&quot;* \(#,##0.00\);_(&quot;$&quot;* &quot;-&quot;??_);_(@_)">
                  <c:v>84.915344587845055</c:v>
                </c:pt>
                <c:pt idx="9" formatCode="_(&quot;$&quot;* #,##0.00_);_(&quot;$&quot;* \(#,##0.00\);_(&quot;$&quot;* &quot;-&quot;??_);_(@_)">
                  <c:v>23.405592982973531</c:v>
                </c:pt>
                <c:pt idx="10" formatCode="_(&quot;$&quot;* #,##0.00_);_(&quot;$&quot;* \(#,##0.00\);_(&quot;$&quot;* &quot;-&quot;??_);_(@_)">
                  <c:v>43.176964759188223</c:v>
                </c:pt>
                <c:pt idx="11" formatCode="_(&quot;$&quot;* #,##0.00_);_(&quot;$&quot;* \(#,##0.00\);_(&quot;$&quot;* &quot;-&quot;??_);_(@_)">
                  <c:v>76.967206414741128</c:v>
                </c:pt>
                <c:pt idx="12" formatCode="_(&quot;$&quot;* #,##0.00_);_(&quot;$&quot;* \(#,##0.00\);_(&quot;$&quot;* &quot;-&quot;??_);_(@_)">
                  <c:v>81.286545860736041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BB-4E7A-9E0E-CC6CDF75F6BB}"/>
            </c:ext>
          </c:extLst>
        </c:ser>
        <c:ser>
          <c:idx val="4"/>
          <c:order val="4"/>
          <c:tx>
            <c:v>75th to Max</c:v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'Valuation Graph'!$B$26:$B$39</c:f>
              <c:strCache>
                <c:ptCount val="13"/>
                <c:pt idx="0">
                  <c:v>11-15% Discount Rate, 5-9x Terminal Multiple:</c:v>
                </c:pt>
                <c:pt idx="2">
                  <c:v>Forward EV / EBITDA:</c:v>
                </c:pt>
                <c:pt idx="3">
                  <c:v>Trailing EV / EBITDA:</c:v>
                </c:pt>
                <c:pt idx="4">
                  <c:v>Forward EV / Revenue:</c:v>
                </c:pt>
                <c:pt idx="5">
                  <c:v>Trailing EV / Revenue:</c:v>
                </c:pt>
                <c:pt idx="7">
                  <c:v>2010E P / E:</c:v>
                </c:pt>
                <c:pt idx="8">
                  <c:v>2009 P / E:</c:v>
                </c:pt>
                <c:pt idx="9">
                  <c:v>2010E EV / EBITDA:</c:v>
                </c:pt>
                <c:pt idx="10">
                  <c:v>2009 EV / EBITDA:</c:v>
                </c:pt>
                <c:pt idx="11">
                  <c:v>2010E EV / Revenue:</c:v>
                </c:pt>
                <c:pt idx="12">
                  <c:v>2009 EV / Revenue:</c:v>
                </c:pt>
              </c:strCache>
            </c:strRef>
          </c:cat>
          <c:val>
            <c:numRef>
              <c:f>'Valuation Graph'!$P$26:$P$39</c:f>
              <c:numCache>
                <c:formatCode>General</c:formatCode>
                <c:ptCount val="14"/>
                <c:pt idx="0" formatCode="_(&quot;$&quot;* #,##0.00_);_(&quot;$&quot;* \(#,##0.00\);_(&quot;$&quot;* &quot;-&quot;??_);_(@_)">
                  <c:v>23.09892535907187</c:v>
                </c:pt>
                <c:pt idx="2" formatCode="_(&quot;$&quot;* #,##0.00_);_(&quot;$&quot;* \(#,##0.00\);_(&quot;$&quot;* &quot;-&quot;??_);_(@_)">
                  <c:v>159.85436655810537</c:v>
                </c:pt>
                <c:pt idx="3" formatCode="_(&quot;$&quot;* #,##0.00_);_(&quot;$&quot;* \(#,##0.00\);_(&quot;$&quot;* &quot;-&quot;??_);_(@_)">
                  <c:v>320.86457131283879</c:v>
                </c:pt>
                <c:pt idx="4" formatCode="_(&quot;$&quot;* #,##0.00_);_(&quot;$&quot;* \(#,##0.00\);_(&quot;$&quot;* &quot;-&quot;??_);_(@_)">
                  <c:v>144.19159592715954</c:v>
                </c:pt>
                <c:pt idx="5" formatCode="_(&quot;$&quot;* #,##0.00_);_(&quot;$&quot;* \(#,##0.00\);_(&quot;$&quot;* &quot;-&quot;??_);_(@_)">
                  <c:v>104.70047188921473</c:v>
                </c:pt>
                <c:pt idx="7" formatCode="_(&quot;$&quot;* #,##0.00_);_(&quot;$&quot;* \(#,##0.00\);_(&quot;$&quot;* &quot;-&quot;??_);_(@_)">
                  <c:v>323.94993044455725</c:v>
                </c:pt>
                <c:pt idx="8" formatCode="_(&quot;$&quot;* #,##0.00_);_(&quot;$&quot;* \(#,##0.00\);_(&quot;$&quot;* &quot;-&quot;??_);_(@_)">
                  <c:v>164.13377699050676</c:v>
                </c:pt>
                <c:pt idx="9" formatCode="_(&quot;$&quot;* #,##0.00_);_(&quot;$&quot;* \(#,##0.00\);_(&quot;$&quot;* &quot;-&quot;??_);_(@_)">
                  <c:v>27.007332103237701</c:v>
                </c:pt>
                <c:pt idx="10" formatCode="_(&quot;$&quot;* #,##0.00_);_(&quot;$&quot;* \(#,##0.00\);_(&quot;$&quot;* &quot;-&quot;??_);_(@_)">
                  <c:v>13.334900867587351</c:v>
                </c:pt>
                <c:pt idx="11" formatCode="_(&quot;$&quot;* #,##0.00_);_(&quot;$&quot;* \(#,##0.00\);_(&quot;$&quot;* &quot;-&quot;??_);_(@_)">
                  <c:v>15.634146397493936</c:v>
                </c:pt>
                <c:pt idx="12" formatCode="_(&quot;$&quot;* #,##0.00_);_(&quot;$&quot;* \(#,##0.00\);_(&quot;$&quot;* &quot;-&quot;??_);_(@_)">
                  <c:v>10.925658651842582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BB-4E7A-9E0E-CC6CDF75F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1912160"/>
        <c:axId val="1"/>
      </c:barChart>
      <c:catAx>
        <c:axId val="10019121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\$#,##0.0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191216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7038361706762946"/>
          <c:y val="0.3400726267912163"/>
          <c:w val="0.98738339920948626"/>
          <c:h val="0.6056088912798943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44" l="0.7000000000000004" r="0.7000000000000004" t="0.75000000000000044" header="0.30000000000000021" footer="0.30000000000000021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25400</xdr:colOff>
      <xdr:row>23</xdr:row>
      <xdr:rowOff>38100</xdr:rowOff>
    </xdr:to>
    <xdr:graphicFrame macro="">
      <xdr:nvGraphicFramePr>
        <xdr:cNvPr id="3679" name="Chart 1">
          <a:extLst>
            <a:ext uri="{FF2B5EF4-FFF2-40B4-BE49-F238E27FC236}">
              <a16:creationId xmlns:a16="http://schemas.microsoft.com/office/drawing/2014/main" id="{E58A7F84-99DE-1E97-F3E4-C8804139B1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0.07842</cdr:x>
      <cdr:y>0.03384</cdr:y>
    </cdr:from>
    <cdr:to>
      <cdr:x>0.32589</cdr:x>
      <cdr:y>0.08765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9125" y="152398"/>
          <a:ext cx="1962150" cy="2286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 b="1">
              <a:solidFill>
                <a:schemeClr val="tx2"/>
              </a:solidFill>
            </a:rPr>
            <a:t>Public Company Comparables</a:t>
          </a:r>
        </a:p>
      </cdr:txBody>
    </cdr:sp>
  </cdr:relSizeAnchor>
  <cdr:relSizeAnchor xmlns:cdr="http://schemas.openxmlformats.org/drawingml/2006/chartDrawing">
    <cdr:from>
      <cdr:x>0.12638</cdr:x>
      <cdr:y>0.46505</cdr:y>
    </cdr:from>
    <cdr:to>
      <cdr:x>0.32398</cdr:x>
      <cdr:y>0.51886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000100" y="1981224"/>
          <a:ext cx="1562125" cy="2285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tx2"/>
              </a:solidFill>
            </a:rPr>
            <a:t>Precedent Transactions</a:t>
          </a:r>
        </a:p>
      </cdr:txBody>
    </cdr:sp>
  </cdr:relSizeAnchor>
  <cdr:relSizeAnchor xmlns:cdr="http://schemas.openxmlformats.org/drawingml/2006/chartDrawing">
    <cdr:from>
      <cdr:x>0.07747</cdr:x>
      <cdr:y>0.77865</cdr:y>
    </cdr:from>
    <cdr:to>
      <cdr:x>0.32734</cdr:x>
      <cdr:y>0.8282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09600" y="3314684"/>
          <a:ext cx="1981200" cy="2095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tx2"/>
              </a:solidFill>
            </a:rPr>
            <a:t>Discounted Cash Flow Analysis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1153-2842-416B-A6CE-D45BD3BC14BE}">
  <sheetPr>
    <tabColor theme="4" tint="-0.249977111117893"/>
  </sheetPr>
  <dimension ref="B2:P178"/>
  <sheetViews>
    <sheetView zoomScaleNormal="100" workbookViewId="0">
      <selection activeCell="E178" sqref="E178"/>
    </sheetView>
  </sheetViews>
  <sheetFormatPr defaultColWidth="8.81640625" defaultRowHeight="14.5" outlineLevelRow="1" x14ac:dyDescent="0.35"/>
  <cols>
    <col min="1" max="1" width="2.6328125" customWidth="1"/>
    <col min="4" max="4" width="9.1796875" customWidth="1"/>
    <col min="5" max="5" width="9.6328125" customWidth="1"/>
    <col min="6" max="7" width="9.1796875" customWidth="1"/>
    <col min="15" max="15" width="9.36328125" bestFit="1" customWidth="1"/>
  </cols>
  <sheetData>
    <row r="2" spans="2:15" x14ac:dyDescent="0.35">
      <c r="B2" s="34" t="str">
        <f>Company_Name&amp;" - Financial Statements"</f>
        <v>Apple Inc. - Financial Statements</v>
      </c>
    </row>
    <row r="3" spans="2:15" x14ac:dyDescent="0.35">
      <c r="B3" s="143" t="s">
        <v>103</v>
      </c>
    </row>
    <row r="5" spans="2:15" x14ac:dyDescent="0.35">
      <c r="B5" s="272" t="s">
        <v>108</v>
      </c>
      <c r="C5" s="37"/>
      <c r="D5" s="37"/>
      <c r="E5" s="37"/>
      <c r="F5" s="37"/>
      <c r="G5" s="37"/>
      <c r="H5" s="38"/>
      <c r="I5" s="38"/>
      <c r="J5" s="38"/>
      <c r="K5" s="38"/>
      <c r="L5" s="38"/>
      <c r="M5" s="39"/>
    </row>
    <row r="6" spans="2:15" x14ac:dyDescent="0.35">
      <c r="B6" s="1"/>
      <c r="C6" s="22"/>
      <c r="D6" s="22"/>
      <c r="E6" s="22"/>
      <c r="F6" s="22"/>
      <c r="G6" s="22"/>
      <c r="H6" s="22"/>
      <c r="I6" s="22"/>
      <c r="J6" s="22"/>
      <c r="K6" s="22"/>
      <c r="L6" s="22"/>
      <c r="M6" s="21"/>
    </row>
    <row r="7" spans="2:15" x14ac:dyDescent="0.35">
      <c r="B7" s="3" t="s">
        <v>116</v>
      </c>
      <c r="C7" s="22"/>
      <c r="D7" s="22"/>
      <c r="E7" s="134">
        <v>40207</v>
      </c>
      <c r="F7" s="22"/>
      <c r="G7" s="66" t="s">
        <v>68</v>
      </c>
      <c r="H7" s="22"/>
      <c r="I7" s="119">
        <v>2009</v>
      </c>
      <c r="J7" s="22"/>
      <c r="K7" s="66" t="s">
        <v>79</v>
      </c>
      <c r="L7" s="22"/>
      <c r="M7" s="120">
        <v>360</v>
      </c>
    </row>
    <row r="8" spans="2:15" x14ac:dyDescent="0.35">
      <c r="B8" s="3" t="s">
        <v>66</v>
      </c>
      <c r="C8" s="22"/>
      <c r="E8" s="119" t="s">
        <v>67</v>
      </c>
      <c r="G8" s="66" t="s">
        <v>75</v>
      </c>
      <c r="H8" s="22"/>
      <c r="I8" s="119">
        <v>2010</v>
      </c>
      <c r="J8" s="22"/>
      <c r="K8" s="66" t="s">
        <v>99</v>
      </c>
      <c r="L8" s="22"/>
      <c r="M8" s="58">
        <v>1000</v>
      </c>
    </row>
    <row r="9" spans="2:15" x14ac:dyDescent="0.35">
      <c r="B9" s="3" t="s">
        <v>115</v>
      </c>
      <c r="C9" s="22"/>
      <c r="D9" s="72"/>
      <c r="E9" s="133">
        <v>192.06</v>
      </c>
      <c r="G9" s="34" t="s">
        <v>162</v>
      </c>
      <c r="I9" s="119">
        <v>1000</v>
      </c>
      <c r="K9" s="34" t="s">
        <v>163</v>
      </c>
      <c r="M9" s="237">
        <v>0.3</v>
      </c>
    </row>
    <row r="10" spans="2:15" x14ac:dyDescent="0.35">
      <c r="B10" s="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1"/>
    </row>
    <row r="11" spans="2:15" x14ac:dyDescent="0.35">
      <c r="B11" s="3" t="s">
        <v>109</v>
      </c>
      <c r="C11" s="22"/>
      <c r="D11" s="22"/>
      <c r="E11" s="121">
        <v>900678.473</v>
      </c>
      <c r="F11" s="22"/>
      <c r="G11" s="66" t="s">
        <v>164</v>
      </c>
      <c r="H11" s="22"/>
      <c r="I11" s="22"/>
      <c r="J11" s="22"/>
      <c r="K11" s="22"/>
      <c r="L11" s="22"/>
      <c r="M11" s="21"/>
    </row>
    <row r="12" spans="2:15" x14ac:dyDescent="0.35">
      <c r="B12" s="3" t="s">
        <v>110</v>
      </c>
      <c r="C12" s="22"/>
      <c r="D12" s="22"/>
      <c r="E12" s="20">
        <f>E11/Units*Share_Price</f>
        <v>172984.30752438001</v>
      </c>
      <c r="F12" s="22"/>
      <c r="G12" s="22"/>
      <c r="H12" s="22"/>
      <c r="I12" s="22"/>
      <c r="J12" s="22"/>
      <c r="K12" s="22"/>
      <c r="L12" s="22"/>
      <c r="M12" s="21"/>
    </row>
    <row r="13" spans="2:15" x14ac:dyDescent="0.35">
      <c r="B13" s="3" t="s">
        <v>12</v>
      </c>
      <c r="C13" s="22"/>
      <c r="D13" s="22"/>
      <c r="E13" s="122">
        <f>E11+J20</f>
        <v>920525.62363001145</v>
      </c>
      <c r="F13" s="22"/>
      <c r="G13" s="126"/>
      <c r="H13" s="126"/>
      <c r="I13" s="127" t="s">
        <v>128</v>
      </c>
      <c r="J13" s="127"/>
      <c r="K13" s="22"/>
      <c r="L13" s="22"/>
      <c r="M13" s="21"/>
    </row>
    <row r="14" spans="2:15" x14ac:dyDescent="0.35">
      <c r="B14" s="3" t="s">
        <v>113</v>
      </c>
      <c r="C14" s="22"/>
      <c r="D14" s="22"/>
      <c r="E14" s="20">
        <f>E13/Units*Share_Price</f>
        <v>176796.15127437998</v>
      </c>
      <c r="F14" s="22"/>
      <c r="G14" s="128" t="s">
        <v>131</v>
      </c>
      <c r="H14" s="129" t="s">
        <v>127</v>
      </c>
      <c r="I14" s="129" t="s">
        <v>129</v>
      </c>
      <c r="J14" s="128" t="s">
        <v>130</v>
      </c>
      <c r="K14" s="22"/>
      <c r="L14" s="22"/>
      <c r="M14" s="21"/>
    </row>
    <row r="15" spans="2:15" x14ac:dyDescent="0.35">
      <c r="B15" s="10" t="s">
        <v>140</v>
      </c>
      <c r="C15" s="22"/>
      <c r="D15" s="22"/>
      <c r="E15" s="70">
        <f>H99+H100+H108</f>
        <v>35395</v>
      </c>
      <c r="F15" s="22"/>
      <c r="G15" s="130" t="s">
        <v>132</v>
      </c>
      <c r="H15" s="121">
        <v>34375</v>
      </c>
      <c r="I15" s="133">
        <v>81.17</v>
      </c>
      <c r="J15" s="122">
        <f>IF(I15&gt;Share_Price,0,H15-H15*I15/Share_Price)</f>
        <v>19847.150630011456</v>
      </c>
      <c r="K15" s="22"/>
      <c r="L15" s="22"/>
      <c r="M15" s="21"/>
    </row>
    <row r="16" spans="2:15" x14ac:dyDescent="0.35">
      <c r="B16" s="10" t="s">
        <v>117</v>
      </c>
      <c r="C16" s="22"/>
      <c r="D16" s="22"/>
      <c r="E16" s="70">
        <f>H124</f>
        <v>0</v>
      </c>
      <c r="F16" s="22"/>
      <c r="G16" s="130" t="s">
        <v>133</v>
      </c>
      <c r="H16" s="121"/>
      <c r="I16" s="133"/>
      <c r="J16" s="122"/>
      <c r="K16" s="22"/>
      <c r="L16" s="22"/>
      <c r="M16" s="21"/>
      <c r="O16" s="113"/>
    </row>
    <row r="17" spans="2:16" x14ac:dyDescent="0.35">
      <c r="B17" s="10" t="s">
        <v>118</v>
      </c>
      <c r="C17" s="22"/>
      <c r="D17" s="22"/>
      <c r="E17" s="59">
        <v>0</v>
      </c>
      <c r="F17" s="22"/>
      <c r="G17" s="130" t="s">
        <v>134</v>
      </c>
      <c r="H17" s="121"/>
      <c r="I17" s="133"/>
      <c r="J17" s="122"/>
      <c r="K17" s="22"/>
      <c r="L17" s="22"/>
      <c r="M17" s="21"/>
      <c r="O17" s="113"/>
      <c r="P17" s="113"/>
    </row>
    <row r="18" spans="2:16" x14ac:dyDescent="0.35">
      <c r="B18" s="10" t="s">
        <v>119</v>
      </c>
      <c r="C18" s="22"/>
      <c r="D18" s="22"/>
      <c r="E18" s="59">
        <v>0</v>
      </c>
      <c r="F18" s="22"/>
      <c r="G18" s="131" t="s">
        <v>136</v>
      </c>
      <c r="H18" s="121"/>
      <c r="I18" s="133"/>
      <c r="J18" s="122"/>
      <c r="K18" s="22"/>
      <c r="L18" s="22"/>
      <c r="M18" s="21"/>
      <c r="O18" s="113"/>
      <c r="P18" s="113"/>
    </row>
    <row r="19" spans="2:16" x14ac:dyDescent="0.35">
      <c r="B19" s="10" t="s">
        <v>139</v>
      </c>
      <c r="C19" s="22"/>
      <c r="D19" s="22"/>
      <c r="E19" s="59">
        <v>0</v>
      </c>
      <c r="F19" s="22"/>
      <c r="G19" s="131" t="s">
        <v>137</v>
      </c>
      <c r="H19" s="121"/>
      <c r="I19" s="133"/>
      <c r="J19" s="122"/>
      <c r="K19" s="22"/>
      <c r="L19" s="22"/>
      <c r="M19" s="21"/>
      <c r="O19" s="113"/>
    </row>
    <row r="20" spans="2:16" x14ac:dyDescent="0.35">
      <c r="B20" s="3" t="s">
        <v>120</v>
      </c>
      <c r="C20" s="22"/>
      <c r="D20" s="22"/>
      <c r="E20" s="53">
        <f>Equity_Value-E15+E16+E17+E18+E19</f>
        <v>141401.15127437998</v>
      </c>
      <c r="F20" s="22"/>
      <c r="G20" s="132" t="s">
        <v>135</v>
      </c>
      <c r="H20" s="31"/>
      <c r="I20" s="31"/>
      <c r="J20" s="142">
        <f>SUM(J15:J19)</f>
        <v>19847.150630011456</v>
      </c>
      <c r="K20" s="22"/>
      <c r="L20" s="22"/>
      <c r="M20" s="21"/>
      <c r="O20" s="113"/>
    </row>
    <row r="21" spans="2:16" x14ac:dyDescent="0.35">
      <c r="B21" s="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1"/>
    </row>
    <row r="22" spans="2:16" x14ac:dyDescent="0.35">
      <c r="B22" s="1"/>
      <c r="C22" s="22"/>
      <c r="D22" s="22"/>
      <c r="E22" s="22"/>
      <c r="F22" s="89" t="s">
        <v>81</v>
      </c>
      <c r="G22" s="90"/>
      <c r="H22" s="93"/>
      <c r="I22" s="91" t="s">
        <v>80</v>
      </c>
      <c r="J22" s="91"/>
      <c r="K22" s="91"/>
      <c r="L22" s="91"/>
      <c r="M22" s="92"/>
      <c r="O22" s="113"/>
    </row>
    <row r="23" spans="2:16" hidden="1" outlineLevel="1" x14ac:dyDescent="0.35">
      <c r="B23" s="1"/>
      <c r="C23" s="22"/>
      <c r="D23" s="22"/>
      <c r="E23" s="22"/>
      <c r="F23" s="35">
        <f>G23-1</f>
        <v>2007</v>
      </c>
      <c r="G23" s="35">
        <f>H23-1</f>
        <v>2008</v>
      </c>
      <c r="H23" s="36">
        <f>Hist_Year</f>
        <v>2009</v>
      </c>
      <c r="I23" s="35">
        <f>H23+1</f>
        <v>2010</v>
      </c>
      <c r="J23" s="35">
        <f>I23+1</f>
        <v>2011</v>
      </c>
      <c r="K23" s="35">
        <f>J23+1</f>
        <v>2012</v>
      </c>
      <c r="L23" s="35">
        <f>K23+1</f>
        <v>2013</v>
      </c>
      <c r="M23" s="36">
        <f>L23+1</f>
        <v>2014</v>
      </c>
    </row>
    <row r="24" spans="2:16" collapsed="1" x14ac:dyDescent="0.35">
      <c r="B24" s="1"/>
      <c r="C24" s="22"/>
      <c r="D24" s="22"/>
      <c r="E24" s="22"/>
      <c r="F24" s="35" t="str">
        <f>"FY "&amp;Hist_Year-2</f>
        <v>FY 2007</v>
      </c>
      <c r="G24" s="35" t="str">
        <f>"FY "&amp;Hist_Year-1</f>
        <v>FY 2008</v>
      </c>
      <c r="H24" s="36" t="str">
        <f>"FY "&amp;Hist_Year</f>
        <v>FY 2009</v>
      </c>
      <c r="I24" s="35" t="str">
        <f>"FY "&amp;Hist_Year+1&amp;"E"</f>
        <v>FY 2010E</v>
      </c>
      <c r="J24" s="35" t="str">
        <f>"FY "&amp;Hist_Year+2&amp;"E"</f>
        <v>FY 2011E</v>
      </c>
      <c r="K24" s="35" t="str">
        <f>"FY "&amp;Hist_Year+3&amp;"E"</f>
        <v>FY 2012E</v>
      </c>
      <c r="L24" s="35" t="str">
        <f>"FY "&amp;Hist_Year+4&amp;"E"</f>
        <v>FY 2013E</v>
      </c>
      <c r="M24" s="36" t="str">
        <f>"FY "&amp;Hist_Year+5&amp;"E"</f>
        <v>FY 2014E</v>
      </c>
    </row>
    <row r="25" spans="2:16" x14ac:dyDescent="0.35">
      <c r="B25" s="1"/>
      <c r="C25" s="22"/>
      <c r="D25" s="22"/>
      <c r="E25" s="22"/>
      <c r="F25" s="68"/>
      <c r="G25" s="68"/>
      <c r="H25" s="68"/>
      <c r="I25" s="68"/>
      <c r="J25" s="68"/>
      <c r="K25" s="68"/>
      <c r="L25" s="68"/>
      <c r="M25" s="135"/>
    </row>
    <row r="26" spans="2:16" x14ac:dyDescent="0.35">
      <c r="B26" s="3" t="s">
        <v>121</v>
      </c>
      <c r="C26" s="22"/>
      <c r="D26" s="22"/>
      <c r="E26" s="22"/>
      <c r="F26" s="136">
        <f t="shared" ref="F26:M26" si="0">Enterprise_Value/F66</f>
        <v>5.7531593813320852</v>
      </c>
      <c r="G26" s="136">
        <f t="shared" si="0"/>
        <v>3.7716025519292624</v>
      </c>
      <c r="H26" s="136">
        <f t="shared" si="0"/>
        <v>3.2956800203794425</v>
      </c>
      <c r="I26" s="136">
        <f t="shared" si="0"/>
        <v>2.6365440163035538</v>
      </c>
      <c r="J26" s="136">
        <f t="shared" si="0"/>
        <v>2.2534564241910719</v>
      </c>
      <c r="K26" s="136">
        <f t="shared" si="0"/>
        <v>2.0301409226946592</v>
      </c>
      <c r="L26" s="136">
        <f t="shared" si="0"/>
        <v>1.8625146079767516</v>
      </c>
      <c r="M26" s="137">
        <f t="shared" si="0"/>
        <v>1.7406678579221977</v>
      </c>
    </row>
    <row r="27" spans="2:16" x14ac:dyDescent="0.35">
      <c r="B27" s="3" t="s">
        <v>122</v>
      </c>
      <c r="C27" s="22"/>
      <c r="D27" s="22"/>
      <c r="E27" s="22"/>
      <c r="F27" s="136">
        <f t="shared" ref="F27:M28" si="1">Enterprise_Value/F90</f>
        <v>30.415390680658202</v>
      </c>
      <c r="G27" s="136">
        <f t="shared" si="1"/>
        <v>15.990178816507971</v>
      </c>
      <c r="H27" s="136">
        <f t="shared" si="1"/>
        <v>11.357522190713251</v>
      </c>
      <c r="I27" s="136">
        <f t="shared" si="1"/>
        <v>9.1094315525450149</v>
      </c>
      <c r="J27" s="136">
        <f t="shared" si="1"/>
        <v>7.7816398970553546</v>
      </c>
      <c r="K27" s="136">
        <f t="shared" si="1"/>
        <v>7.0059465843968445</v>
      </c>
      <c r="L27" s="136">
        <f t="shared" si="1"/>
        <v>6.4223592787848025</v>
      </c>
      <c r="M27" s="137">
        <f t="shared" si="1"/>
        <v>6.0012089012494121</v>
      </c>
    </row>
    <row r="28" spans="2:16" x14ac:dyDescent="0.35">
      <c r="B28" s="3" t="s">
        <v>123</v>
      </c>
      <c r="C28" s="22"/>
      <c r="D28" s="22"/>
      <c r="E28" s="22"/>
      <c r="F28" s="136">
        <f t="shared" si="1"/>
        <v>28.416630079256429</v>
      </c>
      <c r="G28" s="136">
        <f t="shared" si="1"/>
        <v>15.140930642936073</v>
      </c>
      <c r="H28" s="136">
        <f t="shared" si="1"/>
        <v>10.725208682826151</v>
      </c>
      <c r="I28" s="136">
        <f t="shared" si="1"/>
        <v>8.5801669462609205</v>
      </c>
      <c r="J28" s="136">
        <f t="shared" si="1"/>
        <v>7.3334760224452324</v>
      </c>
      <c r="K28" s="136">
        <f t="shared" si="1"/>
        <v>6.6067351553560645</v>
      </c>
      <c r="L28" s="136">
        <f t="shared" si="1"/>
        <v>6.061224913170701</v>
      </c>
      <c r="M28" s="137">
        <f t="shared" si="1"/>
        <v>5.6646961805333644</v>
      </c>
    </row>
    <row r="29" spans="2:16" x14ac:dyDescent="0.35">
      <c r="B29" s="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1"/>
    </row>
    <row r="30" spans="2:16" x14ac:dyDescent="0.35">
      <c r="B30" s="3" t="s">
        <v>124</v>
      </c>
      <c r="C30" s="22"/>
      <c r="D30" s="22"/>
      <c r="E30" s="22"/>
      <c r="F30" s="136">
        <f t="shared" ref="F30:M30" si="2">Equity_Value/F92</f>
        <v>37.338152328274546</v>
      </c>
      <c r="G30" s="136">
        <f t="shared" si="2"/>
        <v>20.787319373824808</v>
      </c>
      <c r="H30" s="136">
        <f t="shared" si="2"/>
        <v>17.146363230955288</v>
      </c>
      <c r="I30" s="136">
        <f t="shared" ca="1" si="2"/>
        <v>13.536470357115967</v>
      </c>
      <c r="J30" s="136">
        <f t="shared" ca="1" si="2"/>
        <v>12.094069463152987</v>
      </c>
      <c r="K30" s="136">
        <f t="shared" ca="1" si="2"/>
        <v>10.941841412030866</v>
      </c>
      <c r="L30" s="136">
        <f t="shared" ca="1" si="2"/>
        <v>10.098434757230466</v>
      </c>
      <c r="M30" s="137">
        <f t="shared" ca="1" si="2"/>
        <v>9.1218143888067633</v>
      </c>
    </row>
    <row r="31" spans="2:16" x14ac:dyDescent="0.35">
      <c r="B31" s="3" t="s">
        <v>125</v>
      </c>
      <c r="C31" s="22"/>
      <c r="D31" s="22"/>
      <c r="E31" s="22"/>
      <c r="F31" s="136">
        <f t="shared" ref="F31:M31" si="3">Share_Price/F87</f>
        <v>48.869076257510734</v>
      </c>
      <c r="G31" s="136">
        <f t="shared" si="3"/>
        <v>28.315871276352347</v>
      </c>
      <c r="H31" s="136">
        <f t="shared" si="3"/>
        <v>21.153537377049183</v>
      </c>
      <c r="I31" s="136">
        <f t="shared" ca="1" si="3"/>
        <v>16.574667217958286</v>
      </c>
      <c r="J31" s="136">
        <f t="shared" ca="1" si="3"/>
        <v>14.131210341907879</v>
      </c>
      <c r="K31" s="136">
        <f t="shared" ca="1" si="3"/>
        <v>12.208720759266804</v>
      </c>
      <c r="L31" s="136">
        <f t="shared" ca="1" si="3"/>
        <v>11.084717520161737</v>
      </c>
      <c r="M31" s="137">
        <f t="shared" ca="1" si="3"/>
        <v>9.8165281571058642</v>
      </c>
    </row>
    <row r="32" spans="2:16" x14ac:dyDescent="0.35">
      <c r="B32" s="6" t="s">
        <v>126</v>
      </c>
      <c r="C32" s="23"/>
      <c r="D32" s="23"/>
      <c r="E32" s="23"/>
      <c r="F32" s="138"/>
      <c r="G32" s="138">
        <f t="shared" ref="G32:M32" si="4">Share_Price/G93</f>
        <v>7.9461048539325834</v>
      </c>
      <c r="H32" s="138">
        <f t="shared" si="4"/>
        <v>5.5576627201378255</v>
      </c>
      <c r="I32" s="138">
        <f t="shared" ca="1" si="4"/>
        <v>4.0718411399189272</v>
      </c>
      <c r="J32" s="138">
        <f t="shared" ca="1" si="4"/>
        <v>3.1005085206850618</v>
      </c>
      <c r="K32" s="138">
        <f t="shared" ca="1" si="4"/>
        <v>2.4318257612430481</v>
      </c>
      <c r="L32" s="138">
        <f t="shared" ca="1" si="4"/>
        <v>1.9657386738563785</v>
      </c>
      <c r="M32" s="139">
        <f t="shared" ca="1" si="4"/>
        <v>1.6171864270911152</v>
      </c>
    </row>
    <row r="34" spans="2:13" x14ac:dyDescent="0.35">
      <c r="B34" s="272" t="s">
        <v>65</v>
      </c>
      <c r="C34" s="37"/>
      <c r="D34" s="37"/>
      <c r="E34" s="37"/>
      <c r="F34" s="37"/>
      <c r="G34" s="37"/>
      <c r="H34" s="38"/>
      <c r="I34" s="38"/>
      <c r="J34" s="38"/>
      <c r="K34" s="38"/>
      <c r="L34" s="38"/>
      <c r="M34" s="39"/>
    </row>
    <row r="35" spans="2:13" x14ac:dyDescent="0.35">
      <c r="B35" s="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1"/>
    </row>
    <row r="36" spans="2:13" x14ac:dyDescent="0.35">
      <c r="B36" s="1"/>
      <c r="C36" s="22"/>
      <c r="D36" s="22"/>
      <c r="E36" s="22"/>
      <c r="F36" s="89" t="str">
        <f>F22</f>
        <v>Historical</v>
      </c>
      <c r="G36" s="90"/>
      <c r="H36" s="93"/>
      <c r="I36" s="91" t="str">
        <f>I22</f>
        <v>Projections</v>
      </c>
      <c r="J36" s="91"/>
      <c r="K36" s="91"/>
      <c r="L36" s="91"/>
      <c r="M36" s="92"/>
    </row>
    <row r="37" spans="2:13" x14ac:dyDescent="0.35">
      <c r="B37" s="1"/>
      <c r="C37" s="22"/>
      <c r="D37" s="22"/>
      <c r="E37" s="22"/>
      <c r="F37" s="35" t="str">
        <f>F24</f>
        <v>FY 2007</v>
      </c>
      <c r="G37" s="35" t="str">
        <f t="shared" ref="G37:M37" si="5">G24</f>
        <v>FY 2008</v>
      </c>
      <c r="H37" s="36" t="str">
        <f t="shared" si="5"/>
        <v>FY 2009</v>
      </c>
      <c r="I37" s="35" t="str">
        <f t="shared" si="5"/>
        <v>FY 2010E</v>
      </c>
      <c r="J37" s="35" t="str">
        <f t="shared" si="5"/>
        <v>FY 2011E</v>
      </c>
      <c r="K37" s="35" t="str">
        <f t="shared" si="5"/>
        <v>FY 2012E</v>
      </c>
      <c r="L37" s="35" t="str">
        <f t="shared" si="5"/>
        <v>FY 2013E</v>
      </c>
      <c r="M37" s="36" t="str">
        <f t="shared" si="5"/>
        <v>FY 2014E</v>
      </c>
    </row>
    <row r="38" spans="2:13" x14ac:dyDescent="0.35">
      <c r="B38" s="1"/>
      <c r="C38" s="22"/>
      <c r="D38" s="22"/>
      <c r="E38" s="22"/>
      <c r="F38" s="22"/>
      <c r="G38" s="22"/>
      <c r="H38" s="21"/>
      <c r="I38" s="22"/>
      <c r="J38" s="22"/>
      <c r="K38" s="22"/>
      <c r="L38" s="22"/>
      <c r="M38" s="21"/>
    </row>
    <row r="39" spans="2:13" x14ac:dyDescent="0.35">
      <c r="B39" s="1" t="s">
        <v>102</v>
      </c>
      <c r="C39" s="22"/>
      <c r="D39" s="22"/>
      <c r="E39" s="22"/>
      <c r="F39" s="94">
        <f>F66/19315-1</f>
        <v>0.27248252653378202</v>
      </c>
      <c r="G39" s="94">
        <f>G66/F66-1</f>
        <v>0.52538855887378966</v>
      </c>
      <c r="H39" s="96">
        <f>H66/G66-1</f>
        <v>0.14440799125123371</v>
      </c>
      <c r="I39" s="104">
        <v>0.25</v>
      </c>
      <c r="J39" s="105">
        <v>0.17</v>
      </c>
      <c r="K39" s="105">
        <v>0.11</v>
      </c>
      <c r="L39" s="105">
        <v>0.09</v>
      </c>
      <c r="M39" s="106">
        <v>7.0000000000000007E-2</v>
      </c>
    </row>
    <row r="40" spans="2:13" x14ac:dyDescent="0.35">
      <c r="B40" s="1" t="s">
        <v>69</v>
      </c>
      <c r="C40" s="22"/>
      <c r="D40" s="22"/>
      <c r="E40" s="22"/>
      <c r="F40" s="94">
        <f>F67/F66</f>
        <v>0.66246236471641307</v>
      </c>
      <c r="G40" s="94">
        <f>G67/G66</f>
        <v>0.64145172619206392</v>
      </c>
      <c r="H40" s="96">
        <f>H67/H66</f>
        <v>0.59024200753602918</v>
      </c>
      <c r="I40" s="100">
        <f t="shared" ref="I40:M42" si="6">H40</f>
        <v>0.59024200753602918</v>
      </c>
      <c r="J40" s="94">
        <f t="shared" si="6"/>
        <v>0.59024200753602918</v>
      </c>
      <c r="K40" s="94">
        <f t="shared" si="6"/>
        <v>0.59024200753602918</v>
      </c>
      <c r="L40" s="94">
        <f t="shared" si="6"/>
        <v>0.59024200753602918</v>
      </c>
      <c r="M40" s="96">
        <f t="shared" si="6"/>
        <v>0.59024200753602918</v>
      </c>
    </row>
    <row r="41" spans="2:13" x14ac:dyDescent="0.35">
      <c r="B41" s="1" t="s">
        <v>73</v>
      </c>
      <c r="C41" s="22"/>
      <c r="D41" s="22"/>
      <c r="E41" s="22"/>
      <c r="F41" s="94">
        <f>F70/F66</f>
        <v>2.4249328667914394E-2</v>
      </c>
      <c r="G41" s="94">
        <f>G70/G66</f>
        <v>2.0235967743369519E-2</v>
      </c>
      <c r="H41" s="96">
        <f>H70/H66</f>
        <v>1.9352833780056717E-2</v>
      </c>
      <c r="I41" s="100">
        <f t="shared" si="6"/>
        <v>1.9352833780056717E-2</v>
      </c>
      <c r="J41" s="94">
        <f t="shared" si="6"/>
        <v>1.9352833780056717E-2</v>
      </c>
      <c r="K41" s="94">
        <f t="shared" si="6"/>
        <v>1.9352833780056717E-2</v>
      </c>
      <c r="L41" s="94">
        <f t="shared" si="6"/>
        <v>1.9352833780056717E-2</v>
      </c>
      <c r="M41" s="96">
        <f t="shared" si="6"/>
        <v>1.9352833780056717E-2</v>
      </c>
    </row>
    <row r="42" spans="2:13" x14ac:dyDescent="0.35">
      <c r="B42" s="1" t="s">
        <v>74</v>
      </c>
      <c r="C42" s="22"/>
      <c r="D42" s="22"/>
      <c r="E42" s="22"/>
      <c r="F42" s="94">
        <f>F71/F66</f>
        <v>0.11083082431442753</v>
      </c>
      <c r="G42" s="94">
        <f>G71/G66</f>
        <v>8.9212522116419044E-2</v>
      </c>
      <c r="H42" s="96">
        <f>H71/H66</f>
        <v>8.312162529619703E-2</v>
      </c>
      <c r="I42" s="100">
        <f t="shared" si="6"/>
        <v>8.312162529619703E-2</v>
      </c>
      <c r="J42" s="94">
        <f t="shared" si="6"/>
        <v>8.312162529619703E-2</v>
      </c>
      <c r="K42" s="94">
        <f t="shared" si="6"/>
        <v>8.312162529619703E-2</v>
      </c>
      <c r="L42" s="94">
        <f t="shared" si="6"/>
        <v>8.312162529619703E-2</v>
      </c>
      <c r="M42" s="96">
        <f t="shared" si="6"/>
        <v>8.312162529619703E-2</v>
      </c>
    </row>
    <row r="43" spans="2:13" x14ac:dyDescent="0.35">
      <c r="B43" s="1"/>
      <c r="C43" s="22"/>
      <c r="D43" s="22"/>
      <c r="E43" s="22"/>
      <c r="F43" s="94"/>
      <c r="G43" s="94"/>
      <c r="H43" s="96"/>
      <c r="I43" s="100"/>
      <c r="J43" s="94"/>
      <c r="K43" s="94"/>
      <c r="L43" s="94"/>
      <c r="M43" s="96"/>
    </row>
    <row r="44" spans="2:13" x14ac:dyDescent="0.35">
      <c r="B44" s="1" t="s">
        <v>88</v>
      </c>
      <c r="C44" s="22"/>
      <c r="D44" s="22"/>
      <c r="E44" s="22"/>
      <c r="F44" s="94">
        <f>F76/F66</f>
        <v>9.8462039222068521E-3</v>
      </c>
      <c r="G44" s="94">
        <f>G76/G66</f>
        <v>1.3763303192766264E-2</v>
      </c>
      <c r="H44" s="96">
        <f>H76/H66</f>
        <v>1.6548187856893135E-2</v>
      </c>
      <c r="I44" s="100">
        <f t="shared" ref="I44:M45" si="7">H44</f>
        <v>1.6548187856893135E-2</v>
      </c>
      <c r="J44" s="94">
        <f t="shared" si="7"/>
        <v>1.6548187856893135E-2</v>
      </c>
      <c r="K44" s="94">
        <f t="shared" si="7"/>
        <v>1.6548187856893135E-2</v>
      </c>
      <c r="L44" s="94">
        <f t="shared" si="7"/>
        <v>1.6548187856893135E-2</v>
      </c>
      <c r="M44" s="96">
        <f t="shared" si="7"/>
        <v>1.6548187856893135E-2</v>
      </c>
    </row>
    <row r="45" spans="2:13" x14ac:dyDescent="0.35">
      <c r="B45" s="1" t="s">
        <v>101</v>
      </c>
      <c r="C45" s="22"/>
      <c r="D45" s="22"/>
      <c r="E45" s="22"/>
      <c r="F45" s="94">
        <f>F74/F66</f>
        <v>1.3304581332899341E-2</v>
      </c>
      <c r="G45" s="94">
        <f>G74/G66</f>
        <v>1.3229841828705556E-2</v>
      </c>
      <c r="H45" s="96">
        <f>H74/H66</f>
        <v>1.7107563221069804E-2</v>
      </c>
      <c r="I45" s="100">
        <f t="shared" si="7"/>
        <v>1.7107563221069804E-2</v>
      </c>
      <c r="J45" s="94">
        <f t="shared" si="7"/>
        <v>1.7107563221069804E-2</v>
      </c>
      <c r="K45" s="94">
        <f t="shared" si="7"/>
        <v>1.7107563221069804E-2</v>
      </c>
      <c r="L45" s="94">
        <f t="shared" si="7"/>
        <v>1.7107563221069804E-2</v>
      </c>
      <c r="M45" s="96">
        <f t="shared" si="7"/>
        <v>1.7107563221069804E-2</v>
      </c>
    </row>
    <row r="46" spans="2:13" x14ac:dyDescent="0.35">
      <c r="B46" s="1" t="s">
        <v>92</v>
      </c>
      <c r="C46" s="22"/>
      <c r="D46" s="22"/>
      <c r="E46" s="22"/>
      <c r="F46" s="105">
        <v>5.2699999999999997E-2</v>
      </c>
      <c r="G46" s="105">
        <v>3.44E-2</v>
      </c>
      <c r="H46" s="106">
        <v>1.43E-2</v>
      </c>
      <c r="I46" s="105">
        <v>0.01</v>
      </c>
      <c r="J46" s="105">
        <v>0.01</v>
      </c>
      <c r="K46" s="105">
        <v>0.02</v>
      </c>
      <c r="L46" s="105">
        <v>0.02</v>
      </c>
      <c r="M46" s="106">
        <v>0.03</v>
      </c>
    </row>
    <row r="47" spans="2:13" x14ac:dyDescent="0.35">
      <c r="B47" s="1" t="s">
        <v>76</v>
      </c>
      <c r="C47" s="22"/>
      <c r="D47" s="22"/>
      <c r="E47" s="22"/>
      <c r="F47" s="105">
        <v>0</v>
      </c>
      <c r="G47" s="105">
        <v>0</v>
      </c>
      <c r="H47" s="106">
        <v>0</v>
      </c>
      <c r="I47" s="104">
        <v>0.09</v>
      </c>
      <c r="J47" s="94">
        <f>I47</f>
        <v>0.09</v>
      </c>
      <c r="K47" s="94">
        <f>J47</f>
        <v>0.09</v>
      </c>
      <c r="L47" s="94">
        <f>K47</f>
        <v>0.09</v>
      </c>
      <c r="M47" s="96">
        <f>L47</f>
        <v>0.09</v>
      </c>
    </row>
    <row r="48" spans="2:13" x14ac:dyDescent="0.35">
      <c r="B48" s="1" t="s">
        <v>93</v>
      </c>
      <c r="C48" s="22"/>
      <c r="D48" s="22"/>
      <c r="E48" s="22"/>
      <c r="F48" s="94">
        <f>F83/F82</f>
        <v>0.3018377946464243</v>
      </c>
      <c r="G48" s="94">
        <f>G83/G82</f>
        <v>0.3160836034424947</v>
      </c>
      <c r="H48" s="96">
        <f>H83/H82</f>
        <v>0.31750372948781702</v>
      </c>
      <c r="I48" s="238">
        <f>Tax_Rate</f>
        <v>0.3</v>
      </c>
      <c r="J48" s="239">
        <f>Tax_Rate</f>
        <v>0.3</v>
      </c>
      <c r="K48" s="239">
        <f>Tax_Rate</f>
        <v>0.3</v>
      </c>
      <c r="L48" s="239">
        <f>Tax_Rate</f>
        <v>0.3</v>
      </c>
      <c r="M48" s="240">
        <f>Tax_Rate</f>
        <v>0.3</v>
      </c>
    </row>
    <row r="49" spans="2:13" x14ac:dyDescent="0.35">
      <c r="B49" s="1"/>
      <c r="C49" s="22"/>
      <c r="D49" s="22"/>
      <c r="E49" s="22"/>
      <c r="F49" s="22"/>
      <c r="G49" s="22"/>
      <c r="H49" s="21"/>
      <c r="I49" s="1"/>
      <c r="J49" s="22"/>
      <c r="K49" s="22"/>
      <c r="L49" s="22"/>
      <c r="M49" s="21"/>
    </row>
    <row r="50" spans="2:13" x14ac:dyDescent="0.35">
      <c r="B50" s="1" t="s">
        <v>77</v>
      </c>
      <c r="C50" s="22"/>
      <c r="D50" s="22"/>
      <c r="E50" s="22"/>
      <c r="F50" s="22"/>
      <c r="G50" s="94">
        <f>G101/G66</f>
        <v>6.4602171187751731E-2</v>
      </c>
      <c r="H50" s="96">
        <f>H101/H66</f>
        <v>7.8335858291574412E-2</v>
      </c>
      <c r="I50" s="100">
        <f>I51/Days_In_Year</f>
        <v>7.8335858291574412E-2</v>
      </c>
      <c r="J50" s="94">
        <f>J51/Days_In_Year</f>
        <v>7.8335858291574412E-2</v>
      </c>
      <c r="K50" s="94">
        <f>K51/Days_In_Year</f>
        <v>7.8335858291574412E-2</v>
      </c>
      <c r="L50" s="94">
        <f>L51/Days_In_Year</f>
        <v>7.8335858291574412E-2</v>
      </c>
      <c r="M50" s="96">
        <f>M51/Days_In_Year</f>
        <v>7.8335858291574412E-2</v>
      </c>
    </row>
    <row r="51" spans="2:13" x14ac:dyDescent="0.35">
      <c r="B51" s="1" t="s">
        <v>78</v>
      </c>
      <c r="C51" s="22"/>
      <c r="D51" s="22"/>
      <c r="E51" s="22"/>
      <c r="F51" s="22"/>
      <c r="G51" s="75">
        <f>G50*Days_In_Year</f>
        <v>23.256781627590623</v>
      </c>
      <c r="H51" s="97">
        <f>H50*Days_In_Year</f>
        <v>28.200908984966787</v>
      </c>
      <c r="I51" s="101">
        <f t="shared" ref="I51:M52" si="8">H51</f>
        <v>28.200908984966787</v>
      </c>
      <c r="J51" s="75">
        <f t="shared" si="8"/>
        <v>28.200908984966787</v>
      </c>
      <c r="K51" s="75">
        <f t="shared" si="8"/>
        <v>28.200908984966787</v>
      </c>
      <c r="L51" s="75">
        <f t="shared" si="8"/>
        <v>28.200908984966787</v>
      </c>
      <c r="M51" s="97">
        <f t="shared" si="8"/>
        <v>28.200908984966787</v>
      </c>
    </row>
    <row r="52" spans="2:13" x14ac:dyDescent="0.35">
      <c r="B52" s="1" t="s">
        <v>82</v>
      </c>
      <c r="C52" s="22"/>
      <c r="D52" s="22"/>
      <c r="E52" s="22"/>
      <c r="F52" s="22"/>
      <c r="G52" s="94">
        <f>G102/G67</f>
        <v>2.1165414575998669E-2</v>
      </c>
      <c r="H52" s="96">
        <f>H102/H67</f>
        <v>1.7966909296723836E-2</v>
      </c>
      <c r="I52" s="100">
        <f t="shared" si="8"/>
        <v>1.7966909296723836E-2</v>
      </c>
      <c r="J52" s="94">
        <f t="shared" si="8"/>
        <v>1.7966909296723836E-2</v>
      </c>
      <c r="K52" s="94">
        <f t="shared" si="8"/>
        <v>1.7966909296723836E-2</v>
      </c>
      <c r="L52" s="94">
        <f t="shared" si="8"/>
        <v>1.7966909296723836E-2</v>
      </c>
      <c r="M52" s="96">
        <f t="shared" si="8"/>
        <v>1.7966909296723836E-2</v>
      </c>
    </row>
    <row r="53" spans="2:13" x14ac:dyDescent="0.35">
      <c r="B53" s="1" t="s">
        <v>96</v>
      </c>
      <c r="C53" s="22"/>
      <c r="D53" s="22"/>
      <c r="E53" s="22"/>
      <c r="F53" s="59"/>
      <c r="G53" s="59"/>
      <c r="H53" s="58"/>
      <c r="I53" s="59">
        <v>40</v>
      </c>
      <c r="J53" s="59">
        <v>37</v>
      </c>
      <c r="K53" s="59">
        <v>28</v>
      </c>
      <c r="L53" s="59">
        <v>13</v>
      </c>
      <c r="M53" s="58">
        <v>10</v>
      </c>
    </row>
    <row r="54" spans="2:13" x14ac:dyDescent="0.35">
      <c r="B54" s="1"/>
      <c r="C54" s="22"/>
      <c r="D54" s="22"/>
      <c r="E54" s="22"/>
      <c r="F54" s="22"/>
      <c r="G54" s="73"/>
      <c r="H54" s="98"/>
      <c r="I54" s="102"/>
      <c r="J54" s="73"/>
      <c r="K54" s="73"/>
      <c r="L54" s="73"/>
      <c r="M54" s="98"/>
    </row>
    <row r="55" spans="2:13" x14ac:dyDescent="0.35">
      <c r="B55" s="1" t="s">
        <v>83</v>
      </c>
      <c r="C55" s="22"/>
      <c r="D55" s="22"/>
      <c r="E55" s="22"/>
      <c r="F55" s="22"/>
      <c r="G55" s="94">
        <f>G117/G67</f>
        <v>0.22953455493028024</v>
      </c>
      <c r="H55" s="96">
        <f>H117/H67</f>
        <v>0.22117067905703344</v>
      </c>
      <c r="I55" s="100">
        <f>I56/Days_In_Year</f>
        <v>0.22117067905703341</v>
      </c>
      <c r="J55" s="94">
        <f>J56/Days_In_Year</f>
        <v>0.22117067905703341</v>
      </c>
      <c r="K55" s="94">
        <f>K56/Days_In_Year</f>
        <v>0.22117067905703341</v>
      </c>
      <c r="L55" s="94">
        <f>L56/Days_In_Year</f>
        <v>0.22117067905703341</v>
      </c>
      <c r="M55" s="96">
        <f>M56/Days_In_Year</f>
        <v>0.22117067905703341</v>
      </c>
    </row>
    <row r="56" spans="2:13" x14ac:dyDescent="0.35">
      <c r="B56" s="1" t="s">
        <v>84</v>
      </c>
      <c r="C56" s="22"/>
      <c r="D56" s="22"/>
      <c r="E56" s="22"/>
      <c r="F56" s="22"/>
      <c r="G56" s="75">
        <f>G55*Days_In_Year</f>
        <v>82.632439774900888</v>
      </c>
      <c r="H56" s="97">
        <f>H55*Days_In_Year</f>
        <v>79.621444460532032</v>
      </c>
      <c r="I56" s="101">
        <f t="shared" ref="I56:M59" si="9">H56</f>
        <v>79.621444460532032</v>
      </c>
      <c r="J56" s="75">
        <f t="shared" si="9"/>
        <v>79.621444460532032</v>
      </c>
      <c r="K56" s="75">
        <f t="shared" si="9"/>
        <v>79.621444460532032</v>
      </c>
      <c r="L56" s="75">
        <f t="shared" si="9"/>
        <v>79.621444460532032</v>
      </c>
      <c r="M56" s="97">
        <f t="shared" si="9"/>
        <v>79.621444460532032</v>
      </c>
    </row>
    <row r="57" spans="2:13" x14ac:dyDescent="0.35">
      <c r="B57" s="1" t="s">
        <v>85</v>
      </c>
      <c r="C57" s="22"/>
      <c r="D57" s="22"/>
      <c r="E57" s="22"/>
      <c r="F57" s="22"/>
      <c r="G57" s="94">
        <f>G118/G72</f>
        <v>1.0294069861900894</v>
      </c>
      <c r="H57" s="96">
        <f>H118/H72</f>
        <v>0.87611827141774068</v>
      </c>
      <c r="I57" s="100">
        <f t="shared" si="9"/>
        <v>0.87611827141774068</v>
      </c>
      <c r="J57" s="94">
        <f t="shared" si="9"/>
        <v>0.87611827141774068</v>
      </c>
      <c r="K57" s="94">
        <f t="shared" si="9"/>
        <v>0.87611827141774068</v>
      </c>
      <c r="L57" s="94">
        <f t="shared" si="9"/>
        <v>0.87611827141774068</v>
      </c>
      <c r="M57" s="96">
        <f t="shared" si="9"/>
        <v>0.87611827141774068</v>
      </c>
    </row>
    <row r="58" spans="2:13" x14ac:dyDescent="0.35">
      <c r="B58" s="1" t="s">
        <v>86</v>
      </c>
      <c r="C58" s="22"/>
      <c r="D58" s="22"/>
      <c r="E58" s="22"/>
      <c r="F58" s="22"/>
      <c r="G58" s="94">
        <f>G119/G66</f>
        <v>4.3130351284308234E-2</v>
      </c>
      <c r="H58" s="96">
        <f>H119/H66</f>
        <v>4.7849900943945929E-2</v>
      </c>
      <c r="I58" s="100">
        <f t="shared" si="9"/>
        <v>4.7849900943945929E-2</v>
      </c>
      <c r="J58" s="94">
        <f t="shared" si="9"/>
        <v>4.7849900943945929E-2</v>
      </c>
      <c r="K58" s="94">
        <f t="shared" si="9"/>
        <v>4.7849900943945929E-2</v>
      </c>
      <c r="L58" s="94">
        <f t="shared" si="9"/>
        <v>4.7849900943945929E-2</v>
      </c>
      <c r="M58" s="96">
        <f t="shared" si="9"/>
        <v>4.7849900943945929E-2</v>
      </c>
    </row>
    <row r="59" spans="2:13" x14ac:dyDescent="0.35">
      <c r="B59" s="1" t="s">
        <v>87</v>
      </c>
      <c r="C59" s="22"/>
      <c r="D59" s="22"/>
      <c r="E59" s="22"/>
      <c r="F59" s="22"/>
      <c r="G59" s="94">
        <f>G123/G66</f>
        <v>2.0484916379931183E-2</v>
      </c>
      <c r="H59" s="96">
        <f>H123/H66</f>
        <v>1.9881132735112456E-2</v>
      </c>
      <c r="I59" s="100">
        <f t="shared" si="9"/>
        <v>1.9881132735112456E-2</v>
      </c>
      <c r="J59" s="94">
        <f t="shared" si="9"/>
        <v>1.9881132735112456E-2</v>
      </c>
      <c r="K59" s="94">
        <f t="shared" si="9"/>
        <v>1.9881132735112456E-2</v>
      </c>
      <c r="L59" s="94">
        <f t="shared" si="9"/>
        <v>1.9881132735112456E-2</v>
      </c>
      <c r="M59" s="96">
        <f t="shared" si="9"/>
        <v>1.9881132735112456E-2</v>
      </c>
    </row>
    <row r="60" spans="2:13" x14ac:dyDescent="0.35">
      <c r="B60" s="1"/>
      <c r="C60" s="22"/>
      <c r="D60" s="22"/>
      <c r="E60" s="22"/>
      <c r="F60" s="22"/>
      <c r="G60" s="22"/>
      <c r="H60" s="21"/>
      <c r="I60" s="1"/>
      <c r="J60" s="22"/>
      <c r="K60" s="22"/>
      <c r="L60" s="22"/>
      <c r="M60" s="21"/>
    </row>
    <row r="61" spans="2:13" x14ac:dyDescent="0.35">
      <c r="B61" s="65" t="s">
        <v>89</v>
      </c>
      <c r="C61" s="23"/>
      <c r="D61" s="23"/>
      <c r="E61" s="23"/>
      <c r="F61" s="95">
        <f>-F163/F66</f>
        <v>2.9904792904223289E-2</v>
      </c>
      <c r="G61" s="95">
        <f>-G163/G66</f>
        <v>2.9100317409511616E-2</v>
      </c>
      <c r="H61" s="99">
        <f>-H163/H66</f>
        <v>2.6663559025754575E-2</v>
      </c>
      <c r="I61" s="103">
        <f>H61</f>
        <v>2.6663559025754575E-2</v>
      </c>
      <c r="J61" s="95">
        <f>I61</f>
        <v>2.6663559025754575E-2</v>
      </c>
      <c r="K61" s="95">
        <f>J61</f>
        <v>2.6663559025754575E-2</v>
      </c>
      <c r="L61" s="95">
        <f>K61</f>
        <v>2.6663559025754575E-2</v>
      </c>
      <c r="M61" s="99">
        <f>L61</f>
        <v>2.6663559025754575E-2</v>
      </c>
    </row>
    <row r="63" spans="2:13" x14ac:dyDescent="0.35">
      <c r="B63" s="272" t="s">
        <v>18</v>
      </c>
      <c r="C63" s="37"/>
      <c r="D63" s="37"/>
      <c r="E63" s="37"/>
      <c r="F63" s="37"/>
      <c r="G63" s="37"/>
      <c r="H63" s="38"/>
      <c r="I63" s="38"/>
      <c r="J63" s="38"/>
      <c r="K63" s="38"/>
      <c r="L63" s="38"/>
      <c r="M63" s="39"/>
    </row>
    <row r="64" spans="2:13" x14ac:dyDescent="0.35">
      <c r="B64" s="1"/>
      <c r="C64" s="2"/>
      <c r="F64" s="35" t="str">
        <f t="shared" ref="F64:M64" si="10">F$24</f>
        <v>FY 2007</v>
      </c>
      <c r="G64" s="35" t="str">
        <f t="shared" si="10"/>
        <v>FY 2008</v>
      </c>
      <c r="H64" s="36" t="str">
        <f t="shared" si="10"/>
        <v>FY 2009</v>
      </c>
      <c r="I64" s="35" t="str">
        <f t="shared" si="10"/>
        <v>FY 2010E</v>
      </c>
      <c r="J64" s="35" t="str">
        <f t="shared" si="10"/>
        <v>FY 2011E</v>
      </c>
      <c r="K64" s="35" t="str">
        <f t="shared" si="10"/>
        <v>FY 2012E</v>
      </c>
      <c r="L64" s="35" t="str">
        <f t="shared" si="10"/>
        <v>FY 2013E</v>
      </c>
      <c r="M64" s="36" t="str">
        <f t="shared" si="10"/>
        <v>FY 2014E</v>
      </c>
    </row>
    <row r="65" spans="2:15" x14ac:dyDescent="0.35">
      <c r="B65" s="1"/>
      <c r="C65" s="2"/>
      <c r="H65" s="29"/>
      <c r="I65" s="22"/>
      <c r="M65" s="29"/>
    </row>
    <row r="66" spans="2:15" x14ac:dyDescent="0.35">
      <c r="B66" s="3" t="s">
        <v>70</v>
      </c>
      <c r="F66" s="62">
        <v>24578</v>
      </c>
      <c r="G66" s="62">
        <v>37491</v>
      </c>
      <c r="H66" s="57">
        <v>42905</v>
      </c>
      <c r="I66" s="19">
        <f>H66*(1+I39)</f>
        <v>53631.25</v>
      </c>
      <c r="J66" s="19">
        <f>I66*(1+J39)</f>
        <v>62748.562499999993</v>
      </c>
      <c r="K66" s="19">
        <f>J66*(1+K39)</f>
        <v>69650.904374999998</v>
      </c>
      <c r="L66" s="19">
        <f>K66*(1+L39)</f>
        <v>75919.485768750004</v>
      </c>
      <c r="M66" s="80">
        <f>L66*(1+M39)</f>
        <v>81233.849772562506</v>
      </c>
      <c r="O66" s="118"/>
    </row>
    <row r="67" spans="2:15" x14ac:dyDescent="0.35">
      <c r="B67" s="1" t="s">
        <v>71</v>
      </c>
      <c r="F67" s="20">
        <f>16426-35-F$74/3</f>
        <v>16282</v>
      </c>
      <c r="G67" s="20">
        <f>24294-80-G$74/3</f>
        <v>24048.666666666668</v>
      </c>
      <c r="H67" s="78">
        <f>25683-114-H$74/3</f>
        <v>25324.333333333332</v>
      </c>
      <c r="I67" s="20">
        <f>I40*I66</f>
        <v>31655.416666666664</v>
      </c>
      <c r="J67" s="20">
        <f>J40*J66</f>
        <v>37036.837499999994</v>
      </c>
      <c r="K67" s="20">
        <f>K40*K66</f>
        <v>41110.889624999996</v>
      </c>
      <c r="L67" s="20">
        <f>L40*L66</f>
        <v>44810.869691250002</v>
      </c>
      <c r="M67" s="78">
        <f>M40*M66</f>
        <v>47947.630569637498</v>
      </c>
    </row>
    <row r="68" spans="2:15" x14ac:dyDescent="0.35">
      <c r="B68" s="12" t="s">
        <v>0</v>
      </c>
      <c r="F68" s="28">
        <f t="shared" ref="F68:M68" si="11">F66-F67</f>
        <v>8296</v>
      </c>
      <c r="G68" s="28">
        <f t="shared" si="11"/>
        <v>13442.333333333332</v>
      </c>
      <c r="H68" s="16">
        <f t="shared" si="11"/>
        <v>17580.666666666668</v>
      </c>
      <c r="I68" s="108">
        <f t="shared" si="11"/>
        <v>21975.833333333336</v>
      </c>
      <c r="J68" s="28">
        <f t="shared" si="11"/>
        <v>25711.724999999999</v>
      </c>
      <c r="K68" s="28">
        <f t="shared" si="11"/>
        <v>28540.014750000002</v>
      </c>
      <c r="L68" s="28">
        <f t="shared" si="11"/>
        <v>31108.616077500003</v>
      </c>
      <c r="M68" s="16">
        <f t="shared" si="11"/>
        <v>33286.219202925007</v>
      </c>
    </row>
    <row r="69" spans="2:15" x14ac:dyDescent="0.35">
      <c r="B69" s="1" t="s">
        <v>1</v>
      </c>
      <c r="F69" s="22"/>
      <c r="G69" s="22"/>
      <c r="H69" s="21"/>
      <c r="I69" s="22"/>
      <c r="J69" s="22"/>
      <c r="K69" s="22"/>
      <c r="L69" s="22"/>
      <c r="M69" s="21"/>
    </row>
    <row r="70" spans="2:15" x14ac:dyDescent="0.35">
      <c r="B70" s="10" t="s">
        <v>13</v>
      </c>
      <c r="F70" s="20">
        <f>782-77-F$74/3</f>
        <v>596</v>
      </c>
      <c r="G70" s="20">
        <f>1109-185-G$74/3</f>
        <v>758.66666666666663</v>
      </c>
      <c r="H70" s="78">
        <f>1333-258-H$74/3</f>
        <v>830.33333333333337</v>
      </c>
      <c r="I70" s="20">
        <f>I41*I66</f>
        <v>1037.9166666666667</v>
      </c>
      <c r="J70" s="20">
        <f>J41*J66</f>
        <v>1214.3625</v>
      </c>
      <c r="K70" s="20">
        <f>K41*K66</f>
        <v>1347.9423750000001</v>
      </c>
      <c r="L70" s="20">
        <f>L41*L66</f>
        <v>1469.2571887500003</v>
      </c>
      <c r="M70" s="78">
        <f>M41*M66</f>
        <v>1572.1051919625004</v>
      </c>
    </row>
    <row r="71" spans="2:15" x14ac:dyDescent="0.35">
      <c r="B71" s="10" t="s">
        <v>72</v>
      </c>
      <c r="F71" s="20">
        <f>2963-130-F$74/3</f>
        <v>2724</v>
      </c>
      <c r="G71" s="20">
        <f>3761-251-G$74/3</f>
        <v>3344.6666666666665</v>
      </c>
      <c r="H71" s="78">
        <f>4149-338-H$74/3</f>
        <v>3566.3333333333335</v>
      </c>
      <c r="I71" s="20">
        <f>I42*I66</f>
        <v>4457.916666666667</v>
      </c>
      <c r="J71" s="20">
        <f>J42*J66</f>
        <v>5215.7624999999998</v>
      </c>
      <c r="K71" s="20">
        <f>K42*K66</f>
        <v>5789.4963750000006</v>
      </c>
      <c r="L71" s="20">
        <f>L42*L66</f>
        <v>6310.5510487500005</v>
      </c>
      <c r="M71" s="78">
        <f>M42*M66</f>
        <v>6752.2896221625006</v>
      </c>
    </row>
    <row r="72" spans="2:15" x14ac:dyDescent="0.35">
      <c r="B72" s="14" t="s">
        <v>2</v>
      </c>
      <c r="C72" s="7"/>
      <c r="D72" s="7"/>
      <c r="E72" s="31"/>
      <c r="F72" s="53">
        <f t="shared" ref="F72:M72" si="12">SUM(F70:F71)</f>
        <v>3320</v>
      </c>
      <c r="G72" s="53">
        <f t="shared" si="12"/>
        <v>4103.333333333333</v>
      </c>
      <c r="H72" s="42">
        <f t="shared" si="12"/>
        <v>4396.666666666667</v>
      </c>
      <c r="I72" s="53">
        <f t="shared" si="12"/>
        <v>5495.8333333333339</v>
      </c>
      <c r="J72" s="53">
        <f t="shared" si="12"/>
        <v>6430.125</v>
      </c>
      <c r="K72" s="53">
        <f t="shared" si="12"/>
        <v>7137.4387500000012</v>
      </c>
      <c r="L72" s="53">
        <f t="shared" si="12"/>
        <v>7779.8082375000013</v>
      </c>
      <c r="M72" s="42">
        <f t="shared" si="12"/>
        <v>8324.3948141250003</v>
      </c>
    </row>
    <row r="73" spans="2:15" x14ac:dyDescent="0.35">
      <c r="B73" s="13"/>
      <c r="C73" s="2"/>
      <c r="D73" s="2"/>
      <c r="F73" s="52"/>
      <c r="G73" s="52"/>
      <c r="H73" s="8"/>
      <c r="I73" s="52"/>
      <c r="J73" s="52"/>
      <c r="K73" s="52"/>
      <c r="L73" s="52"/>
      <c r="M73" s="8"/>
    </row>
    <row r="74" spans="2:15" x14ac:dyDescent="0.35">
      <c r="B74" s="10" t="s">
        <v>98</v>
      </c>
      <c r="C74" s="22"/>
      <c r="D74" s="22"/>
      <c r="F74" s="59">
        <v>327</v>
      </c>
      <c r="G74" s="59">
        <v>496</v>
      </c>
      <c r="H74" s="58">
        <v>734</v>
      </c>
      <c r="I74" s="20">
        <f>I45*I66</f>
        <v>917.49999999999989</v>
      </c>
      <c r="J74" s="20">
        <f>J45*J66</f>
        <v>1073.4749999999997</v>
      </c>
      <c r="K74" s="20">
        <f>K45*K66</f>
        <v>1191.5572499999998</v>
      </c>
      <c r="L74" s="20">
        <f>L45*L66</f>
        <v>1298.7974024999999</v>
      </c>
      <c r="M74" s="78">
        <f>M45*M66</f>
        <v>1389.713220675</v>
      </c>
    </row>
    <row r="75" spans="2:15" x14ac:dyDescent="0.35">
      <c r="B75" s="10" t="s">
        <v>96</v>
      </c>
      <c r="C75" s="22"/>
      <c r="D75" s="22"/>
      <c r="F75" s="59">
        <v>0</v>
      </c>
      <c r="G75" s="59">
        <v>0</v>
      </c>
      <c r="H75" s="58">
        <v>0</v>
      </c>
      <c r="I75" s="20">
        <f>I53</f>
        <v>40</v>
      </c>
      <c r="J75" s="20">
        <f>J53</f>
        <v>37</v>
      </c>
      <c r="K75" s="20">
        <f>K53</f>
        <v>28</v>
      </c>
      <c r="L75" s="20">
        <f>L53</f>
        <v>13</v>
      </c>
      <c r="M75" s="78">
        <f>M53</f>
        <v>10</v>
      </c>
    </row>
    <row r="76" spans="2:15" x14ac:dyDescent="0.35">
      <c r="B76" s="107" t="s">
        <v>44</v>
      </c>
      <c r="C76" s="22"/>
      <c r="D76" s="22"/>
      <c r="F76" s="59">
        <v>242</v>
      </c>
      <c r="G76" s="59">
        <v>516</v>
      </c>
      <c r="H76" s="58">
        <v>710</v>
      </c>
      <c r="I76" s="20">
        <f>I44*I66</f>
        <v>887.5</v>
      </c>
      <c r="J76" s="20">
        <f>J44*J66</f>
        <v>1038.3749999999998</v>
      </c>
      <c r="K76" s="20">
        <f>K44*K66</f>
        <v>1152.5962499999998</v>
      </c>
      <c r="L76" s="20">
        <f>L44*L66</f>
        <v>1256.3299125000001</v>
      </c>
      <c r="M76" s="78">
        <f>M44*M66</f>
        <v>1344.273006375</v>
      </c>
    </row>
    <row r="77" spans="2:15" x14ac:dyDescent="0.35">
      <c r="B77" s="13"/>
      <c r="C77" s="22"/>
      <c r="D77" s="22"/>
      <c r="F77" s="52"/>
      <c r="G77" s="52"/>
      <c r="H77" s="8"/>
      <c r="I77" s="52"/>
      <c r="J77" s="52"/>
      <c r="K77" s="52"/>
      <c r="L77" s="52"/>
      <c r="M77" s="8"/>
    </row>
    <row r="78" spans="2:15" x14ac:dyDescent="0.35">
      <c r="B78" s="13" t="s">
        <v>3</v>
      </c>
      <c r="F78" s="28">
        <f t="shared" ref="F78:M78" si="13">F68-F72-F74-F75-F76</f>
        <v>4407</v>
      </c>
      <c r="G78" s="28">
        <f t="shared" si="13"/>
        <v>8327</v>
      </c>
      <c r="H78" s="16">
        <f t="shared" si="13"/>
        <v>11740</v>
      </c>
      <c r="I78" s="108">
        <f t="shared" si="13"/>
        <v>14635</v>
      </c>
      <c r="J78" s="28">
        <f t="shared" si="13"/>
        <v>17132.75</v>
      </c>
      <c r="K78" s="28">
        <f t="shared" si="13"/>
        <v>19030.422500000004</v>
      </c>
      <c r="L78" s="28">
        <f t="shared" si="13"/>
        <v>20760.680525</v>
      </c>
      <c r="M78" s="16">
        <f t="shared" si="13"/>
        <v>22217.838161750009</v>
      </c>
    </row>
    <row r="79" spans="2:15" x14ac:dyDescent="0.35">
      <c r="B79" s="107" t="s">
        <v>90</v>
      </c>
      <c r="F79" s="59">
        <v>647</v>
      </c>
      <c r="G79" s="59">
        <v>653</v>
      </c>
      <c r="H79" s="58">
        <v>407</v>
      </c>
      <c r="I79" s="69">
        <f ca="1">AVERAGE(H99+H100+H108,I99+I100+I108)*I46</f>
        <v>424.2536377320622</v>
      </c>
      <c r="J79" s="69">
        <f ca="1">AVERAGE(I99+I100+I108,J99+J100+J108)*J46</f>
        <v>567.64936072666785</v>
      </c>
      <c r="K79" s="69">
        <f ca="1">AVERAGE(J99+J100+J108,K99+K100+K108)*K46</f>
        <v>1443.0609523951889</v>
      </c>
      <c r="L79" s="69">
        <f ca="1">AVERAGE(K99+K100+K108,L99+L100+L108)*L46</f>
        <v>1779.7118389722609</v>
      </c>
      <c r="M79" s="85">
        <f ca="1">AVERAGE(L99+L100+L108,M99+M100+M108)*M46</f>
        <v>3222.902302564717</v>
      </c>
    </row>
    <row r="80" spans="2:15" x14ac:dyDescent="0.35">
      <c r="B80" s="10" t="s">
        <v>91</v>
      </c>
      <c r="F80" s="59">
        <v>0</v>
      </c>
      <c r="G80" s="59">
        <v>0</v>
      </c>
      <c r="H80" s="58">
        <v>0</v>
      </c>
      <c r="I80" s="69">
        <f>-AVERAGE(H124,I124)*I47</f>
        <v>-45</v>
      </c>
      <c r="J80" s="69">
        <f>-AVERAGE(I124,J124)*J47</f>
        <v>-90</v>
      </c>
      <c r="K80" s="69">
        <f>-AVERAGE(J124,K124)*K47</f>
        <v>-90</v>
      </c>
      <c r="L80" s="69">
        <f>-AVERAGE(K124,L124)*L47</f>
        <v>-90</v>
      </c>
      <c r="M80" s="85">
        <f>-AVERAGE(L124,M124)*M47</f>
        <v>-90</v>
      </c>
    </row>
    <row r="81" spans="2:13" x14ac:dyDescent="0.35">
      <c r="B81" s="10" t="s">
        <v>17</v>
      </c>
      <c r="F81" s="59">
        <v>-48</v>
      </c>
      <c r="G81" s="59">
        <v>-33</v>
      </c>
      <c r="H81" s="58">
        <v>-81</v>
      </c>
      <c r="I81" s="59">
        <v>0</v>
      </c>
      <c r="J81" s="20">
        <f>I81</f>
        <v>0</v>
      </c>
      <c r="K81" s="20">
        <f>J81</f>
        <v>0</v>
      </c>
      <c r="L81" s="20">
        <f>K81</f>
        <v>0</v>
      </c>
      <c r="M81" s="78">
        <f>L81</f>
        <v>0</v>
      </c>
    </row>
    <row r="82" spans="2:13" x14ac:dyDescent="0.35">
      <c r="B82" s="14" t="s">
        <v>4</v>
      </c>
      <c r="C82" s="7"/>
      <c r="D82" s="7"/>
      <c r="E82" s="31"/>
      <c r="F82" s="53">
        <f t="shared" ref="F82:M82" si="14">SUM(F78:F81)</f>
        <v>5006</v>
      </c>
      <c r="G82" s="53">
        <f t="shared" si="14"/>
        <v>8947</v>
      </c>
      <c r="H82" s="42">
        <f t="shared" si="14"/>
        <v>12066</v>
      </c>
      <c r="I82" s="53">
        <f t="shared" ca="1" si="14"/>
        <v>15014.253637732063</v>
      </c>
      <c r="J82" s="53">
        <f t="shared" ca="1" si="14"/>
        <v>17610.399360726668</v>
      </c>
      <c r="K82" s="53">
        <f t="shared" ca="1" si="14"/>
        <v>20383.483452395194</v>
      </c>
      <c r="L82" s="53">
        <f t="shared" ca="1" si="14"/>
        <v>22450.39236397226</v>
      </c>
      <c r="M82" s="42">
        <f t="shared" ca="1" si="14"/>
        <v>25350.740464314727</v>
      </c>
    </row>
    <row r="83" spans="2:13" x14ac:dyDescent="0.35">
      <c r="B83" s="11" t="s">
        <v>5</v>
      </c>
      <c r="F83" s="59">
        <v>1511</v>
      </c>
      <c r="G83" s="59">
        <v>2828</v>
      </c>
      <c r="H83" s="58">
        <v>3831</v>
      </c>
      <c r="I83" s="69">
        <f ca="1">I82*I48</f>
        <v>4504.2760913196189</v>
      </c>
      <c r="J83" s="69">
        <f ca="1">J82*J48</f>
        <v>5283.1198082179999</v>
      </c>
      <c r="K83" s="69">
        <f ca="1">K82*K48</f>
        <v>6115.0450357185582</v>
      </c>
      <c r="L83" s="69">
        <f ca="1">L82*L48</f>
        <v>6735.1177091916779</v>
      </c>
      <c r="M83" s="85">
        <f ca="1">M82*M48</f>
        <v>7605.2221392944175</v>
      </c>
    </row>
    <row r="84" spans="2:13" x14ac:dyDescent="0.35">
      <c r="B84" s="10"/>
      <c r="F84" s="22"/>
      <c r="G84" s="22"/>
      <c r="H84" s="21"/>
      <c r="I84" s="22"/>
      <c r="J84" s="22"/>
      <c r="K84" s="22"/>
      <c r="L84" s="22"/>
      <c r="M84" s="21"/>
    </row>
    <row r="85" spans="2:13" x14ac:dyDescent="0.35">
      <c r="B85" s="13" t="s">
        <v>10</v>
      </c>
      <c r="F85" s="28">
        <f t="shared" ref="F85:M85" si="15">F82-F83</f>
        <v>3495</v>
      </c>
      <c r="G85" s="28">
        <f t="shared" si="15"/>
        <v>6119</v>
      </c>
      <c r="H85" s="16">
        <f t="shared" si="15"/>
        <v>8235</v>
      </c>
      <c r="I85" s="28">
        <f t="shared" ca="1" si="15"/>
        <v>10509.977546412443</v>
      </c>
      <c r="J85" s="28">
        <f t="shared" ca="1" si="15"/>
        <v>12327.279552508668</v>
      </c>
      <c r="K85" s="28">
        <f t="shared" ca="1" si="15"/>
        <v>14268.438416676636</v>
      </c>
      <c r="L85" s="28">
        <f t="shared" ca="1" si="15"/>
        <v>15715.274654780582</v>
      </c>
      <c r="M85" s="16">
        <f t="shared" ca="1" si="15"/>
        <v>17745.518325020312</v>
      </c>
    </row>
    <row r="86" spans="2:13" x14ac:dyDescent="0.35">
      <c r="B86" s="10"/>
      <c r="F86" s="22"/>
      <c r="G86" s="22"/>
      <c r="H86" s="21"/>
      <c r="I86" s="22"/>
      <c r="J86" s="22"/>
      <c r="K86" s="22"/>
      <c r="L86" s="22"/>
      <c r="M86" s="21"/>
    </row>
    <row r="87" spans="2:13" x14ac:dyDescent="0.35">
      <c r="B87" s="13" t="s">
        <v>114</v>
      </c>
      <c r="F87" s="63">
        <f t="shared" ref="F87:M87" si="16">F85*Units/F88</f>
        <v>3.9300927029592079</v>
      </c>
      <c r="G87" s="63">
        <f t="shared" si="16"/>
        <v>6.7827685090656757</v>
      </c>
      <c r="H87" s="17">
        <f t="shared" si="16"/>
        <v>9.0793325284866118</v>
      </c>
      <c r="I87" s="63">
        <f t="shared" ca="1" si="16"/>
        <v>11.587562964275218</v>
      </c>
      <c r="J87" s="63">
        <f t="shared" ca="1" si="16"/>
        <v>13.59119249894837</v>
      </c>
      <c r="K87" s="63">
        <f t="shared" ca="1" si="16"/>
        <v>15.7313779049472</v>
      </c>
      <c r="L87" s="63">
        <f t="shared" ca="1" si="16"/>
        <v>17.326557907377115</v>
      </c>
      <c r="M87" s="17">
        <f t="shared" ca="1" si="16"/>
        <v>19.564961962745866</v>
      </c>
    </row>
    <row r="88" spans="2:13" x14ac:dyDescent="0.35">
      <c r="B88" s="51" t="s">
        <v>12</v>
      </c>
      <c r="C88" s="55"/>
      <c r="D88" s="55"/>
      <c r="E88" s="22"/>
      <c r="F88" s="121">
        <v>889292</v>
      </c>
      <c r="G88" s="121">
        <v>902139</v>
      </c>
      <c r="H88" s="123">
        <v>907005</v>
      </c>
      <c r="I88" s="122">
        <f>H88</f>
        <v>907005</v>
      </c>
      <c r="J88" s="122">
        <f>I88</f>
        <v>907005</v>
      </c>
      <c r="K88" s="122">
        <f>J88</f>
        <v>907005</v>
      </c>
      <c r="L88" s="122">
        <f>K88</f>
        <v>907005</v>
      </c>
      <c r="M88" s="124">
        <f>L88</f>
        <v>907005</v>
      </c>
    </row>
    <row r="89" spans="2:13" x14ac:dyDescent="0.35">
      <c r="B89" s="51"/>
      <c r="C89" s="55"/>
      <c r="D89" s="55"/>
      <c r="E89" s="22"/>
      <c r="F89" s="121"/>
      <c r="G89" s="121"/>
      <c r="H89" s="123"/>
      <c r="I89" s="122"/>
      <c r="J89" s="122"/>
      <c r="K89" s="122"/>
      <c r="L89" s="122"/>
      <c r="M89" s="124"/>
    </row>
    <row r="90" spans="2:13" x14ac:dyDescent="0.35">
      <c r="B90" s="12" t="s">
        <v>111</v>
      </c>
      <c r="C90" s="55"/>
      <c r="D90" s="55"/>
      <c r="E90" s="22"/>
      <c r="F90" s="28">
        <f t="shared" ref="F90:M90" si="17">F78+F76</f>
        <v>4649</v>
      </c>
      <c r="G90" s="28">
        <f t="shared" si="17"/>
        <v>8843</v>
      </c>
      <c r="H90" s="16">
        <f t="shared" si="17"/>
        <v>12450</v>
      </c>
      <c r="I90" s="108">
        <f t="shared" si="17"/>
        <v>15522.5</v>
      </c>
      <c r="J90" s="28">
        <f t="shared" si="17"/>
        <v>18171.125</v>
      </c>
      <c r="K90" s="28">
        <f t="shared" si="17"/>
        <v>20183.018750000003</v>
      </c>
      <c r="L90" s="28">
        <f t="shared" si="17"/>
        <v>22017.010437500001</v>
      </c>
      <c r="M90" s="16">
        <f t="shared" si="17"/>
        <v>23562.111168125008</v>
      </c>
    </row>
    <row r="91" spans="2:13" x14ac:dyDescent="0.35">
      <c r="B91" s="12" t="s">
        <v>112</v>
      </c>
      <c r="C91" s="55"/>
      <c r="D91" s="55"/>
      <c r="E91" s="22"/>
      <c r="F91" s="28">
        <f t="shared" ref="F91:M91" si="18">F78+F76+F75+F74</f>
        <v>4976</v>
      </c>
      <c r="G91" s="28">
        <f t="shared" si="18"/>
        <v>9339</v>
      </c>
      <c r="H91" s="16">
        <f t="shared" si="18"/>
        <v>13184</v>
      </c>
      <c r="I91" s="108">
        <f t="shared" si="18"/>
        <v>16480</v>
      </c>
      <c r="J91" s="28">
        <f t="shared" si="18"/>
        <v>19281.599999999999</v>
      </c>
      <c r="K91" s="28">
        <f t="shared" si="18"/>
        <v>21402.576000000001</v>
      </c>
      <c r="L91" s="28">
        <f t="shared" si="18"/>
        <v>23328.807840000001</v>
      </c>
      <c r="M91" s="16">
        <f t="shared" si="18"/>
        <v>24961.824388800007</v>
      </c>
    </row>
    <row r="92" spans="2:13" x14ac:dyDescent="0.35">
      <c r="B92" s="12" t="s">
        <v>141</v>
      </c>
      <c r="C92" s="55"/>
      <c r="D92" s="55"/>
      <c r="E92" s="22"/>
      <c r="F92" s="28">
        <f t="shared" ref="F92:M92" si="19">F157+F163</f>
        <v>4735</v>
      </c>
      <c r="G92" s="28">
        <f t="shared" si="19"/>
        <v>8505</v>
      </c>
      <c r="H92" s="16">
        <f t="shared" si="19"/>
        <v>10311</v>
      </c>
      <c r="I92" s="108">
        <f t="shared" ca="1" si="19"/>
        <v>13060.727546412443</v>
      </c>
      <c r="J92" s="28">
        <f t="shared" ca="1" si="19"/>
        <v>14618.417052508668</v>
      </c>
      <c r="K92" s="28">
        <f t="shared" ca="1" si="19"/>
        <v>16157.806041676638</v>
      </c>
      <c r="L92" s="28">
        <f t="shared" ca="1" si="19"/>
        <v>17507.282616030585</v>
      </c>
      <c r="M92" s="16">
        <f t="shared" ca="1" si="19"/>
        <v>19381.68699105781</v>
      </c>
    </row>
    <row r="93" spans="2:13" x14ac:dyDescent="0.35">
      <c r="B93" s="125" t="s">
        <v>138</v>
      </c>
      <c r="C93" s="40"/>
      <c r="D93" s="40"/>
      <c r="E93" s="23"/>
      <c r="F93" s="64"/>
      <c r="G93" s="140">
        <f t="shared" ref="G93:M93" si="20">(G113-G110-G111-G126)*Units/G88</f>
        <v>24.17033295312585</v>
      </c>
      <c r="H93" s="141">
        <f t="shared" si="20"/>
        <v>34.557692625729736</v>
      </c>
      <c r="I93" s="140">
        <f t="shared" ca="1" si="20"/>
        <v>47.167851937323874</v>
      </c>
      <c r="J93" s="140">
        <f t="shared" ca="1" si="20"/>
        <v>61.944677371041081</v>
      </c>
      <c r="K93" s="140">
        <f t="shared" ca="1" si="20"/>
        <v>78.977697769690096</v>
      </c>
      <c r="L93" s="140">
        <f t="shared" ca="1" si="20"/>
        <v>97.703729673902913</v>
      </c>
      <c r="M93" s="141">
        <f t="shared" ca="1" si="20"/>
        <v>118.76181792192287</v>
      </c>
    </row>
    <row r="95" spans="2:13" x14ac:dyDescent="0.35">
      <c r="B95" s="272" t="s">
        <v>19</v>
      </c>
      <c r="C95" s="37"/>
      <c r="D95" s="37"/>
      <c r="E95" s="37"/>
      <c r="F95" s="37"/>
      <c r="G95" s="38"/>
      <c r="H95" s="38"/>
      <c r="I95" s="38"/>
      <c r="J95" s="38"/>
      <c r="K95" s="38"/>
      <c r="L95" s="38"/>
      <c r="M95" s="39"/>
    </row>
    <row r="96" spans="2:13" x14ac:dyDescent="0.35">
      <c r="B96" s="1"/>
      <c r="C96" s="22"/>
      <c r="D96" s="22"/>
      <c r="E96" s="68"/>
      <c r="F96" s="68"/>
      <c r="G96" s="35" t="str">
        <f t="shared" ref="G96:M96" si="21">G$24</f>
        <v>FY 2008</v>
      </c>
      <c r="H96" s="36" t="str">
        <f t="shared" si="21"/>
        <v>FY 2009</v>
      </c>
      <c r="I96" s="35" t="str">
        <f t="shared" si="21"/>
        <v>FY 2010E</v>
      </c>
      <c r="J96" s="35" t="str">
        <f t="shared" si="21"/>
        <v>FY 2011E</v>
      </c>
      <c r="K96" s="35" t="str">
        <f t="shared" si="21"/>
        <v>FY 2012E</v>
      </c>
      <c r="L96" s="35" t="str">
        <f t="shared" si="21"/>
        <v>FY 2013E</v>
      </c>
      <c r="M96" s="36" t="str">
        <f t="shared" si="21"/>
        <v>FY 2014E</v>
      </c>
    </row>
    <row r="97" spans="2:15" x14ac:dyDescent="0.35">
      <c r="B97" s="32" t="s">
        <v>26</v>
      </c>
      <c r="C97" s="5"/>
      <c r="D97" s="5"/>
      <c r="E97" s="60"/>
      <c r="F97" s="60"/>
      <c r="G97" s="60"/>
      <c r="H97" s="76"/>
      <c r="I97" s="31"/>
      <c r="M97" s="67"/>
    </row>
    <row r="98" spans="2:15" x14ac:dyDescent="0.35">
      <c r="B98" s="3" t="s">
        <v>6</v>
      </c>
      <c r="C98" s="41"/>
      <c r="D98" s="41"/>
      <c r="E98" s="41"/>
      <c r="G98" s="41"/>
      <c r="H98" s="77"/>
      <c r="I98" s="22"/>
      <c r="M98" s="21"/>
    </row>
    <row r="99" spans="2:15" x14ac:dyDescent="0.35">
      <c r="B99" s="10" t="s">
        <v>11</v>
      </c>
      <c r="C99" s="33"/>
      <c r="D99" s="33"/>
      <c r="E99" s="59"/>
      <c r="G99" s="20">
        <f t="shared" ref="G99:M99" si="22">G178</f>
        <v>11875</v>
      </c>
      <c r="H99" s="78">
        <f t="shared" si="22"/>
        <v>6559</v>
      </c>
      <c r="I99" s="20">
        <f t="shared" ca="1" si="22"/>
        <v>20619.727546412443</v>
      </c>
      <c r="J99" s="20">
        <f t="shared" ca="1" si="22"/>
        <v>35238.144598921113</v>
      </c>
      <c r="K99" s="20">
        <f t="shared" ca="1" si="22"/>
        <v>51395.950640597752</v>
      </c>
      <c r="L99" s="20">
        <f t="shared" ca="1" si="22"/>
        <v>68903.233256628329</v>
      </c>
      <c r="M99" s="78">
        <f t="shared" ca="1" si="22"/>
        <v>88284.920247686139</v>
      </c>
      <c r="O99" s="109"/>
    </row>
    <row r="100" spans="2:15" x14ac:dyDescent="0.35">
      <c r="B100" s="10" t="s">
        <v>20</v>
      </c>
      <c r="C100" s="28"/>
      <c r="D100" s="19"/>
      <c r="E100" s="59"/>
      <c r="G100" s="59">
        <v>10236</v>
      </c>
      <c r="H100" s="78">
        <f t="shared" ref="H100:M100" si="23">G100-H160-H161</f>
        <v>26282</v>
      </c>
      <c r="I100" s="20">
        <f t="shared" si="23"/>
        <v>26282</v>
      </c>
      <c r="J100" s="20">
        <f t="shared" si="23"/>
        <v>26282</v>
      </c>
      <c r="K100" s="20">
        <f t="shared" si="23"/>
        <v>26282</v>
      </c>
      <c r="L100" s="20">
        <f t="shared" si="23"/>
        <v>26282</v>
      </c>
      <c r="M100" s="78">
        <f t="shared" si="23"/>
        <v>26282</v>
      </c>
    </row>
    <row r="101" spans="2:15" x14ac:dyDescent="0.35">
      <c r="B101" s="10" t="s">
        <v>21</v>
      </c>
      <c r="C101" s="22"/>
      <c r="D101" s="22"/>
      <c r="E101" s="59"/>
      <c r="G101" s="59">
        <v>2422</v>
      </c>
      <c r="H101" s="58">
        <v>3361</v>
      </c>
      <c r="I101" s="20">
        <f>I50*I66</f>
        <v>4201.25</v>
      </c>
      <c r="J101" s="20">
        <f>J50*J66</f>
        <v>4915.4624999999996</v>
      </c>
      <c r="K101" s="20">
        <f>K50*K66</f>
        <v>5456.1633750000001</v>
      </c>
      <c r="L101" s="20">
        <f>L50*L66</f>
        <v>5947.2180787500001</v>
      </c>
      <c r="M101" s="78">
        <f>M50*M66</f>
        <v>6363.5233442625004</v>
      </c>
    </row>
    <row r="102" spans="2:15" x14ac:dyDescent="0.35">
      <c r="B102" s="10" t="s">
        <v>14</v>
      </c>
      <c r="C102" s="33"/>
      <c r="D102" s="33"/>
      <c r="E102" s="59"/>
      <c r="G102" s="59">
        <v>509</v>
      </c>
      <c r="H102" s="58">
        <v>455</v>
      </c>
      <c r="I102" s="20">
        <f>I52*I67</f>
        <v>568.75</v>
      </c>
      <c r="J102" s="20">
        <f>J52*J67</f>
        <v>665.43749999999989</v>
      </c>
      <c r="K102" s="20">
        <f>K52*K67</f>
        <v>738.63562499999989</v>
      </c>
      <c r="L102" s="20">
        <f>L52*L67</f>
        <v>805.11283125</v>
      </c>
      <c r="M102" s="78">
        <f>M52*M67</f>
        <v>861.47072943749993</v>
      </c>
    </row>
    <row r="103" spans="2:15" x14ac:dyDescent="0.35">
      <c r="B103" s="10" t="s">
        <v>22</v>
      </c>
      <c r="C103" s="33"/>
      <c r="D103" s="33"/>
      <c r="E103" s="59"/>
      <c r="G103" s="59">
        <v>1044</v>
      </c>
      <c r="H103" s="78">
        <f t="shared" ref="H103:M103" si="24">G103-H147</f>
        <v>4</v>
      </c>
      <c r="I103" s="20">
        <f t="shared" si="24"/>
        <v>4</v>
      </c>
      <c r="J103" s="20">
        <f t="shared" si="24"/>
        <v>4</v>
      </c>
      <c r="K103" s="20">
        <f t="shared" si="24"/>
        <v>4</v>
      </c>
      <c r="L103" s="20">
        <f t="shared" si="24"/>
        <v>4</v>
      </c>
      <c r="M103" s="78">
        <f t="shared" si="24"/>
        <v>4</v>
      </c>
    </row>
    <row r="104" spans="2:15" x14ac:dyDescent="0.35">
      <c r="B104" s="10" t="s">
        <v>15</v>
      </c>
      <c r="C104" s="28"/>
      <c r="D104" s="19"/>
      <c r="E104" s="59"/>
      <c r="G104" s="59">
        <v>3920</v>
      </c>
      <c r="H104" s="58">
        <v>3140</v>
      </c>
      <c r="I104" s="20">
        <f>H104</f>
        <v>3140</v>
      </c>
      <c r="J104" s="20">
        <f>I104</f>
        <v>3140</v>
      </c>
      <c r="K104" s="20">
        <f>J104</f>
        <v>3140</v>
      </c>
      <c r="L104" s="20">
        <f>K104</f>
        <v>3140</v>
      </c>
      <c r="M104" s="78">
        <f>L104</f>
        <v>3140</v>
      </c>
    </row>
    <row r="105" spans="2:15" x14ac:dyDescent="0.35">
      <c r="B105" s="4" t="s">
        <v>7</v>
      </c>
      <c r="C105" s="9"/>
      <c r="D105" s="43"/>
      <c r="E105" s="24"/>
      <c r="F105" s="31"/>
      <c r="G105" s="24">
        <f t="shared" ref="G105:M105" si="25">SUM(G99:G104)</f>
        <v>30006</v>
      </c>
      <c r="H105" s="79">
        <f t="shared" si="25"/>
        <v>39801</v>
      </c>
      <c r="I105" s="24">
        <f t="shared" ca="1" si="25"/>
        <v>54815.72754641244</v>
      </c>
      <c r="J105" s="24">
        <f t="shared" ca="1" si="25"/>
        <v>70245.044598921115</v>
      </c>
      <c r="K105" s="24">
        <f t="shared" ca="1" si="25"/>
        <v>87016.749640597758</v>
      </c>
      <c r="L105" s="24">
        <f t="shared" ca="1" si="25"/>
        <v>105081.56416662832</v>
      </c>
      <c r="M105" s="79">
        <f t="shared" ca="1" si="25"/>
        <v>124935.91432138614</v>
      </c>
    </row>
    <row r="106" spans="2:15" x14ac:dyDescent="0.35">
      <c r="B106" s="1"/>
      <c r="C106" s="28"/>
      <c r="D106" s="19"/>
      <c r="E106" s="19"/>
      <c r="G106" s="19"/>
      <c r="H106" s="80"/>
      <c r="I106" s="19"/>
      <c r="J106" s="19"/>
      <c r="K106" s="19"/>
      <c r="L106" s="19"/>
      <c r="M106" s="80"/>
    </row>
    <row r="107" spans="2:15" x14ac:dyDescent="0.35">
      <c r="B107" s="3" t="s">
        <v>25</v>
      </c>
      <c r="C107" s="28"/>
      <c r="D107" s="19"/>
      <c r="E107" s="19"/>
      <c r="G107" s="19"/>
      <c r="H107" s="80"/>
      <c r="I107" s="19"/>
      <c r="J107" s="19"/>
      <c r="K107" s="19"/>
      <c r="L107" s="19"/>
      <c r="M107" s="80"/>
    </row>
    <row r="108" spans="2:15" x14ac:dyDescent="0.35">
      <c r="B108" s="10" t="s">
        <v>23</v>
      </c>
      <c r="C108" s="27"/>
      <c r="D108" s="20"/>
      <c r="E108" s="59"/>
      <c r="G108" s="59">
        <v>2379</v>
      </c>
      <c r="H108" s="78">
        <f t="shared" ref="H108:M108" si="26">G108-H162-H165</f>
        <v>2554</v>
      </c>
      <c r="I108" s="20">
        <f t="shared" si="26"/>
        <v>2554</v>
      </c>
      <c r="J108" s="20">
        <f t="shared" si="26"/>
        <v>2554</v>
      </c>
      <c r="K108" s="20">
        <f t="shared" si="26"/>
        <v>2554</v>
      </c>
      <c r="L108" s="20">
        <f t="shared" si="26"/>
        <v>2554</v>
      </c>
      <c r="M108" s="78">
        <f t="shared" si="26"/>
        <v>2554</v>
      </c>
    </row>
    <row r="109" spans="2:15" x14ac:dyDescent="0.35">
      <c r="B109" s="10" t="s">
        <v>97</v>
      </c>
      <c r="C109" s="28"/>
      <c r="D109" s="19"/>
      <c r="E109" s="59"/>
      <c r="G109" s="59">
        <v>2455</v>
      </c>
      <c r="H109" s="78">
        <f t="shared" ref="H109:M109" si="27">G109-H163-H144-H148</f>
        <v>2839</v>
      </c>
      <c r="I109" s="20">
        <f t="shared" si="27"/>
        <v>3351.5</v>
      </c>
      <c r="J109" s="20">
        <f t="shared" si="27"/>
        <v>3951.1250000000009</v>
      </c>
      <c r="K109" s="20">
        <f t="shared" si="27"/>
        <v>4616.7087500000016</v>
      </c>
      <c r="L109" s="20">
        <f t="shared" si="27"/>
        <v>5342.1950375000015</v>
      </c>
      <c r="M109" s="78">
        <f t="shared" si="27"/>
        <v>6118.4653651250019</v>
      </c>
    </row>
    <row r="110" spans="2:15" x14ac:dyDescent="0.35">
      <c r="B110" s="10" t="s">
        <v>8</v>
      </c>
      <c r="C110" s="26"/>
      <c r="D110" s="25"/>
      <c r="E110" s="59"/>
      <c r="G110" s="59">
        <v>207</v>
      </c>
      <c r="H110" s="78">
        <f t="shared" ref="H110:M110" si="28">G110</f>
        <v>207</v>
      </c>
      <c r="I110" s="20">
        <f t="shared" si="28"/>
        <v>207</v>
      </c>
      <c r="J110" s="20">
        <f t="shared" si="28"/>
        <v>207</v>
      </c>
      <c r="K110" s="20">
        <f t="shared" si="28"/>
        <v>207</v>
      </c>
      <c r="L110" s="20">
        <f t="shared" si="28"/>
        <v>207</v>
      </c>
      <c r="M110" s="78">
        <f t="shared" si="28"/>
        <v>207</v>
      </c>
    </row>
    <row r="111" spans="2:15" x14ac:dyDescent="0.35">
      <c r="B111" s="44" t="s">
        <v>106</v>
      </c>
      <c r="C111" s="18"/>
      <c r="D111" s="15"/>
      <c r="E111" s="59"/>
      <c r="G111" s="59">
        <v>285</v>
      </c>
      <c r="H111" s="78">
        <f t="shared" ref="H111:M111" si="29">G111-H145-H164</f>
        <v>354</v>
      </c>
      <c r="I111" s="20">
        <f t="shared" si="29"/>
        <v>314</v>
      </c>
      <c r="J111" s="20">
        <f t="shared" si="29"/>
        <v>277</v>
      </c>
      <c r="K111" s="20">
        <f t="shared" si="29"/>
        <v>249</v>
      </c>
      <c r="L111" s="20">
        <f t="shared" si="29"/>
        <v>236</v>
      </c>
      <c r="M111" s="78">
        <f t="shared" si="29"/>
        <v>226</v>
      </c>
    </row>
    <row r="112" spans="2:15" x14ac:dyDescent="0.35">
      <c r="B112" s="44" t="s">
        <v>24</v>
      </c>
      <c r="C112" s="18"/>
      <c r="D112" s="15"/>
      <c r="E112" s="59"/>
      <c r="G112" s="59">
        <v>839</v>
      </c>
      <c r="H112" s="58">
        <v>2011</v>
      </c>
      <c r="I112" s="20">
        <f>H112</f>
        <v>2011</v>
      </c>
      <c r="J112" s="20">
        <f>I112</f>
        <v>2011</v>
      </c>
      <c r="K112" s="20">
        <f>J112</f>
        <v>2011</v>
      </c>
      <c r="L112" s="20">
        <f>K112</f>
        <v>2011</v>
      </c>
      <c r="M112" s="78">
        <f>L112</f>
        <v>2011</v>
      </c>
    </row>
    <row r="113" spans="2:13" x14ac:dyDescent="0.35">
      <c r="B113" s="4" t="s">
        <v>9</v>
      </c>
      <c r="C113" s="9"/>
      <c r="D113" s="43"/>
      <c r="E113" s="24"/>
      <c r="F113" s="31"/>
      <c r="G113" s="24">
        <f t="shared" ref="G113:M113" si="30">SUM(G108:G112)+G105</f>
        <v>36171</v>
      </c>
      <c r="H113" s="79">
        <f t="shared" si="30"/>
        <v>47766</v>
      </c>
      <c r="I113" s="24">
        <f t="shared" ca="1" si="30"/>
        <v>63253.22754641244</v>
      </c>
      <c r="J113" s="24">
        <f t="shared" ca="1" si="30"/>
        <v>79245.169598921115</v>
      </c>
      <c r="K113" s="24">
        <f t="shared" ca="1" si="30"/>
        <v>96654.458390597763</v>
      </c>
      <c r="L113" s="24">
        <f t="shared" ca="1" si="30"/>
        <v>115431.75920412832</v>
      </c>
      <c r="M113" s="79">
        <f t="shared" ca="1" si="30"/>
        <v>136052.37968651115</v>
      </c>
    </row>
    <row r="114" spans="2:13" x14ac:dyDescent="0.35">
      <c r="B114" s="30"/>
      <c r="C114" s="18"/>
      <c r="D114" s="15"/>
      <c r="E114" s="15"/>
      <c r="G114" s="15"/>
      <c r="H114" s="81"/>
      <c r="I114" s="15"/>
      <c r="J114" s="15"/>
      <c r="K114" s="15"/>
      <c r="L114" s="15"/>
      <c r="M114" s="81"/>
    </row>
    <row r="115" spans="2:13" x14ac:dyDescent="0.35">
      <c r="B115" s="45" t="s">
        <v>27</v>
      </c>
      <c r="C115" s="46"/>
      <c r="D115" s="47"/>
      <c r="E115" s="47"/>
      <c r="G115" s="61"/>
      <c r="H115" s="82"/>
      <c r="I115" s="61"/>
      <c r="J115" s="61"/>
      <c r="K115" s="61"/>
      <c r="L115" s="61"/>
      <c r="M115" s="82"/>
    </row>
    <row r="116" spans="2:13" x14ac:dyDescent="0.35">
      <c r="B116" s="3" t="s">
        <v>28</v>
      </c>
      <c r="C116" s="28"/>
      <c r="D116" s="19"/>
      <c r="E116" s="19"/>
      <c r="G116" s="19"/>
      <c r="H116" s="80"/>
      <c r="I116" s="19"/>
      <c r="J116" s="19"/>
      <c r="K116" s="19"/>
      <c r="L116" s="19"/>
      <c r="M116" s="80"/>
    </row>
    <row r="117" spans="2:13" x14ac:dyDescent="0.35">
      <c r="B117" s="10" t="s">
        <v>29</v>
      </c>
      <c r="C117" s="28"/>
      <c r="D117" s="19"/>
      <c r="E117" s="59"/>
      <c r="G117" s="59">
        <v>5520</v>
      </c>
      <c r="H117" s="58">
        <v>5601</v>
      </c>
      <c r="I117" s="20">
        <f>I55*I67</f>
        <v>7001.2499999999991</v>
      </c>
      <c r="J117" s="20">
        <f>J55*J67</f>
        <v>8191.4624999999987</v>
      </c>
      <c r="K117" s="20">
        <f>K55*K67</f>
        <v>9092.5233749999989</v>
      </c>
      <c r="L117" s="20">
        <f>L55*L67</f>
        <v>9910.8504787500005</v>
      </c>
      <c r="M117" s="78">
        <f>M55*M67</f>
        <v>10604.610012262499</v>
      </c>
    </row>
    <row r="118" spans="2:13" x14ac:dyDescent="0.35">
      <c r="B118" s="10" t="s">
        <v>30</v>
      </c>
      <c r="C118" s="28"/>
      <c r="D118" s="19"/>
      <c r="E118" s="59"/>
      <c r="G118" s="59">
        <v>4224</v>
      </c>
      <c r="H118" s="58">
        <v>3852</v>
      </c>
      <c r="I118" s="20">
        <f>I57*I72</f>
        <v>4815</v>
      </c>
      <c r="J118" s="20">
        <f>J57*J72</f>
        <v>5633.55</v>
      </c>
      <c r="K118" s="20">
        <f>K57*K72</f>
        <v>6253.2405000000008</v>
      </c>
      <c r="L118" s="20">
        <f>L57*L72</f>
        <v>6816.032145000001</v>
      </c>
      <c r="M118" s="78">
        <f>M57*M72</f>
        <v>7293.1543951499998</v>
      </c>
    </row>
    <row r="119" spans="2:13" x14ac:dyDescent="0.35">
      <c r="B119" s="10" t="s">
        <v>31</v>
      </c>
      <c r="C119" s="22"/>
      <c r="D119" s="22"/>
      <c r="E119" s="59"/>
      <c r="G119" s="59">
        <v>1617</v>
      </c>
      <c r="H119" s="58">
        <v>2053</v>
      </c>
      <c r="I119" s="20">
        <f>I58*I66</f>
        <v>2566.25</v>
      </c>
      <c r="J119" s="20">
        <f>J58*J66</f>
        <v>3002.5124999999998</v>
      </c>
      <c r="K119" s="20">
        <f>K58*K66</f>
        <v>3332.7888750000002</v>
      </c>
      <c r="L119" s="20">
        <f>L58*L66</f>
        <v>3632.7398737500002</v>
      </c>
      <c r="M119" s="78">
        <f>M58*M66</f>
        <v>3887.0316649125002</v>
      </c>
    </row>
    <row r="120" spans="2:13" x14ac:dyDescent="0.35">
      <c r="B120" s="4" t="s">
        <v>32</v>
      </c>
      <c r="C120" s="31"/>
      <c r="D120" s="31"/>
      <c r="E120" s="24"/>
      <c r="F120" s="31"/>
      <c r="G120" s="24">
        <f t="shared" ref="G120:M120" si="31">SUM(G117:G119)</f>
        <v>11361</v>
      </c>
      <c r="H120" s="79">
        <f t="shared" si="31"/>
        <v>11506</v>
      </c>
      <c r="I120" s="24">
        <f t="shared" si="31"/>
        <v>14382.5</v>
      </c>
      <c r="J120" s="24">
        <f t="shared" si="31"/>
        <v>16827.524999999998</v>
      </c>
      <c r="K120" s="24">
        <f t="shared" si="31"/>
        <v>18678.552750000003</v>
      </c>
      <c r="L120" s="24">
        <f t="shared" si="31"/>
        <v>20359.622497500004</v>
      </c>
      <c r="M120" s="79">
        <f t="shared" si="31"/>
        <v>21784.796072325</v>
      </c>
    </row>
    <row r="121" spans="2:13" x14ac:dyDescent="0.35">
      <c r="B121" s="1"/>
      <c r="C121" s="22"/>
      <c r="D121" s="22"/>
      <c r="E121" s="22"/>
      <c r="G121" s="22"/>
      <c r="H121" s="21"/>
      <c r="I121" s="22"/>
      <c r="J121" s="22"/>
      <c r="K121" s="22"/>
      <c r="L121" s="22"/>
      <c r="M121" s="21"/>
    </row>
    <row r="122" spans="2:13" x14ac:dyDescent="0.35">
      <c r="B122" s="3" t="s">
        <v>33</v>
      </c>
      <c r="C122" s="22"/>
      <c r="D122" s="22"/>
      <c r="E122" s="22"/>
      <c r="G122" s="22"/>
      <c r="H122" s="21"/>
      <c r="I122" s="22"/>
      <c r="J122" s="22"/>
      <c r="K122" s="22"/>
      <c r="L122" s="22"/>
      <c r="M122" s="21"/>
    </row>
    <row r="123" spans="2:13" x14ac:dyDescent="0.35">
      <c r="B123" s="10" t="s">
        <v>31</v>
      </c>
      <c r="C123" s="22"/>
      <c r="D123" s="22"/>
      <c r="E123" s="59"/>
      <c r="G123" s="59">
        <v>768</v>
      </c>
      <c r="H123" s="58">
        <v>853</v>
      </c>
      <c r="I123" s="20">
        <f>I59*I66</f>
        <v>1066.25</v>
      </c>
      <c r="J123" s="20">
        <f>J59*J66</f>
        <v>1247.5124999999998</v>
      </c>
      <c r="K123" s="20">
        <f>K59*K66</f>
        <v>1384.7388749999998</v>
      </c>
      <c r="L123" s="20">
        <f>L59*L66</f>
        <v>1509.3653737499999</v>
      </c>
      <c r="M123" s="78">
        <f>M59*M66</f>
        <v>1615.0209499125001</v>
      </c>
    </row>
    <row r="124" spans="2:13" x14ac:dyDescent="0.35">
      <c r="B124" s="10" t="s">
        <v>94</v>
      </c>
      <c r="C124" s="22"/>
      <c r="D124" s="22"/>
      <c r="E124" s="59"/>
      <c r="G124" s="59">
        <v>0</v>
      </c>
      <c r="H124" s="58">
        <v>0</v>
      </c>
      <c r="I124" s="20">
        <f>H124+I173</f>
        <v>1000</v>
      </c>
      <c r="J124" s="20">
        <f>I124+J173</f>
        <v>1000</v>
      </c>
      <c r="K124" s="20">
        <f>J124+K173</f>
        <v>1000</v>
      </c>
      <c r="L124" s="20">
        <f>K124+L173</f>
        <v>1000</v>
      </c>
      <c r="M124" s="78">
        <f>L124+M173</f>
        <v>1000</v>
      </c>
    </row>
    <row r="125" spans="2:13" x14ac:dyDescent="0.35">
      <c r="B125" s="10" t="s">
        <v>34</v>
      </c>
      <c r="C125" s="22"/>
      <c r="D125" s="22"/>
      <c r="E125" s="59"/>
      <c r="G125" s="59">
        <v>1745</v>
      </c>
      <c r="H125" s="58">
        <v>3502</v>
      </c>
      <c r="I125" s="20">
        <f>H125</f>
        <v>3502</v>
      </c>
      <c r="J125" s="20">
        <f>I125</f>
        <v>3502</v>
      </c>
      <c r="K125" s="20">
        <f>J125</f>
        <v>3502</v>
      </c>
      <c r="L125" s="20">
        <f>K125</f>
        <v>3502</v>
      </c>
      <c r="M125" s="78">
        <f>L125</f>
        <v>3502</v>
      </c>
    </row>
    <row r="126" spans="2:13" x14ac:dyDescent="0.35">
      <c r="B126" s="4" t="s">
        <v>35</v>
      </c>
      <c r="C126" s="31"/>
      <c r="D126" s="31"/>
      <c r="E126" s="24"/>
      <c r="F126" s="31"/>
      <c r="G126" s="24">
        <f t="shared" ref="G126:M126" si="32">SUM(G123:G125)+G120</f>
        <v>13874</v>
      </c>
      <c r="H126" s="79">
        <f t="shared" si="32"/>
        <v>15861</v>
      </c>
      <c r="I126" s="24">
        <f t="shared" si="32"/>
        <v>19950.75</v>
      </c>
      <c r="J126" s="24">
        <f t="shared" si="32"/>
        <v>22577.037499999999</v>
      </c>
      <c r="K126" s="24">
        <f t="shared" si="32"/>
        <v>24565.291625000002</v>
      </c>
      <c r="L126" s="24">
        <f t="shared" si="32"/>
        <v>26370.987871250003</v>
      </c>
      <c r="M126" s="79">
        <f t="shared" si="32"/>
        <v>27901.817022237501</v>
      </c>
    </row>
    <row r="127" spans="2:13" x14ac:dyDescent="0.35">
      <c r="B127" s="1"/>
      <c r="C127" s="22"/>
      <c r="D127" s="22"/>
      <c r="E127" s="22"/>
      <c r="G127" s="22"/>
      <c r="H127" s="21"/>
      <c r="I127" s="22"/>
      <c r="J127" s="22"/>
      <c r="K127" s="22"/>
      <c r="L127" s="22"/>
      <c r="M127" s="21"/>
    </row>
    <row r="128" spans="2:13" x14ac:dyDescent="0.35">
      <c r="B128" s="3" t="s">
        <v>36</v>
      </c>
      <c r="C128" s="22"/>
      <c r="D128" s="22"/>
      <c r="E128" s="22"/>
      <c r="G128" s="22"/>
      <c r="H128" s="21"/>
      <c r="I128" s="22"/>
      <c r="J128" s="22"/>
      <c r="K128" s="22"/>
      <c r="L128" s="22"/>
      <c r="M128" s="21"/>
    </row>
    <row r="129" spans="2:14" x14ac:dyDescent="0.35">
      <c r="B129" s="10" t="s">
        <v>37</v>
      </c>
      <c r="C129" s="22"/>
      <c r="D129" s="22"/>
      <c r="E129" s="59"/>
      <c r="G129" s="59">
        <v>7177</v>
      </c>
      <c r="H129" s="78">
        <f t="shared" ref="H129:M129" si="33">G129</f>
        <v>7177</v>
      </c>
      <c r="I129" s="20">
        <f t="shared" si="33"/>
        <v>7177</v>
      </c>
      <c r="J129" s="20">
        <f t="shared" si="33"/>
        <v>7177</v>
      </c>
      <c r="K129" s="20">
        <f t="shared" si="33"/>
        <v>7177</v>
      </c>
      <c r="L129" s="20">
        <f t="shared" si="33"/>
        <v>7177</v>
      </c>
      <c r="M129" s="78">
        <f t="shared" si="33"/>
        <v>7177</v>
      </c>
    </row>
    <row r="130" spans="2:14" x14ac:dyDescent="0.35">
      <c r="B130" s="10" t="s">
        <v>38</v>
      </c>
      <c r="C130" s="22"/>
      <c r="D130" s="22"/>
      <c r="E130" s="59"/>
      <c r="G130" s="59">
        <v>0</v>
      </c>
      <c r="H130" s="78">
        <f t="shared" ref="H130:M130" si="34">G130+H169+H146</f>
        <v>1185</v>
      </c>
      <c r="I130" s="20">
        <f t="shared" si="34"/>
        <v>2072.5</v>
      </c>
      <c r="J130" s="20">
        <f t="shared" si="34"/>
        <v>3110.875</v>
      </c>
      <c r="K130" s="20">
        <f t="shared" si="34"/>
        <v>4263.4712499999996</v>
      </c>
      <c r="L130" s="20">
        <f t="shared" si="34"/>
        <v>5519.8011624999999</v>
      </c>
      <c r="M130" s="78">
        <f t="shared" si="34"/>
        <v>6864.0741688750004</v>
      </c>
    </row>
    <row r="131" spans="2:14" x14ac:dyDescent="0.35">
      <c r="B131" s="10" t="s">
        <v>39</v>
      </c>
      <c r="C131" s="22"/>
      <c r="D131" s="22"/>
      <c r="E131" s="59"/>
      <c r="G131" s="59">
        <v>0</v>
      </c>
      <c r="H131" s="78">
        <f t="shared" ref="H131:M131" si="35">G131+H170</f>
        <v>0</v>
      </c>
      <c r="I131" s="20">
        <f t="shared" si="35"/>
        <v>0</v>
      </c>
      <c r="J131" s="20">
        <f t="shared" si="35"/>
        <v>0</v>
      </c>
      <c r="K131" s="20">
        <f t="shared" si="35"/>
        <v>0</v>
      </c>
      <c r="L131" s="20">
        <f t="shared" si="35"/>
        <v>0</v>
      </c>
      <c r="M131" s="78">
        <f t="shared" si="35"/>
        <v>0</v>
      </c>
    </row>
    <row r="132" spans="2:14" x14ac:dyDescent="0.35">
      <c r="B132" s="10" t="s">
        <v>40</v>
      </c>
      <c r="C132" s="22"/>
      <c r="D132" s="22"/>
      <c r="E132" s="59"/>
      <c r="G132" s="59">
        <v>15129</v>
      </c>
      <c r="H132" s="78">
        <f t="shared" ref="H132:M132" si="36">G132+H85-H171</f>
        <v>23364</v>
      </c>
      <c r="I132" s="20">
        <f t="shared" ca="1" si="36"/>
        <v>33873.97754641244</v>
      </c>
      <c r="J132" s="20">
        <f t="shared" ca="1" si="36"/>
        <v>46201.257098921109</v>
      </c>
      <c r="K132" s="20">
        <f t="shared" ca="1" si="36"/>
        <v>60469.695515597748</v>
      </c>
      <c r="L132" s="20">
        <f t="shared" ca="1" si="36"/>
        <v>76184.970170378336</v>
      </c>
      <c r="M132" s="78">
        <f t="shared" ca="1" si="36"/>
        <v>93930.488495398648</v>
      </c>
    </row>
    <row r="133" spans="2:14" x14ac:dyDescent="0.35">
      <c r="B133" s="10" t="s">
        <v>107</v>
      </c>
      <c r="C133" s="22"/>
      <c r="D133" s="22"/>
      <c r="E133" s="59"/>
      <c r="G133" s="59">
        <v>-9</v>
      </c>
      <c r="H133" s="78">
        <f t="shared" ref="H133:M133" si="37">G133+H172+H174</f>
        <v>179</v>
      </c>
      <c r="I133" s="20">
        <f t="shared" si="37"/>
        <v>179</v>
      </c>
      <c r="J133" s="20">
        <f t="shared" si="37"/>
        <v>179</v>
      </c>
      <c r="K133" s="20">
        <f t="shared" si="37"/>
        <v>179</v>
      </c>
      <c r="L133" s="20">
        <f t="shared" si="37"/>
        <v>179</v>
      </c>
      <c r="M133" s="78">
        <f t="shared" si="37"/>
        <v>179</v>
      </c>
    </row>
    <row r="134" spans="2:14" x14ac:dyDescent="0.35">
      <c r="B134" s="4" t="s">
        <v>41</v>
      </c>
      <c r="C134" s="31"/>
      <c r="D134" s="31"/>
      <c r="E134" s="24"/>
      <c r="F134" s="31"/>
      <c r="G134" s="24">
        <f t="shared" ref="G134:M134" si="38">SUM(G129:G133)</f>
        <v>22297</v>
      </c>
      <c r="H134" s="79">
        <f t="shared" si="38"/>
        <v>31905</v>
      </c>
      <c r="I134" s="24">
        <f t="shared" ca="1" si="38"/>
        <v>43302.47754641244</v>
      </c>
      <c r="J134" s="24">
        <f t="shared" ca="1" si="38"/>
        <v>56668.132098921109</v>
      </c>
      <c r="K134" s="24">
        <f t="shared" ca="1" si="38"/>
        <v>72089.166765597751</v>
      </c>
      <c r="L134" s="24">
        <f t="shared" ca="1" si="38"/>
        <v>89060.771332878328</v>
      </c>
      <c r="M134" s="79">
        <f t="shared" ca="1" si="38"/>
        <v>108150.56266427365</v>
      </c>
    </row>
    <row r="135" spans="2:14" x14ac:dyDescent="0.35">
      <c r="B135" s="1"/>
      <c r="C135" s="22"/>
      <c r="D135" s="22"/>
      <c r="E135" s="22"/>
      <c r="G135" s="22"/>
      <c r="H135" s="21"/>
      <c r="I135" s="22"/>
      <c r="J135" s="22"/>
      <c r="K135" s="22"/>
      <c r="L135" s="22"/>
      <c r="M135" s="21"/>
    </row>
    <row r="136" spans="2:14" x14ac:dyDescent="0.35">
      <c r="B136" s="6" t="s">
        <v>16</v>
      </c>
      <c r="C136" s="23"/>
      <c r="D136" s="23"/>
      <c r="E136" s="48"/>
      <c r="F136" s="23"/>
      <c r="G136" s="48">
        <f t="shared" ref="G136:M136" si="39">G134+G126</f>
        <v>36171</v>
      </c>
      <c r="H136" s="83">
        <f t="shared" si="39"/>
        <v>47766</v>
      </c>
      <c r="I136" s="48">
        <f t="shared" ca="1" si="39"/>
        <v>63253.22754641244</v>
      </c>
      <c r="J136" s="48">
        <f t="shared" ca="1" si="39"/>
        <v>79245.169598921115</v>
      </c>
      <c r="K136" s="48">
        <f t="shared" ca="1" si="39"/>
        <v>96654.458390597749</v>
      </c>
      <c r="L136" s="48">
        <f t="shared" ca="1" si="39"/>
        <v>115431.75920412834</v>
      </c>
      <c r="M136" s="83">
        <f t="shared" ca="1" si="39"/>
        <v>136052.37968651115</v>
      </c>
    </row>
    <row r="138" spans="2:14" x14ac:dyDescent="0.35">
      <c r="B138" s="34" t="s">
        <v>100</v>
      </c>
      <c r="G138" s="117">
        <f>G113-G136</f>
        <v>0</v>
      </c>
      <c r="H138" s="117">
        <f t="shared" ref="H138:M138" si="40">H113-H136</f>
        <v>0</v>
      </c>
      <c r="I138" s="117">
        <f t="shared" ca="1" si="40"/>
        <v>0</v>
      </c>
      <c r="J138" s="117">
        <f t="shared" ca="1" si="40"/>
        <v>0</v>
      </c>
      <c r="K138" s="117">
        <f t="shared" ca="1" si="40"/>
        <v>0</v>
      </c>
      <c r="L138" s="117">
        <f t="shared" ca="1" si="40"/>
        <v>0</v>
      </c>
      <c r="M138" s="117">
        <f t="shared" ca="1" si="40"/>
        <v>0</v>
      </c>
    </row>
    <row r="140" spans="2:14" x14ac:dyDescent="0.35">
      <c r="B140" s="272" t="s">
        <v>42</v>
      </c>
      <c r="C140" s="37"/>
      <c r="D140" s="37"/>
      <c r="E140" s="38"/>
      <c r="F140" s="38"/>
      <c r="G140" s="38"/>
      <c r="H140" s="38"/>
      <c r="I140" s="38"/>
      <c r="J140" s="38"/>
      <c r="K140" s="38"/>
      <c r="L140" s="38"/>
      <c r="M140" s="39"/>
    </row>
    <row r="141" spans="2:14" x14ac:dyDescent="0.35">
      <c r="B141" s="1"/>
      <c r="C141" s="22"/>
      <c r="F141" s="35" t="str">
        <f t="shared" ref="F141:M141" si="41">F$24</f>
        <v>FY 2007</v>
      </c>
      <c r="G141" s="35" t="str">
        <f t="shared" si="41"/>
        <v>FY 2008</v>
      </c>
      <c r="H141" s="36" t="str">
        <f t="shared" si="41"/>
        <v>FY 2009</v>
      </c>
      <c r="I141" s="35" t="str">
        <f t="shared" si="41"/>
        <v>FY 2010E</v>
      </c>
      <c r="J141" s="35" t="str">
        <f t="shared" si="41"/>
        <v>FY 2011E</v>
      </c>
      <c r="K141" s="35" t="str">
        <f t="shared" si="41"/>
        <v>FY 2012E</v>
      </c>
      <c r="L141" s="35" t="str">
        <f t="shared" si="41"/>
        <v>FY 2013E</v>
      </c>
      <c r="M141" s="36" t="str">
        <f t="shared" si="41"/>
        <v>FY 2014E</v>
      </c>
    </row>
    <row r="142" spans="2:14" x14ac:dyDescent="0.35">
      <c r="B142" s="32" t="s">
        <v>43</v>
      </c>
      <c r="C142" s="49"/>
      <c r="D142" s="50"/>
      <c r="E142" s="50"/>
      <c r="H142" s="84"/>
      <c r="M142" s="21"/>
    </row>
    <row r="143" spans="2:14" x14ac:dyDescent="0.35">
      <c r="B143" s="3" t="s">
        <v>10</v>
      </c>
      <c r="F143" s="19">
        <f t="shared" ref="F143:M143" si="42">F85</f>
        <v>3495</v>
      </c>
      <c r="G143" s="19">
        <f t="shared" si="42"/>
        <v>6119</v>
      </c>
      <c r="H143" s="19">
        <f t="shared" si="42"/>
        <v>8235</v>
      </c>
      <c r="I143" s="110">
        <f t="shared" ca="1" si="42"/>
        <v>10509.977546412443</v>
      </c>
      <c r="J143" s="19">
        <f t="shared" ca="1" si="42"/>
        <v>12327.279552508668</v>
      </c>
      <c r="K143" s="19">
        <f t="shared" ca="1" si="42"/>
        <v>14268.438416676636</v>
      </c>
      <c r="L143" s="19">
        <f t="shared" ca="1" si="42"/>
        <v>15715.274654780582</v>
      </c>
      <c r="M143" s="19">
        <f t="shared" ca="1" si="42"/>
        <v>17745.518325020312</v>
      </c>
      <c r="N143" s="1"/>
    </row>
    <row r="144" spans="2:14" x14ac:dyDescent="0.35">
      <c r="B144" s="11" t="s">
        <v>98</v>
      </c>
      <c r="C144" s="22"/>
      <c r="D144" s="22"/>
      <c r="E144" s="33"/>
      <c r="F144" s="20">
        <f t="shared" ref="F144:M144" si="43">F74</f>
        <v>327</v>
      </c>
      <c r="G144" s="20">
        <f t="shared" si="43"/>
        <v>496</v>
      </c>
      <c r="H144" s="20">
        <f t="shared" si="43"/>
        <v>734</v>
      </c>
      <c r="I144" s="111">
        <f t="shared" si="43"/>
        <v>917.49999999999989</v>
      </c>
      <c r="J144" s="20">
        <f t="shared" si="43"/>
        <v>1073.4749999999997</v>
      </c>
      <c r="K144" s="20">
        <f t="shared" si="43"/>
        <v>1191.5572499999998</v>
      </c>
      <c r="L144" s="20">
        <f t="shared" si="43"/>
        <v>1298.7974024999999</v>
      </c>
      <c r="M144" s="20">
        <f t="shared" si="43"/>
        <v>1389.713220675</v>
      </c>
      <c r="N144" s="1"/>
    </row>
    <row r="145" spans="2:14" x14ac:dyDescent="0.35">
      <c r="B145" s="11" t="s">
        <v>96</v>
      </c>
      <c r="C145" s="22"/>
      <c r="D145" s="22"/>
      <c r="E145" s="33"/>
      <c r="F145" s="20">
        <f>F53</f>
        <v>0</v>
      </c>
      <c r="G145" s="20">
        <f>G53</f>
        <v>0</v>
      </c>
      <c r="H145" s="20">
        <f>H53</f>
        <v>0</v>
      </c>
      <c r="I145" s="111">
        <f t="shared" ref="I145:M146" si="44">I75</f>
        <v>40</v>
      </c>
      <c r="J145" s="20">
        <f t="shared" si="44"/>
        <v>37</v>
      </c>
      <c r="K145" s="20">
        <f t="shared" si="44"/>
        <v>28</v>
      </c>
      <c r="L145" s="20">
        <f t="shared" si="44"/>
        <v>13</v>
      </c>
      <c r="M145" s="20">
        <f t="shared" si="44"/>
        <v>10</v>
      </c>
      <c r="N145" s="1"/>
    </row>
    <row r="146" spans="2:14" x14ac:dyDescent="0.35">
      <c r="B146" s="51" t="s">
        <v>44</v>
      </c>
      <c r="C146" s="22"/>
      <c r="D146" s="22"/>
      <c r="E146" s="28"/>
      <c r="F146" s="20">
        <f>F76</f>
        <v>242</v>
      </c>
      <c r="G146" s="20">
        <f>G76</f>
        <v>516</v>
      </c>
      <c r="H146" s="20">
        <f>H76</f>
        <v>710</v>
      </c>
      <c r="I146" s="111">
        <f t="shared" si="44"/>
        <v>887.5</v>
      </c>
      <c r="J146" s="20">
        <f t="shared" si="44"/>
        <v>1038.3749999999998</v>
      </c>
      <c r="K146" s="20">
        <f t="shared" si="44"/>
        <v>1152.5962499999998</v>
      </c>
      <c r="L146" s="20">
        <f t="shared" si="44"/>
        <v>1256.3299125000001</v>
      </c>
      <c r="M146" s="20">
        <f t="shared" si="44"/>
        <v>1344.273006375</v>
      </c>
      <c r="N146" s="1"/>
    </row>
    <row r="147" spans="2:14" x14ac:dyDescent="0.35">
      <c r="B147" s="1" t="s">
        <v>45</v>
      </c>
      <c r="C147" s="22"/>
      <c r="D147" s="22"/>
      <c r="E147" s="22"/>
      <c r="F147" s="59">
        <v>73</v>
      </c>
      <c r="G147" s="59">
        <v>398</v>
      </c>
      <c r="H147" s="58">
        <v>1040</v>
      </c>
      <c r="I147" s="112">
        <v>0</v>
      </c>
      <c r="J147" s="113">
        <f t="shared" ref="J147:M148" si="45">I147</f>
        <v>0</v>
      </c>
      <c r="K147" s="113">
        <f t="shared" si="45"/>
        <v>0</v>
      </c>
      <c r="L147" s="113">
        <f t="shared" si="45"/>
        <v>0</v>
      </c>
      <c r="M147" s="86">
        <f t="shared" si="45"/>
        <v>0</v>
      </c>
    </row>
    <row r="148" spans="2:14" x14ac:dyDescent="0.35">
      <c r="B148" s="11" t="s">
        <v>46</v>
      </c>
      <c r="C148" s="22"/>
      <c r="D148" s="22"/>
      <c r="E148" s="33"/>
      <c r="F148" s="59">
        <v>12</v>
      </c>
      <c r="G148" s="59">
        <v>22</v>
      </c>
      <c r="H148" s="58">
        <v>26</v>
      </c>
      <c r="I148" s="112">
        <v>0</v>
      </c>
      <c r="J148" s="113">
        <f t="shared" si="45"/>
        <v>0</v>
      </c>
      <c r="K148" s="113">
        <f t="shared" si="45"/>
        <v>0</v>
      </c>
      <c r="L148" s="113">
        <f t="shared" si="45"/>
        <v>0</v>
      </c>
      <c r="M148" s="86">
        <f t="shared" si="45"/>
        <v>0</v>
      </c>
    </row>
    <row r="149" spans="2:14" x14ac:dyDescent="0.35">
      <c r="B149" s="13" t="s">
        <v>47</v>
      </c>
      <c r="C149" s="22"/>
      <c r="D149" s="22"/>
      <c r="E149" s="33"/>
      <c r="F149" s="22"/>
      <c r="G149" s="22"/>
      <c r="H149" s="21"/>
      <c r="M149" s="21"/>
    </row>
    <row r="150" spans="2:14" x14ac:dyDescent="0.35">
      <c r="B150" s="10" t="s">
        <v>21</v>
      </c>
      <c r="C150" s="22"/>
      <c r="D150" s="22"/>
      <c r="E150" s="28"/>
      <c r="F150" s="59">
        <v>-385</v>
      </c>
      <c r="G150" s="59">
        <v>-785</v>
      </c>
      <c r="H150" s="85">
        <f t="shared" ref="H150:M151" si="46">G101-H101</f>
        <v>-939</v>
      </c>
      <c r="I150" s="114">
        <f t="shared" si="46"/>
        <v>-840.25</v>
      </c>
      <c r="J150" s="69">
        <f t="shared" si="46"/>
        <v>-714.21249999999964</v>
      </c>
      <c r="K150" s="69">
        <f t="shared" si="46"/>
        <v>-540.70087500000045</v>
      </c>
      <c r="L150" s="69">
        <f t="shared" si="46"/>
        <v>-491.05470375000004</v>
      </c>
      <c r="M150" s="85">
        <f t="shared" si="46"/>
        <v>-416.30526551250023</v>
      </c>
    </row>
    <row r="151" spans="2:14" x14ac:dyDescent="0.35">
      <c r="B151" s="10" t="s">
        <v>14</v>
      </c>
      <c r="C151" s="22"/>
      <c r="D151" s="22"/>
      <c r="E151" s="52"/>
      <c r="F151" s="59">
        <v>-76</v>
      </c>
      <c r="G151" s="59">
        <v>-163</v>
      </c>
      <c r="H151" s="86">
        <f t="shared" si="46"/>
        <v>54</v>
      </c>
      <c r="I151" s="115">
        <f t="shared" si="46"/>
        <v>-113.75</v>
      </c>
      <c r="J151" s="70">
        <f t="shared" si="46"/>
        <v>-96.687499999999886</v>
      </c>
      <c r="K151" s="70">
        <f t="shared" si="46"/>
        <v>-73.198125000000005</v>
      </c>
      <c r="L151" s="70">
        <f t="shared" si="46"/>
        <v>-66.477206250000108</v>
      </c>
      <c r="M151" s="86">
        <f t="shared" si="46"/>
        <v>-56.357898187499927</v>
      </c>
    </row>
    <row r="152" spans="2:14" x14ac:dyDescent="0.35">
      <c r="B152" s="10" t="s">
        <v>15</v>
      </c>
      <c r="C152" s="22"/>
      <c r="D152" s="22"/>
      <c r="E152" s="28"/>
      <c r="F152" s="59">
        <v>-1279</v>
      </c>
      <c r="G152" s="59">
        <v>-274</v>
      </c>
      <c r="H152" s="86">
        <f t="shared" ref="H152:M152" si="47">G104-H104</f>
        <v>780</v>
      </c>
      <c r="I152" s="115">
        <f t="shared" si="47"/>
        <v>0</v>
      </c>
      <c r="J152" s="70">
        <f t="shared" si="47"/>
        <v>0</v>
      </c>
      <c r="K152" s="70">
        <f t="shared" si="47"/>
        <v>0</v>
      </c>
      <c r="L152" s="70">
        <f t="shared" si="47"/>
        <v>0</v>
      </c>
      <c r="M152" s="86">
        <f t="shared" si="47"/>
        <v>0</v>
      </c>
    </row>
    <row r="153" spans="2:14" x14ac:dyDescent="0.35">
      <c r="B153" s="44" t="s">
        <v>24</v>
      </c>
      <c r="C153" s="22"/>
      <c r="D153" s="22"/>
      <c r="E153" s="33"/>
      <c r="F153" s="59">
        <v>285</v>
      </c>
      <c r="G153" s="59">
        <v>289</v>
      </c>
      <c r="H153" s="86">
        <f t="shared" ref="H153:M153" si="48">G112-H112</f>
        <v>-1172</v>
      </c>
      <c r="I153" s="115">
        <f t="shared" si="48"/>
        <v>0</v>
      </c>
      <c r="J153" s="70">
        <f t="shared" si="48"/>
        <v>0</v>
      </c>
      <c r="K153" s="70">
        <f t="shared" si="48"/>
        <v>0</v>
      </c>
      <c r="L153" s="70">
        <f t="shared" si="48"/>
        <v>0</v>
      </c>
      <c r="M153" s="86">
        <f t="shared" si="48"/>
        <v>0</v>
      </c>
    </row>
    <row r="154" spans="2:14" x14ac:dyDescent="0.35">
      <c r="B154" s="10" t="s">
        <v>29</v>
      </c>
      <c r="C154" s="22"/>
      <c r="D154" s="22"/>
      <c r="E154" s="28"/>
      <c r="F154" s="59">
        <v>1494</v>
      </c>
      <c r="G154" s="59">
        <v>596</v>
      </c>
      <c r="H154" s="86">
        <f t="shared" ref="H154:M154" si="49">H117-G117</f>
        <v>81</v>
      </c>
      <c r="I154" s="115">
        <f t="shared" si="49"/>
        <v>1400.2499999999991</v>
      </c>
      <c r="J154" s="70">
        <f t="shared" si="49"/>
        <v>1190.2124999999996</v>
      </c>
      <c r="K154" s="70">
        <f t="shared" si="49"/>
        <v>901.06087500000012</v>
      </c>
      <c r="L154" s="70">
        <f t="shared" si="49"/>
        <v>818.3271037500017</v>
      </c>
      <c r="M154" s="86">
        <f t="shared" si="49"/>
        <v>693.75953351249882</v>
      </c>
    </row>
    <row r="155" spans="2:14" x14ac:dyDescent="0.35">
      <c r="B155" s="10" t="s">
        <v>31</v>
      </c>
      <c r="C155" s="22"/>
      <c r="D155" s="22"/>
      <c r="E155" s="33"/>
      <c r="F155" s="59">
        <v>566</v>
      </c>
      <c r="G155" s="59">
        <v>718</v>
      </c>
      <c r="H155" s="86">
        <f t="shared" ref="H155:M155" si="50">H119-G119+H123-G123</f>
        <v>521</v>
      </c>
      <c r="I155" s="115">
        <f t="shared" si="50"/>
        <v>726.5</v>
      </c>
      <c r="J155" s="70">
        <f t="shared" si="50"/>
        <v>617.52499999999964</v>
      </c>
      <c r="K155" s="70">
        <f t="shared" si="50"/>
        <v>467.50275000000033</v>
      </c>
      <c r="L155" s="70">
        <f t="shared" si="50"/>
        <v>424.57749750000016</v>
      </c>
      <c r="M155" s="86">
        <f t="shared" si="50"/>
        <v>359.94736732500019</v>
      </c>
    </row>
    <row r="156" spans="2:14" x14ac:dyDescent="0.35">
      <c r="B156" s="10" t="s">
        <v>48</v>
      </c>
      <c r="C156" s="22"/>
      <c r="D156" s="22"/>
      <c r="E156" s="22"/>
      <c r="F156" s="59">
        <v>716</v>
      </c>
      <c r="G156" s="59">
        <v>1664</v>
      </c>
      <c r="H156" s="86">
        <f t="shared" ref="H156:M156" si="51">H118-G118+H125-G125</f>
        <v>1385</v>
      </c>
      <c r="I156" s="115">
        <f t="shared" si="51"/>
        <v>963</v>
      </c>
      <c r="J156" s="70">
        <f t="shared" si="51"/>
        <v>818.55000000000018</v>
      </c>
      <c r="K156" s="70">
        <f t="shared" si="51"/>
        <v>619.69050000000061</v>
      </c>
      <c r="L156" s="70">
        <f t="shared" si="51"/>
        <v>562.79164500000024</v>
      </c>
      <c r="M156" s="86">
        <f t="shared" si="51"/>
        <v>477.12225014999876</v>
      </c>
    </row>
    <row r="157" spans="2:14" x14ac:dyDescent="0.35">
      <c r="B157" s="14" t="s">
        <v>49</v>
      </c>
      <c r="C157" s="31"/>
      <c r="D157" s="31"/>
      <c r="E157" s="53"/>
      <c r="F157" s="53">
        <f t="shared" ref="F157:M157" si="52">SUM(F150:F156)+SUM(F143:F148)</f>
        <v>5470</v>
      </c>
      <c r="G157" s="53">
        <f t="shared" si="52"/>
        <v>9596</v>
      </c>
      <c r="H157" s="42">
        <f t="shared" si="52"/>
        <v>11455</v>
      </c>
      <c r="I157" s="116">
        <f t="shared" ca="1" si="52"/>
        <v>14490.727546412443</v>
      </c>
      <c r="J157" s="53">
        <f t="shared" ca="1" si="52"/>
        <v>16291.517052508669</v>
      </c>
      <c r="K157" s="53">
        <f t="shared" ca="1" si="52"/>
        <v>18014.947041676638</v>
      </c>
      <c r="L157" s="53">
        <f t="shared" ca="1" si="52"/>
        <v>19531.566306030585</v>
      </c>
      <c r="M157" s="42">
        <f t="shared" ca="1" si="52"/>
        <v>21547.670539357809</v>
      </c>
    </row>
    <row r="158" spans="2:14" x14ac:dyDescent="0.35">
      <c r="B158" s="10"/>
      <c r="C158" s="22"/>
      <c r="D158" s="22"/>
      <c r="E158" s="22"/>
      <c r="H158" s="21"/>
      <c r="I158" s="113"/>
      <c r="M158" s="21"/>
    </row>
    <row r="159" spans="2:14" x14ac:dyDescent="0.35">
      <c r="B159" s="32" t="s">
        <v>50</v>
      </c>
      <c r="C159" s="5"/>
      <c r="D159" s="5"/>
      <c r="E159" s="54"/>
      <c r="H159" s="87"/>
      <c r="M159" s="21"/>
    </row>
    <row r="160" spans="2:14" x14ac:dyDescent="0.35">
      <c r="B160" s="11" t="s">
        <v>51</v>
      </c>
      <c r="C160" s="55"/>
      <c r="D160" s="55"/>
      <c r="E160" s="56"/>
      <c r="F160" s="59">
        <v>-11719</v>
      </c>
      <c r="G160" s="59">
        <v>-22965</v>
      </c>
      <c r="H160" s="58">
        <v>-46724</v>
      </c>
      <c r="I160" s="112">
        <v>0</v>
      </c>
      <c r="J160" s="113">
        <f>I160</f>
        <v>0</v>
      </c>
      <c r="K160" s="113">
        <f>J160</f>
        <v>0</v>
      </c>
      <c r="L160" s="113">
        <f>K160</f>
        <v>0</v>
      </c>
      <c r="M160" s="86">
        <f>L160</f>
        <v>0</v>
      </c>
    </row>
    <row r="161" spans="2:13" x14ac:dyDescent="0.35">
      <c r="B161" s="11" t="s">
        <v>52</v>
      </c>
      <c r="C161" s="22"/>
      <c r="D161" s="22"/>
      <c r="E161" s="22"/>
      <c r="F161" s="70">
        <f>6483+2941</f>
        <v>9424</v>
      </c>
      <c r="G161" s="70">
        <f>11804+4439</f>
        <v>16243</v>
      </c>
      <c r="H161" s="86">
        <f>19790+10888</f>
        <v>30678</v>
      </c>
      <c r="I161" s="112">
        <v>0</v>
      </c>
      <c r="J161" s="113">
        <f t="shared" ref="J161:M165" si="53">I161</f>
        <v>0</v>
      </c>
      <c r="K161" s="113">
        <f t="shared" si="53"/>
        <v>0</v>
      </c>
      <c r="L161" s="113">
        <f t="shared" si="53"/>
        <v>0</v>
      </c>
      <c r="M161" s="86">
        <f t="shared" si="53"/>
        <v>0</v>
      </c>
    </row>
    <row r="162" spans="2:13" x14ac:dyDescent="0.35">
      <c r="B162" s="11" t="s">
        <v>53</v>
      </c>
      <c r="C162" s="22"/>
      <c r="D162" s="22"/>
      <c r="E162" s="22"/>
      <c r="F162" s="59">
        <v>-17</v>
      </c>
      <c r="G162" s="59">
        <v>-38</v>
      </c>
      <c r="H162" s="58">
        <v>-101</v>
      </c>
      <c r="I162" s="112">
        <v>0</v>
      </c>
      <c r="J162" s="113">
        <f t="shared" si="53"/>
        <v>0</v>
      </c>
      <c r="K162" s="113">
        <f t="shared" si="53"/>
        <v>0</v>
      </c>
      <c r="L162" s="113">
        <f t="shared" si="53"/>
        <v>0</v>
      </c>
      <c r="M162" s="86">
        <f t="shared" si="53"/>
        <v>0</v>
      </c>
    </row>
    <row r="163" spans="2:13" x14ac:dyDescent="0.35">
      <c r="B163" s="11" t="s">
        <v>54</v>
      </c>
      <c r="C163" s="22"/>
      <c r="D163" s="22"/>
      <c r="E163" s="22"/>
      <c r="F163" s="59">
        <v>-735</v>
      </c>
      <c r="G163" s="59">
        <v>-1091</v>
      </c>
      <c r="H163" s="58">
        <v>-1144</v>
      </c>
      <c r="I163" s="115">
        <f>-I61*I66</f>
        <v>-1430</v>
      </c>
      <c r="J163" s="70">
        <f>-J61*J66</f>
        <v>-1673.1</v>
      </c>
      <c r="K163" s="70">
        <f>-K61*K66</f>
        <v>-1857.1410000000001</v>
      </c>
      <c r="L163" s="70">
        <f>-L61*L66</f>
        <v>-2024.2836900000002</v>
      </c>
      <c r="M163" s="86">
        <f>-M61*M66</f>
        <v>-2165.9835483000002</v>
      </c>
    </row>
    <row r="164" spans="2:13" x14ac:dyDescent="0.35">
      <c r="B164" s="11" t="s">
        <v>55</v>
      </c>
      <c r="C164" s="22"/>
      <c r="D164" s="22"/>
      <c r="E164" s="22"/>
      <c r="F164" s="59">
        <v>-251</v>
      </c>
      <c r="G164" s="59">
        <v>-108</v>
      </c>
      <c r="H164" s="58">
        <v>-69</v>
      </c>
      <c r="I164" s="112">
        <v>0</v>
      </c>
      <c r="J164" s="113">
        <f t="shared" si="53"/>
        <v>0</v>
      </c>
      <c r="K164" s="113">
        <f t="shared" si="53"/>
        <v>0</v>
      </c>
      <c r="L164" s="113">
        <f t="shared" si="53"/>
        <v>0</v>
      </c>
      <c r="M164" s="86">
        <f t="shared" si="53"/>
        <v>0</v>
      </c>
    </row>
    <row r="165" spans="2:13" x14ac:dyDescent="0.35">
      <c r="B165" s="11" t="s">
        <v>56</v>
      </c>
      <c r="C165" s="22"/>
      <c r="D165" s="22"/>
      <c r="E165" s="22"/>
      <c r="F165" s="59">
        <v>49</v>
      </c>
      <c r="G165" s="59">
        <f>-10-220</f>
        <v>-230</v>
      </c>
      <c r="H165" s="58">
        <v>-74</v>
      </c>
      <c r="I165" s="112">
        <v>0</v>
      </c>
      <c r="J165" s="113">
        <f t="shared" si="53"/>
        <v>0</v>
      </c>
      <c r="K165" s="113">
        <f t="shared" si="53"/>
        <v>0</v>
      </c>
      <c r="L165" s="113">
        <f t="shared" si="53"/>
        <v>0</v>
      </c>
      <c r="M165" s="86">
        <f t="shared" si="53"/>
        <v>0</v>
      </c>
    </row>
    <row r="166" spans="2:13" x14ac:dyDescent="0.35">
      <c r="B166" s="14" t="s">
        <v>57</v>
      </c>
      <c r="C166" s="31"/>
      <c r="D166" s="31"/>
      <c r="E166" s="53"/>
      <c r="F166" s="53">
        <f t="shared" ref="F166:M166" si="54">SUM(F160:F165)</f>
        <v>-3249</v>
      </c>
      <c r="G166" s="53">
        <f t="shared" si="54"/>
        <v>-8189</v>
      </c>
      <c r="H166" s="42">
        <f t="shared" si="54"/>
        <v>-17434</v>
      </c>
      <c r="I166" s="53">
        <f t="shared" si="54"/>
        <v>-1430</v>
      </c>
      <c r="J166" s="53">
        <f t="shared" si="54"/>
        <v>-1673.1</v>
      </c>
      <c r="K166" s="53">
        <f t="shared" si="54"/>
        <v>-1857.1410000000001</v>
      </c>
      <c r="L166" s="53">
        <f t="shared" si="54"/>
        <v>-2024.2836900000002</v>
      </c>
      <c r="M166" s="42">
        <f t="shared" si="54"/>
        <v>-2165.9835483000002</v>
      </c>
    </row>
    <row r="167" spans="2:13" x14ac:dyDescent="0.35">
      <c r="B167" s="11"/>
      <c r="C167" s="22"/>
      <c r="D167" s="22"/>
      <c r="E167" s="22"/>
      <c r="H167" s="21"/>
      <c r="I167" s="113"/>
      <c r="M167" s="21"/>
    </row>
    <row r="168" spans="2:13" x14ac:dyDescent="0.35">
      <c r="B168" s="32" t="s">
        <v>58</v>
      </c>
      <c r="C168" s="5"/>
      <c r="D168" s="5"/>
      <c r="E168" s="5"/>
      <c r="H168" s="87"/>
      <c r="M168" s="21"/>
    </row>
    <row r="169" spans="2:13" x14ac:dyDescent="0.35">
      <c r="B169" s="1" t="s">
        <v>59</v>
      </c>
      <c r="C169" s="22"/>
      <c r="D169" s="22"/>
      <c r="E169" s="22"/>
      <c r="F169" s="59">
        <v>365</v>
      </c>
      <c r="G169" s="59">
        <v>483</v>
      </c>
      <c r="H169" s="58">
        <v>475</v>
      </c>
      <c r="I169" s="112">
        <v>0</v>
      </c>
      <c r="J169" s="113">
        <f>I169</f>
        <v>0</v>
      </c>
      <c r="K169" s="113">
        <f>J169</f>
        <v>0</v>
      </c>
      <c r="L169" s="113">
        <f>K169</f>
        <v>0</v>
      </c>
      <c r="M169" s="86">
        <f>L169</f>
        <v>0</v>
      </c>
    </row>
    <row r="170" spans="2:13" x14ac:dyDescent="0.35">
      <c r="B170" s="1" t="s">
        <v>105</v>
      </c>
      <c r="C170" s="22"/>
      <c r="D170" s="22"/>
      <c r="E170" s="22"/>
      <c r="F170" s="59">
        <v>0</v>
      </c>
      <c r="G170" s="59">
        <v>0</v>
      </c>
      <c r="H170" s="58">
        <v>0</v>
      </c>
      <c r="I170" s="112">
        <v>0</v>
      </c>
      <c r="J170" s="113">
        <f t="shared" ref="J170:M174" si="55">I170</f>
        <v>0</v>
      </c>
      <c r="K170" s="113">
        <f t="shared" si="55"/>
        <v>0</v>
      </c>
      <c r="L170" s="113">
        <f t="shared" si="55"/>
        <v>0</v>
      </c>
      <c r="M170" s="86">
        <f t="shared" si="55"/>
        <v>0</v>
      </c>
    </row>
    <row r="171" spans="2:13" x14ac:dyDescent="0.35">
      <c r="B171" s="1" t="s">
        <v>104</v>
      </c>
      <c r="C171" s="22"/>
      <c r="D171" s="22"/>
      <c r="E171" s="22"/>
      <c r="F171" s="59">
        <v>0</v>
      </c>
      <c r="G171" s="59">
        <v>0</v>
      </c>
      <c r="H171" s="58">
        <v>0</v>
      </c>
      <c r="I171" s="112">
        <v>0</v>
      </c>
      <c r="J171" s="113">
        <f t="shared" si="55"/>
        <v>0</v>
      </c>
      <c r="K171" s="113">
        <f t="shared" si="55"/>
        <v>0</v>
      </c>
      <c r="L171" s="113">
        <f t="shared" si="55"/>
        <v>0</v>
      </c>
      <c r="M171" s="86">
        <f t="shared" si="55"/>
        <v>0</v>
      </c>
    </row>
    <row r="172" spans="2:13" x14ac:dyDescent="0.35">
      <c r="B172" s="1" t="s">
        <v>60</v>
      </c>
      <c r="C172" s="22"/>
      <c r="D172" s="22"/>
      <c r="E172" s="22"/>
      <c r="F172" s="59">
        <v>377</v>
      </c>
      <c r="G172" s="59">
        <v>757</v>
      </c>
      <c r="H172" s="58">
        <v>270</v>
      </c>
      <c r="I172" s="112">
        <v>0</v>
      </c>
      <c r="J172" s="113">
        <f t="shared" si="55"/>
        <v>0</v>
      </c>
      <c r="K172" s="113">
        <f t="shared" si="55"/>
        <v>0</v>
      </c>
      <c r="L172" s="113">
        <f t="shared" si="55"/>
        <v>0</v>
      </c>
      <c r="M172" s="86">
        <f t="shared" si="55"/>
        <v>0</v>
      </c>
    </row>
    <row r="173" spans="2:13" x14ac:dyDescent="0.35">
      <c r="B173" s="1" t="s">
        <v>95</v>
      </c>
      <c r="C173" s="22"/>
      <c r="D173" s="22"/>
      <c r="E173" s="22"/>
      <c r="F173" s="59">
        <v>0</v>
      </c>
      <c r="G173" s="59">
        <v>0</v>
      </c>
      <c r="H173" s="58">
        <v>0</v>
      </c>
      <c r="I173" s="113">
        <f>IF(I23=Debt_Date,Debt_Amount,0)</f>
        <v>1000</v>
      </c>
      <c r="J173" s="113">
        <f>IF(J23=Debt_Date,Debt_Amount,0)</f>
        <v>0</v>
      </c>
      <c r="K173" s="113">
        <f>IF(K23=Debt_Date,Debt_Amount,0)</f>
        <v>0</v>
      </c>
      <c r="L173" s="113">
        <f>IF(L23=Debt_Date,Debt_Amount,0)</f>
        <v>0</v>
      </c>
      <c r="M173" s="86">
        <f>IF(M23=Debt_Date,Debt_Amount,0)</f>
        <v>0</v>
      </c>
    </row>
    <row r="174" spans="2:13" x14ac:dyDescent="0.35">
      <c r="B174" s="1" t="s">
        <v>61</v>
      </c>
      <c r="C174" s="22"/>
      <c r="D174" s="22"/>
      <c r="E174" s="22"/>
      <c r="F174" s="59">
        <v>-3</v>
      </c>
      <c r="G174" s="59">
        <v>-124</v>
      </c>
      <c r="H174" s="58">
        <v>-82</v>
      </c>
      <c r="I174" s="112">
        <v>0</v>
      </c>
      <c r="J174" s="113">
        <f t="shared" si="55"/>
        <v>0</v>
      </c>
      <c r="K174" s="113">
        <f t="shared" si="55"/>
        <v>0</v>
      </c>
      <c r="L174" s="113">
        <f t="shared" si="55"/>
        <v>0</v>
      </c>
      <c r="M174" s="86">
        <f t="shared" si="55"/>
        <v>0</v>
      </c>
    </row>
    <row r="175" spans="2:13" x14ac:dyDescent="0.35">
      <c r="B175" s="14" t="s">
        <v>62</v>
      </c>
      <c r="C175" s="31"/>
      <c r="D175" s="31"/>
      <c r="E175" s="53"/>
      <c r="F175" s="53">
        <f t="shared" ref="F175:M175" si="56">SUM(F169:F174)</f>
        <v>739</v>
      </c>
      <c r="G175" s="53">
        <f t="shared" si="56"/>
        <v>1116</v>
      </c>
      <c r="H175" s="42">
        <f t="shared" si="56"/>
        <v>663</v>
      </c>
      <c r="I175" s="53">
        <f t="shared" si="56"/>
        <v>1000</v>
      </c>
      <c r="J175" s="53">
        <f t="shared" si="56"/>
        <v>0</v>
      </c>
      <c r="K175" s="53">
        <f t="shared" si="56"/>
        <v>0</v>
      </c>
      <c r="L175" s="53">
        <f t="shared" si="56"/>
        <v>0</v>
      </c>
      <c r="M175" s="42">
        <f t="shared" si="56"/>
        <v>0</v>
      </c>
    </row>
    <row r="176" spans="2:13" x14ac:dyDescent="0.35">
      <c r="B176" s="1"/>
      <c r="C176" s="22"/>
      <c r="D176" s="22"/>
      <c r="E176" s="22"/>
      <c r="F176" s="22"/>
      <c r="G176" s="22"/>
      <c r="H176" s="21"/>
      <c r="M176" s="21"/>
    </row>
    <row r="177" spans="2:13" x14ac:dyDescent="0.35">
      <c r="B177" s="3" t="s">
        <v>63</v>
      </c>
      <c r="C177" s="22"/>
      <c r="D177" s="22"/>
      <c r="E177" s="22"/>
      <c r="F177" s="28">
        <f t="shared" ref="F177:M177" si="57">F175+F166+F157</f>
        <v>2960</v>
      </c>
      <c r="G177" s="28">
        <f t="shared" si="57"/>
        <v>2523</v>
      </c>
      <c r="H177" s="16">
        <f t="shared" si="57"/>
        <v>-5316</v>
      </c>
      <c r="I177" s="28">
        <f t="shared" ca="1" si="57"/>
        <v>14060.727546412443</v>
      </c>
      <c r="J177" s="28">
        <f t="shared" ca="1" si="57"/>
        <v>14618.417052508668</v>
      </c>
      <c r="K177" s="28">
        <f t="shared" ca="1" si="57"/>
        <v>16157.806041676638</v>
      </c>
      <c r="L177" s="28">
        <f t="shared" ca="1" si="57"/>
        <v>17507.282616030585</v>
      </c>
      <c r="M177" s="16">
        <f t="shared" ca="1" si="57"/>
        <v>19381.68699105781</v>
      </c>
    </row>
    <row r="178" spans="2:13" x14ac:dyDescent="0.35">
      <c r="B178" s="6" t="s">
        <v>64</v>
      </c>
      <c r="C178" s="23"/>
      <c r="D178" s="23"/>
      <c r="E178" s="23"/>
      <c r="F178" s="74">
        <v>9352</v>
      </c>
      <c r="G178" s="71">
        <f>F178+G177</f>
        <v>11875</v>
      </c>
      <c r="H178" s="88">
        <f t="shared" ref="H178:M178" si="58">G99+H177</f>
        <v>6559</v>
      </c>
      <c r="I178" s="71">
        <f t="shared" ca="1" si="58"/>
        <v>20619.727546412443</v>
      </c>
      <c r="J178" s="71">
        <f t="shared" ca="1" si="58"/>
        <v>35238.144598921113</v>
      </c>
      <c r="K178" s="71">
        <f t="shared" ca="1" si="58"/>
        <v>51395.950640597752</v>
      </c>
      <c r="L178" s="71">
        <f t="shared" ca="1" si="58"/>
        <v>68903.233256628329</v>
      </c>
      <c r="M178" s="88">
        <f t="shared" ca="1" si="58"/>
        <v>88284.920247686139</v>
      </c>
    </row>
  </sheetData>
  <pageMargins left="0.75" right="0.75" top="1" bottom="1" header="0.3" footer="0.3"/>
  <pageSetup orientation="landscape"/>
  <ignoredErrors>
    <ignoredError sqref="H130 F145:H145 J163:M163 J173:M173 I111:M1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7F33-51C1-4CBD-91FB-110E9B4259C2}">
  <sheetPr>
    <tabColor theme="4" tint="-0.249977111117893"/>
  </sheetPr>
  <dimension ref="B2:R34"/>
  <sheetViews>
    <sheetView workbookViewId="0">
      <selection activeCell="E178" sqref="E178"/>
    </sheetView>
  </sheetViews>
  <sheetFormatPr defaultColWidth="8.81640625" defaultRowHeight="14.5" x14ac:dyDescent="0.35"/>
  <cols>
    <col min="1" max="1" width="2.6328125" customWidth="1"/>
    <col min="2" max="2" width="42.453125" bestFit="1" customWidth="1"/>
    <col min="3" max="13" width="10.6328125" customWidth="1"/>
    <col min="15" max="15" width="10.81640625" bestFit="1" customWidth="1"/>
  </cols>
  <sheetData>
    <row r="2" spans="2:18" x14ac:dyDescent="0.35">
      <c r="B2" s="34" t="str">
        <f>"Valuation Summary - "&amp;TEXT(Company_Name,"")</f>
        <v>Valuation Summary - Apple Inc.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</row>
    <row r="3" spans="2:18" x14ac:dyDescent="0.35">
      <c r="B3" s="143" t="s">
        <v>103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</row>
    <row r="4" spans="2:18" x14ac:dyDescent="0.35"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</row>
    <row r="5" spans="2:18" x14ac:dyDescent="0.35">
      <c r="B5" s="147" t="str">
        <f>"Valuation Statistics - "&amp;TEXT(Company_Name,"")</f>
        <v>Valuation Statistics - Apple Inc.</v>
      </c>
      <c r="C5" s="148" t="str">
        <f>TEXT(Company_Name,"")&amp;" - Range of Valuation Multiples / Premiums"</f>
        <v>Apple Inc. - Range of Valuation Multiples / Premiums</v>
      </c>
      <c r="D5" s="148"/>
      <c r="E5" s="148"/>
      <c r="F5" s="273"/>
      <c r="G5" s="273"/>
      <c r="H5" s="273"/>
      <c r="I5" s="148" t="str">
        <f>TEXT(Company_Name,"")&amp;" - Implied Per Share Value Range"</f>
        <v>Apple Inc. - Implied Per Share Value Range</v>
      </c>
      <c r="J5" s="273"/>
      <c r="K5" s="273"/>
      <c r="L5" s="273"/>
      <c r="M5" s="335"/>
    </row>
    <row r="6" spans="2:18" x14ac:dyDescent="0.35">
      <c r="B6" s="277"/>
      <c r="C6" s="174"/>
      <c r="D6" s="278"/>
      <c r="E6" s="278"/>
      <c r="F6" s="299"/>
      <c r="G6" s="278"/>
      <c r="H6" s="278"/>
      <c r="I6" s="278"/>
      <c r="J6" s="278"/>
      <c r="K6" s="278"/>
      <c r="L6" s="278"/>
      <c r="M6" s="279"/>
    </row>
    <row r="7" spans="2:18" x14ac:dyDescent="0.35">
      <c r="B7" s="277"/>
      <c r="C7" s="174"/>
      <c r="D7" s="174" t="s">
        <v>142</v>
      </c>
      <c r="E7" s="174"/>
      <c r="F7" s="174" t="s">
        <v>143</v>
      </c>
      <c r="G7" s="278"/>
      <c r="H7" s="174" t="s">
        <v>144</v>
      </c>
      <c r="I7" s="174"/>
      <c r="J7" s="174" t="s">
        <v>142</v>
      </c>
      <c r="K7" s="174"/>
      <c r="L7" s="174" t="s">
        <v>143</v>
      </c>
      <c r="M7" s="259"/>
    </row>
    <row r="8" spans="2:18" x14ac:dyDescent="0.35">
      <c r="B8" s="277"/>
      <c r="C8" s="174" t="s">
        <v>145</v>
      </c>
      <c r="D8" s="174" t="s">
        <v>146</v>
      </c>
      <c r="E8" s="174" t="s">
        <v>147</v>
      </c>
      <c r="F8" s="174" t="s">
        <v>146</v>
      </c>
      <c r="G8" s="174" t="s">
        <v>148</v>
      </c>
      <c r="H8" s="174" t="str">
        <f>TEXT(Company_Name,"")</f>
        <v>Apple Inc.</v>
      </c>
      <c r="I8" s="174" t="s">
        <v>145</v>
      </c>
      <c r="J8" s="174" t="s">
        <v>146</v>
      </c>
      <c r="K8" s="174" t="s">
        <v>147</v>
      </c>
      <c r="L8" s="174" t="s">
        <v>146</v>
      </c>
      <c r="M8" s="259" t="s">
        <v>148</v>
      </c>
    </row>
    <row r="9" spans="2:18" x14ac:dyDescent="0.35">
      <c r="B9" s="177" t="s">
        <v>149</v>
      </c>
      <c r="C9" s="179" t="s">
        <v>150</v>
      </c>
      <c r="D9" s="179" t="s">
        <v>150</v>
      </c>
      <c r="E9" s="179" t="s">
        <v>150</v>
      </c>
      <c r="F9" s="179" t="s">
        <v>150</v>
      </c>
      <c r="G9" s="179" t="s">
        <v>150</v>
      </c>
      <c r="H9" s="179" t="s">
        <v>151</v>
      </c>
      <c r="I9" s="179" t="s">
        <v>150</v>
      </c>
      <c r="J9" s="179" t="s">
        <v>150</v>
      </c>
      <c r="K9" s="179" t="s">
        <v>150</v>
      </c>
      <c r="L9" s="179" t="s">
        <v>150</v>
      </c>
      <c r="M9" s="180" t="s">
        <v>150</v>
      </c>
    </row>
    <row r="10" spans="2:18" x14ac:dyDescent="0.35">
      <c r="B10" s="149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6"/>
    </row>
    <row r="11" spans="2:18" x14ac:dyDescent="0.35">
      <c r="B11" s="162" t="s">
        <v>152</v>
      </c>
      <c r="C11" s="336"/>
      <c r="D11" s="160"/>
      <c r="E11" s="160"/>
      <c r="F11" s="160"/>
      <c r="G11" s="160"/>
      <c r="H11" s="160"/>
      <c r="I11" s="160"/>
      <c r="J11" s="160"/>
      <c r="K11" s="160"/>
      <c r="L11" s="160"/>
      <c r="M11" s="161"/>
    </row>
    <row r="12" spans="2:18" x14ac:dyDescent="0.35">
      <c r="B12" s="149" t="str">
        <f>Hist_Year&amp;" EV / Revenue:"</f>
        <v>2009 EV / Revenue:</v>
      </c>
      <c r="C12" s="364">
        <f>'Public Comps'!$L$35</f>
        <v>0.29321149195216795</v>
      </c>
      <c r="D12" s="364">
        <f>'Public Comps'!$L$34</f>
        <v>0.45467864355416288</v>
      </c>
      <c r="E12" s="364">
        <f>'Public Comps'!$L$33</f>
        <v>1.0862329599680496</v>
      </c>
      <c r="F12" s="364">
        <f>'Public Comps'!$L$32</f>
        <v>2.8302336200585647</v>
      </c>
      <c r="G12" s="364">
        <f>'Public Comps'!$L$31</f>
        <v>3.0646433332401526</v>
      </c>
      <c r="H12" s="365">
        <f>'AAPL-3-Statements'!H66</f>
        <v>42905</v>
      </c>
      <c r="I12" s="152">
        <f t="shared" ref="I12:M15" si="0">(C12*$H12+$R$12)*Units/Diluted_Shares</f>
        <v>52.117222846031865</v>
      </c>
      <c r="J12" s="152">
        <f t="shared" si="0"/>
        <v>59.643084116644445</v>
      </c>
      <c r="K12" s="153">
        <f t="shared" si="0"/>
        <v>89.079351016944102</v>
      </c>
      <c r="L12" s="152">
        <f t="shared" si="0"/>
        <v>170.36589687768014</v>
      </c>
      <c r="M12" s="154">
        <f t="shared" si="0"/>
        <v>181.29155552952273</v>
      </c>
      <c r="O12" t="s">
        <v>235</v>
      </c>
      <c r="R12" s="113">
        <f>'AAPL-3-Statements'!E15-'AAPL-3-Statements'!E16-'AAPL-3-Statements'!E17-'AAPL-3-Statements'!E18-'AAPL-3-Statements'!E19</f>
        <v>35395</v>
      </c>
    </row>
    <row r="13" spans="2:18" x14ac:dyDescent="0.35">
      <c r="B13" s="149" t="str">
        <f>Hist_Year+1&amp;"E EV / Revenue:"</f>
        <v>2010E EV / Revenue:</v>
      </c>
      <c r="C13" s="364">
        <f>'Public Comps'!$M$35</f>
        <v>0.27229806845612131</v>
      </c>
      <c r="D13" s="364">
        <f>'Public Comps'!$M$34</f>
        <v>0.48355989036316643</v>
      </c>
      <c r="E13" s="364">
        <f>'Public Comps'!$M$33</f>
        <v>1.0020225483395744</v>
      </c>
      <c r="F13" s="364">
        <f>'Public Comps'!$M$32</f>
        <v>2.323086026889662</v>
      </c>
      <c r="G13" s="364">
        <f>'Public Comps'!$M$31</f>
        <v>2.5914301800182202</v>
      </c>
      <c r="H13" s="365">
        <f>'AAPL-3-Statements'!I66</f>
        <v>53631.25</v>
      </c>
      <c r="I13" s="156">
        <f t="shared" si="0"/>
        <v>54.315365591586641</v>
      </c>
      <c r="J13" s="156">
        <f t="shared" si="0"/>
        <v>66.623806872636948</v>
      </c>
      <c r="K13" s="157">
        <f t="shared" si="0"/>
        <v>96.830245142054707</v>
      </c>
      <c r="L13" s="156">
        <f t="shared" si="0"/>
        <v>173.79745155679583</v>
      </c>
      <c r="M13" s="158">
        <f t="shared" si="0"/>
        <v>189.43159795428977</v>
      </c>
    </row>
    <row r="14" spans="2:18" x14ac:dyDescent="0.35">
      <c r="B14" s="149" t="str">
        <f>Hist_Year&amp;" EV / EBITDA:"</f>
        <v>2009 EV / EBITDA:</v>
      </c>
      <c r="C14" s="364">
        <f>'Public Comps'!$N$35</f>
        <v>4.4015957475481606</v>
      </c>
      <c r="D14" s="364">
        <f>'Public Comps'!$N$34</f>
        <v>7.3014147780925391</v>
      </c>
      <c r="E14" s="364">
        <f>'Public Comps'!$N$33</f>
        <v>7.5719684799038536</v>
      </c>
      <c r="F14" s="364">
        <f>'Public Comps'!$N$32</f>
        <v>10.586645543875544</v>
      </c>
      <c r="G14" s="364">
        <f>'Public Comps'!$N$31</f>
        <v>11.517707280615548</v>
      </c>
      <c r="H14" s="365">
        <f>'AAPL-3-Statements'!H91</f>
        <v>13184</v>
      </c>
      <c r="I14" s="156">
        <f t="shared" si="0"/>
        <v>101.49162167508079</v>
      </c>
      <c r="J14" s="156">
        <f t="shared" si="0"/>
        <v>143.02356072956977</v>
      </c>
      <c r="K14" s="157">
        <f t="shared" si="0"/>
        <v>146.89849903993891</v>
      </c>
      <c r="L14" s="156">
        <f t="shared" si="0"/>
        <v>190.07546379912714</v>
      </c>
      <c r="M14" s="158">
        <f t="shared" si="0"/>
        <v>203.41036466671449</v>
      </c>
    </row>
    <row r="15" spans="2:18" x14ac:dyDescent="0.35">
      <c r="B15" s="149" t="str">
        <f>Hist_Year+1&amp;"E EV / EBITDA:"</f>
        <v>2010E EV / EBITDA:</v>
      </c>
      <c r="C15" s="364">
        <f>'Public Comps'!$O$35</f>
        <v>3.6521838292806974</v>
      </c>
      <c r="D15" s="364">
        <f>'Public Comps'!$O$34</f>
        <v>5.0613454546525958</v>
      </c>
      <c r="E15" s="364">
        <f>'Public Comps'!$O$33</f>
        <v>5.5347155899584841</v>
      </c>
      <c r="F15" s="364">
        <f>'Public Comps'!$O$32</f>
        <v>6.8420850121115153</v>
      </c>
      <c r="G15" s="364">
        <f>'Public Comps'!$O$31</f>
        <v>8.3506372710263026</v>
      </c>
      <c r="H15" s="365">
        <f>'AAPL-3-Statements'!I91</f>
        <v>16480</v>
      </c>
      <c r="I15" s="156">
        <f t="shared" si="0"/>
        <v>103.83522962633329</v>
      </c>
      <c r="J15" s="156">
        <f t="shared" si="0"/>
        <v>129.06318959832311</v>
      </c>
      <c r="K15" s="157">
        <f t="shared" si="0"/>
        <v>137.53784758674274</v>
      </c>
      <c r="L15" s="156">
        <f t="shared" si="0"/>
        <v>160.94344056971627</v>
      </c>
      <c r="M15" s="158">
        <f t="shared" si="0"/>
        <v>187.95077267295397</v>
      </c>
    </row>
    <row r="16" spans="2:18" x14ac:dyDescent="0.35">
      <c r="B16" s="149" t="str">
        <f>Hist_Year&amp;" P / E:"</f>
        <v>2009 P / E:</v>
      </c>
      <c r="C16" s="364">
        <f>'Public Comps'!$P$35</f>
        <v>14.990445859872612</v>
      </c>
      <c r="D16" s="364">
        <f>'Public Comps'!$P$34</f>
        <v>16.05496536107205</v>
      </c>
      <c r="E16" s="364">
        <f>'Public Comps'!$P$33</f>
        <v>19.736490884115881</v>
      </c>
      <c r="F16" s="364">
        <f>'Public Comps'!$P$32</f>
        <v>29.089088591207368</v>
      </c>
      <c r="G16" s="364">
        <f>'Public Comps'!$P$31</f>
        <v>47.166824644549763</v>
      </c>
      <c r="H16" s="366">
        <f>'AAPL-3-Statements'!H87</f>
        <v>9.0793325284866118</v>
      </c>
      <c r="I16" s="156">
        <f t="shared" ref="I16:M17" si="1">C16*$H16</f>
        <v>136.10324271205886</v>
      </c>
      <c r="J16" s="156">
        <f t="shared" si="1"/>
        <v>145.76836924650726</v>
      </c>
      <c r="K16" s="157">
        <f t="shared" si="1"/>
        <v>179.1941636823328</v>
      </c>
      <c r="L16" s="156">
        <f t="shared" si="1"/>
        <v>264.10950827017786</v>
      </c>
      <c r="M16" s="158">
        <f t="shared" si="1"/>
        <v>428.24328526068462</v>
      </c>
      <c r="O16" s="109"/>
    </row>
    <row r="17" spans="2:13" x14ac:dyDescent="0.35">
      <c r="B17" s="149" t="str">
        <f>Hist_Year+1&amp;"E P / E:"</f>
        <v>2010E P / E:</v>
      </c>
      <c r="C17" s="364">
        <f>'Public Comps'!$Q$35</f>
        <v>10.932203389830507</v>
      </c>
      <c r="D17" s="364">
        <f>'Public Comps'!$Q$34</f>
        <v>12.162790697674419</v>
      </c>
      <c r="E17" s="364">
        <f>'Public Comps'!$Q$33</f>
        <v>16.282608695652172</v>
      </c>
      <c r="F17" s="364">
        <f>'Public Comps'!$Q$32</f>
        <v>16.616702355460383</v>
      </c>
      <c r="G17" s="364">
        <f>'Public Comps'!$Q$31</f>
        <v>44.573394495412842</v>
      </c>
      <c r="H17" s="366">
        <f ca="1">'AAPL-3-Statements'!I87</f>
        <v>11.587562964275218</v>
      </c>
      <c r="I17" s="156">
        <f t="shared" ca="1" si="1"/>
        <v>126.67759511792397</v>
      </c>
      <c r="J17" s="156">
        <f t="shared" ca="1" si="1"/>
        <v>140.93710303060323</v>
      </c>
      <c r="K17" s="157">
        <f t="shared" ca="1" si="1"/>
        <v>188.67575348352472</v>
      </c>
      <c r="L17" s="156">
        <f t="shared" ca="1" si="1"/>
        <v>192.5470848025175</v>
      </c>
      <c r="M17" s="158">
        <f t="shared" ca="1" si="1"/>
        <v>516.49701524707473</v>
      </c>
    </row>
    <row r="18" spans="2:13" x14ac:dyDescent="0.35">
      <c r="B18" s="149"/>
      <c r="C18" s="159"/>
      <c r="D18" s="160"/>
      <c r="E18" s="159"/>
      <c r="F18" s="160"/>
      <c r="G18" s="160"/>
      <c r="H18" s="160"/>
      <c r="I18" s="160"/>
      <c r="J18" s="160"/>
      <c r="K18" s="160"/>
      <c r="L18" s="160"/>
      <c r="M18" s="161"/>
    </row>
    <row r="19" spans="2:13" x14ac:dyDescent="0.35">
      <c r="B19" s="162" t="s">
        <v>153</v>
      </c>
      <c r="C19" s="159"/>
      <c r="D19" s="160"/>
      <c r="E19" s="159"/>
      <c r="F19" s="160"/>
      <c r="G19" s="160"/>
      <c r="H19" s="160"/>
      <c r="I19" s="160"/>
      <c r="J19" s="160"/>
      <c r="K19" s="160"/>
      <c r="L19" s="160"/>
      <c r="M19" s="161"/>
    </row>
    <row r="20" spans="2:13" x14ac:dyDescent="0.35">
      <c r="B20" s="149" t="s">
        <v>255</v>
      </c>
      <c r="C20" s="364">
        <f>'M&amp;A-Comps'!$K$20</f>
        <v>0.40673665943723597</v>
      </c>
      <c r="D20" s="364">
        <f>'M&amp;A-Comps'!$K$19</f>
        <v>1.9443931076237972</v>
      </c>
      <c r="E20" s="364">
        <f>'M&amp;A-Comps'!$K$18</f>
        <v>2.7326259519221634</v>
      </c>
      <c r="F20" s="364">
        <f>'M&amp;A-Comps'!$K$17</f>
        <v>6.032403183384071</v>
      </c>
      <c r="G20" s="364">
        <f>'M&amp;A-Comps'!$K$16</f>
        <v>8.2787489980950788</v>
      </c>
      <c r="H20" s="365">
        <f>'AAPL-3-Statements'!H66</f>
        <v>42905</v>
      </c>
      <c r="I20" s="152">
        <f t="shared" ref="I20:M23" si="2">(C20*$H20+$R$12)*Units/Diluted_Shares</f>
        <v>57.408544658171422</v>
      </c>
      <c r="J20" s="152">
        <f t="shared" si="2"/>
        <v>129.07754356043461</v>
      </c>
      <c r="K20" s="153">
        <f t="shared" si="2"/>
        <v>165.81647761776006</v>
      </c>
      <c r="L20" s="152">
        <f t="shared" si="2"/>
        <v>319.61658755666315</v>
      </c>
      <c r="M20" s="154">
        <f t="shared" si="2"/>
        <v>424.31705944587787</v>
      </c>
    </row>
    <row r="21" spans="2:13" x14ac:dyDescent="0.35">
      <c r="B21" s="149" t="s">
        <v>257</v>
      </c>
      <c r="C21" s="364">
        <f>'M&amp;A-Comps'!$L$20</f>
        <v>0.43266176825794228</v>
      </c>
      <c r="D21" s="364">
        <f>'M&amp;A-Comps'!$L$19</f>
        <v>2.1430784677672094</v>
      </c>
      <c r="E21" s="364">
        <f>'M&amp;A-Comps'!$L$18</f>
        <v>2.7392064006347647</v>
      </c>
      <c r="F21" s="364">
        <f>'M&amp;A-Comps'!$L$17</f>
        <v>4.981172730549897</v>
      </c>
      <c r="G21" s="364">
        <f>'M&amp;A-Comps'!$L$16</f>
        <v>7.4560741874999987</v>
      </c>
      <c r="H21" s="365">
        <f>'AAPL-3-Statements'!I66</f>
        <v>53631.25</v>
      </c>
      <c r="I21" s="156">
        <f t="shared" si="2"/>
        <v>63.658403367201267</v>
      </c>
      <c r="J21" s="156">
        <f t="shared" si="2"/>
        <v>163.30993208165486</v>
      </c>
      <c r="K21" s="157">
        <f t="shared" si="2"/>
        <v>198.04126967715592</v>
      </c>
      <c r="L21" s="156">
        <f t="shared" si="2"/>
        <v>328.66170396458756</v>
      </c>
      <c r="M21" s="158">
        <f t="shared" si="2"/>
        <v>472.8532998917471</v>
      </c>
    </row>
    <row r="22" spans="2:13" x14ac:dyDescent="0.35">
      <c r="B22" s="149" t="s">
        <v>256</v>
      </c>
      <c r="C22" s="364">
        <f>'M&amp;A-Comps'!$M$20</f>
        <v>8.6544159831460661</v>
      </c>
      <c r="D22" s="364">
        <f>'M&amp;A-Comps'!$M$19</f>
        <v>11.488610471799321</v>
      </c>
      <c r="E22" s="364">
        <f>'M&amp;A-Comps'!$M$18</f>
        <v>14.372058765128772</v>
      </c>
      <c r="F22" s="364">
        <f>'M&amp;A-Comps'!$M$17</f>
        <v>17.25168426650313</v>
      </c>
      <c r="G22" s="364">
        <f>'M&amp;A-Comps'!$M$16</f>
        <v>39.654904807198456</v>
      </c>
      <c r="H22" s="365">
        <f>'AAPL-3-Statements'!H91</f>
        <v>13184</v>
      </c>
      <c r="I22" s="156">
        <f t="shared" si="2"/>
        <v>162.40158501213483</v>
      </c>
      <c r="J22" s="156">
        <f t="shared" si="2"/>
        <v>202.99363283700137</v>
      </c>
      <c r="K22" s="157">
        <f t="shared" si="2"/>
        <v>244.29110606685583</v>
      </c>
      <c r="L22" s="156">
        <f t="shared" si="2"/>
        <v>285.53382830679521</v>
      </c>
      <c r="M22" s="158">
        <f t="shared" si="2"/>
        <v>606.39839961963401</v>
      </c>
    </row>
    <row r="23" spans="2:13" x14ac:dyDescent="0.35">
      <c r="B23" s="149" t="s">
        <v>258</v>
      </c>
      <c r="C23" s="364">
        <f>'M&amp;A-Comps'!$N$20</f>
        <v>9.6487135960987835</v>
      </c>
      <c r="D23" s="364">
        <f>'M&amp;A-Comps'!$N$19</f>
        <v>13.363937441500763</v>
      </c>
      <c r="E23" s="364">
        <f>'M&amp;A-Comps'!$N$18</f>
        <v>19.064474401443828</v>
      </c>
      <c r="F23" s="364">
        <f>'M&amp;A-Comps'!$N$17</f>
        <v>23.868386944248808</v>
      </c>
      <c r="G23" s="364">
        <f>'M&amp;A-Comps'!$N$16</f>
        <v>32.797394254071648</v>
      </c>
      <c r="H23" s="365">
        <f>'AAPL-3-Statements'!I91</f>
        <v>16480</v>
      </c>
      <c r="I23" s="156">
        <f t="shared" si="2"/>
        <v>211.189993057538</v>
      </c>
      <c r="J23" s="156">
        <f t="shared" si="2"/>
        <v>277.70295847699236</v>
      </c>
      <c r="K23" s="157">
        <f t="shared" si="2"/>
        <v>379.75861742692848</v>
      </c>
      <c r="L23" s="156">
        <f t="shared" si="2"/>
        <v>465.7621752564566</v>
      </c>
      <c r="M23" s="158">
        <f t="shared" si="2"/>
        <v>625.61654181456197</v>
      </c>
    </row>
    <row r="24" spans="2:13" x14ac:dyDescent="0.35">
      <c r="B24" s="149"/>
      <c r="C24" s="159"/>
      <c r="D24" s="160"/>
      <c r="E24" s="159"/>
      <c r="F24" s="160"/>
      <c r="G24" s="160"/>
      <c r="H24" s="160"/>
      <c r="I24" s="160"/>
      <c r="J24" s="160"/>
      <c r="K24" s="160"/>
      <c r="L24" s="160"/>
      <c r="M24" s="161"/>
    </row>
    <row r="25" spans="2:13" x14ac:dyDescent="0.35">
      <c r="B25" s="162" t="s">
        <v>154</v>
      </c>
      <c r="C25" s="159"/>
      <c r="D25" s="160"/>
      <c r="E25" s="159"/>
      <c r="F25" s="160"/>
      <c r="G25" s="160"/>
      <c r="H25" s="160"/>
      <c r="I25" s="160"/>
      <c r="J25" s="160"/>
      <c r="K25" s="160"/>
      <c r="L25" s="160"/>
      <c r="M25" s="161"/>
    </row>
    <row r="26" spans="2:13" x14ac:dyDescent="0.35">
      <c r="B26" s="163" t="s">
        <v>259</v>
      </c>
      <c r="C26" s="166"/>
      <c r="D26" s="166"/>
      <c r="E26" s="166"/>
      <c r="F26" s="166"/>
      <c r="G26" s="166"/>
      <c r="H26" s="164"/>
      <c r="I26" s="367">
        <f>DCF!I43</f>
        <v>163.88467736114288</v>
      </c>
      <c r="J26" s="367">
        <f>DCF!H44</f>
        <v>182.19364687439153</v>
      </c>
      <c r="K26" s="367">
        <f>DCF!G45</f>
        <v>201.97959221219185</v>
      </c>
      <c r="L26" s="367">
        <f>DCF!F46</f>
        <v>223.35892806617346</v>
      </c>
      <c r="M26" s="368">
        <f>DCF!E47</f>
        <v>246.45785342524533</v>
      </c>
    </row>
    <row r="28" spans="2:13" x14ac:dyDescent="0.35">
      <c r="B28" s="342"/>
    </row>
    <row r="29" spans="2:13" x14ac:dyDescent="0.35">
      <c r="B29" s="342"/>
    </row>
    <row r="30" spans="2:13" x14ac:dyDescent="0.35">
      <c r="B30" s="342"/>
    </row>
    <row r="31" spans="2:13" x14ac:dyDescent="0.35">
      <c r="B31" s="342"/>
      <c r="C31" s="118"/>
    </row>
    <row r="32" spans="2:13" x14ac:dyDescent="0.35">
      <c r="B32" s="342"/>
    </row>
    <row r="33" spans="2:2" x14ac:dyDescent="0.35">
      <c r="B33" s="342"/>
    </row>
    <row r="34" spans="2:2" x14ac:dyDescent="0.35">
      <c r="B34" s="342"/>
    </row>
  </sheetData>
  <pageMargins left="0.75" right="0.75" top="1" bottom="1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B22F-5779-49EC-B50B-23C28B4777F6}">
  <sheetPr>
    <tabColor theme="4" tint="-0.249977111117893"/>
  </sheetPr>
  <dimension ref="B25:P38"/>
  <sheetViews>
    <sheetView topLeftCell="A9" workbookViewId="0">
      <selection activeCell="E178" sqref="E178"/>
    </sheetView>
  </sheetViews>
  <sheetFormatPr defaultColWidth="8.81640625" defaultRowHeight="14.5" x14ac:dyDescent="0.35"/>
  <cols>
    <col min="1" max="1" width="2.6328125" customWidth="1"/>
  </cols>
  <sheetData>
    <row r="25" spans="2:16" x14ac:dyDescent="0.35">
      <c r="G25" t="s">
        <v>155</v>
      </c>
      <c r="H25" t="s">
        <v>142</v>
      </c>
      <c r="I25" t="s">
        <v>147</v>
      </c>
      <c r="J25" t="s">
        <v>143</v>
      </c>
      <c r="K25" t="s">
        <v>156</v>
      </c>
      <c r="L25" t="s">
        <v>157</v>
      </c>
      <c r="M25" t="s">
        <v>158</v>
      </c>
      <c r="N25" t="s">
        <v>159</v>
      </c>
      <c r="O25" t="s">
        <v>160</v>
      </c>
      <c r="P25" t="s">
        <v>161</v>
      </c>
    </row>
    <row r="26" spans="2:16" x14ac:dyDescent="0.35">
      <c r="B26" t="str">
        <f>ValSum!B26</f>
        <v>11-15% Discount Rate, 5-9x Terminal Multiple:</v>
      </c>
      <c r="G26" s="369">
        <f>ValSum!I26</f>
        <v>163.88467736114288</v>
      </c>
      <c r="H26" s="369">
        <f>ValSum!J26</f>
        <v>182.19364687439153</v>
      </c>
      <c r="I26" s="369">
        <f>ValSum!K26</f>
        <v>201.97959221219185</v>
      </c>
      <c r="J26" s="369">
        <f>ValSum!L26</f>
        <v>223.35892806617346</v>
      </c>
      <c r="K26" s="369">
        <f>ValSum!M26</f>
        <v>246.45785342524533</v>
      </c>
      <c r="L26" s="167">
        <f>G26</f>
        <v>163.88467736114288</v>
      </c>
      <c r="M26" s="167">
        <f>H26-G26</f>
        <v>18.308969513248655</v>
      </c>
      <c r="N26" s="167">
        <f>I26-H26</f>
        <v>19.785945337800314</v>
      </c>
      <c r="O26" s="167">
        <f>J26-I26</f>
        <v>21.379335853981615</v>
      </c>
      <c r="P26" s="167">
        <f>K26-J26</f>
        <v>23.09892535907187</v>
      </c>
    </row>
    <row r="27" spans="2:16" x14ac:dyDescent="0.35">
      <c r="G27" s="370"/>
      <c r="H27" s="370"/>
      <c r="I27" s="370"/>
      <c r="J27" s="370"/>
      <c r="K27" s="370"/>
    </row>
    <row r="28" spans="2:16" x14ac:dyDescent="0.35">
      <c r="B28" t="str">
        <f>ValSum!B23</f>
        <v>Forward EV / EBITDA:</v>
      </c>
      <c r="G28" s="369">
        <f>ValSum!I23</f>
        <v>211.189993057538</v>
      </c>
      <c r="H28" s="369">
        <f>ValSum!J23</f>
        <v>277.70295847699236</v>
      </c>
      <c r="I28" s="369">
        <f>ValSum!K23</f>
        <v>379.75861742692848</v>
      </c>
      <c r="J28" s="369">
        <f>ValSum!L23</f>
        <v>465.7621752564566</v>
      </c>
      <c r="K28" s="369">
        <f>ValSum!M23</f>
        <v>625.61654181456197</v>
      </c>
      <c r="L28" s="167">
        <f>G28</f>
        <v>211.189993057538</v>
      </c>
      <c r="M28" s="167">
        <f t="shared" ref="M28:P31" si="0">H28-G28</f>
        <v>66.51296541945436</v>
      </c>
      <c r="N28" s="167">
        <f t="shared" si="0"/>
        <v>102.05565894993612</v>
      </c>
      <c r="O28" s="167">
        <f t="shared" si="0"/>
        <v>86.00355782952812</v>
      </c>
      <c r="P28" s="167">
        <f t="shared" si="0"/>
        <v>159.85436655810537</v>
      </c>
    </row>
    <row r="29" spans="2:16" x14ac:dyDescent="0.35">
      <c r="B29" t="str">
        <f>ValSum!B22</f>
        <v>Trailing EV / EBITDA:</v>
      </c>
      <c r="G29" s="369">
        <f>ValSum!I22</f>
        <v>162.40158501213483</v>
      </c>
      <c r="H29" s="369">
        <f>ValSum!J22</f>
        <v>202.99363283700137</v>
      </c>
      <c r="I29" s="369">
        <f>ValSum!K22</f>
        <v>244.29110606685583</v>
      </c>
      <c r="J29" s="369">
        <f>ValSum!L22</f>
        <v>285.53382830679521</v>
      </c>
      <c r="K29" s="369">
        <f>ValSum!M22</f>
        <v>606.39839961963401</v>
      </c>
      <c r="L29" s="167">
        <f>G29</f>
        <v>162.40158501213483</v>
      </c>
      <c r="M29" s="167">
        <f t="shared" si="0"/>
        <v>40.59204782486654</v>
      </c>
      <c r="N29" s="167">
        <f t="shared" si="0"/>
        <v>41.297473229854461</v>
      </c>
      <c r="O29" s="167">
        <f t="shared" si="0"/>
        <v>41.242722239939383</v>
      </c>
      <c r="P29" s="167">
        <f t="shared" si="0"/>
        <v>320.86457131283879</v>
      </c>
    </row>
    <row r="30" spans="2:16" x14ac:dyDescent="0.35">
      <c r="B30" t="str">
        <f>ValSum!B21</f>
        <v>Forward EV / Revenue:</v>
      </c>
      <c r="G30" s="369">
        <f>ValSum!I21</f>
        <v>63.658403367201267</v>
      </c>
      <c r="H30" s="369">
        <f>ValSum!J21</f>
        <v>163.30993208165486</v>
      </c>
      <c r="I30" s="369">
        <f>ValSum!K21</f>
        <v>198.04126967715592</v>
      </c>
      <c r="J30" s="369">
        <f>ValSum!L21</f>
        <v>328.66170396458756</v>
      </c>
      <c r="K30" s="369">
        <f>ValSum!M21</f>
        <v>472.8532998917471</v>
      </c>
      <c r="L30" s="167">
        <f>G30</f>
        <v>63.658403367201267</v>
      </c>
      <c r="M30" s="167">
        <f t="shared" si="0"/>
        <v>99.651528714453605</v>
      </c>
      <c r="N30" s="167">
        <f t="shared" si="0"/>
        <v>34.73133759550106</v>
      </c>
      <c r="O30" s="167">
        <f t="shared" si="0"/>
        <v>130.62043428743164</v>
      </c>
      <c r="P30" s="167">
        <f t="shared" si="0"/>
        <v>144.19159592715954</v>
      </c>
    </row>
    <row r="31" spans="2:16" x14ac:dyDescent="0.35">
      <c r="B31" t="str">
        <f>ValSum!B20</f>
        <v>Trailing EV / Revenue:</v>
      </c>
      <c r="G31" s="369">
        <f>ValSum!I20</f>
        <v>57.408544658171422</v>
      </c>
      <c r="H31" s="369">
        <f>ValSum!J20</f>
        <v>129.07754356043461</v>
      </c>
      <c r="I31" s="369">
        <f>ValSum!K20</f>
        <v>165.81647761776006</v>
      </c>
      <c r="J31" s="369">
        <f>ValSum!L20</f>
        <v>319.61658755666315</v>
      </c>
      <c r="K31" s="369">
        <f>ValSum!M20</f>
        <v>424.31705944587787</v>
      </c>
      <c r="L31" s="167">
        <f>G31</f>
        <v>57.408544658171422</v>
      </c>
      <c r="M31" s="167">
        <f t="shared" si="0"/>
        <v>71.668998902263183</v>
      </c>
      <c r="N31" s="167">
        <f t="shared" si="0"/>
        <v>36.738934057325451</v>
      </c>
      <c r="O31" s="167">
        <f t="shared" si="0"/>
        <v>153.80010993890309</v>
      </c>
      <c r="P31" s="167">
        <f t="shared" si="0"/>
        <v>104.70047188921473</v>
      </c>
    </row>
    <row r="32" spans="2:16" x14ac:dyDescent="0.35">
      <c r="G32" s="370"/>
      <c r="H32" s="370"/>
      <c r="I32" s="370"/>
      <c r="J32" s="370"/>
      <c r="K32" s="370"/>
    </row>
    <row r="33" spans="2:16" x14ac:dyDescent="0.35">
      <c r="B33" t="str">
        <f>ValSum!B17</f>
        <v>2010E P / E:</v>
      </c>
      <c r="G33" s="369">
        <f ca="1">ValSum!I17</f>
        <v>126.67759511792397</v>
      </c>
      <c r="H33" s="369">
        <f ca="1">ValSum!J17</f>
        <v>140.93710303060323</v>
      </c>
      <c r="I33" s="369">
        <f ca="1">ValSum!K17</f>
        <v>188.67575348352472</v>
      </c>
      <c r="J33" s="369">
        <f ca="1">ValSum!L17</f>
        <v>192.5470848025175</v>
      </c>
      <c r="K33" s="369">
        <f ca="1">ValSum!M17</f>
        <v>516.49701524707473</v>
      </c>
      <c r="L33" s="167">
        <f t="shared" ref="L33:L38" ca="1" si="1">G33</f>
        <v>126.67759511792397</v>
      </c>
      <c r="M33" s="167">
        <f t="shared" ref="M33:M38" ca="1" si="2">H33-G33</f>
        <v>14.259507912679254</v>
      </c>
      <c r="N33" s="167">
        <f t="shared" ref="N33:N38" ca="1" si="3">I33-H33</f>
        <v>47.73865045292149</v>
      </c>
      <c r="O33" s="167">
        <f t="shared" ref="O33:O38" ca="1" si="4">J33-I33</f>
        <v>3.8713313189927874</v>
      </c>
      <c r="P33" s="167">
        <f t="shared" ref="P33:P38" ca="1" si="5">K33-J33</f>
        <v>323.94993044455725</v>
      </c>
    </row>
    <row r="34" spans="2:16" x14ac:dyDescent="0.35">
      <c r="B34" t="str">
        <f>ValSum!B16</f>
        <v>2009 P / E:</v>
      </c>
      <c r="G34" s="369">
        <f>ValSum!I16</f>
        <v>136.10324271205886</v>
      </c>
      <c r="H34" s="369">
        <f>ValSum!J16</f>
        <v>145.76836924650726</v>
      </c>
      <c r="I34" s="369">
        <f>ValSum!K16</f>
        <v>179.1941636823328</v>
      </c>
      <c r="J34" s="369">
        <f>ValSum!L16</f>
        <v>264.10950827017786</v>
      </c>
      <c r="K34" s="369">
        <f>ValSum!M16</f>
        <v>428.24328526068462</v>
      </c>
      <c r="L34" s="167">
        <f t="shared" si="1"/>
        <v>136.10324271205886</v>
      </c>
      <c r="M34" s="167">
        <f t="shared" si="2"/>
        <v>9.6651265344484045</v>
      </c>
      <c r="N34" s="167">
        <f t="shared" si="3"/>
        <v>33.425794435825537</v>
      </c>
      <c r="O34" s="167">
        <f t="shared" si="4"/>
        <v>84.915344587845055</v>
      </c>
      <c r="P34" s="167">
        <f t="shared" si="5"/>
        <v>164.13377699050676</v>
      </c>
    </row>
    <row r="35" spans="2:16" x14ac:dyDescent="0.35">
      <c r="B35" t="str">
        <f>ValSum!B15</f>
        <v>2010E EV / EBITDA:</v>
      </c>
      <c r="G35" s="369">
        <f>ValSum!I15</f>
        <v>103.83522962633329</v>
      </c>
      <c r="H35" s="369">
        <f>ValSum!J15</f>
        <v>129.06318959832311</v>
      </c>
      <c r="I35" s="369">
        <f>ValSum!K15</f>
        <v>137.53784758674274</v>
      </c>
      <c r="J35" s="369">
        <f>ValSum!L15</f>
        <v>160.94344056971627</v>
      </c>
      <c r="K35" s="369">
        <f>ValSum!M15</f>
        <v>187.95077267295397</v>
      </c>
      <c r="L35" s="167">
        <f t="shared" si="1"/>
        <v>103.83522962633329</v>
      </c>
      <c r="M35" s="167">
        <f t="shared" si="2"/>
        <v>25.227959971989819</v>
      </c>
      <c r="N35" s="167">
        <f t="shared" si="3"/>
        <v>8.4746579884196365</v>
      </c>
      <c r="O35" s="167">
        <f t="shared" si="4"/>
        <v>23.405592982973531</v>
      </c>
      <c r="P35" s="167">
        <f t="shared" si="5"/>
        <v>27.007332103237701</v>
      </c>
    </row>
    <row r="36" spans="2:16" x14ac:dyDescent="0.35">
      <c r="B36" t="str">
        <f>ValSum!B14</f>
        <v>2009 EV / EBITDA:</v>
      </c>
      <c r="G36" s="369">
        <f>ValSum!I14</f>
        <v>101.49162167508079</v>
      </c>
      <c r="H36" s="369">
        <f>ValSum!J14</f>
        <v>143.02356072956977</v>
      </c>
      <c r="I36" s="369">
        <f>ValSum!K14</f>
        <v>146.89849903993891</v>
      </c>
      <c r="J36" s="369">
        <f>ValSum!L14</f>
        <v>190.07546379912714</v>
      </c>
      <c r="K36" s="369">
        <f>ValSum!M14</f>
        <v>203.41036466671449</v>
      </c>
      <c r="L36" s="167">
        <f t="shared" si="1"/>
        <v>101.49162167508079</v>
      </c>
      <c r="M36" s="167">
        <f t="shared" si="2"/>
        <v>41.531939054488973</v>
      </c>
      <c r="N36" s="167">
        <f t="shared" si="3"/>
        <v>3.8749383103691457</v>
      </c>
      <c r="O36" s="167">
        <f t="shared" si="4"/>
        <v>43.176964759188223</v>
      </c>
      <c r="P36" s="167">
        <f t="shared" si="5"/>
        <v>13.334900867587351</v>
      </c>
    </row>
    <row r="37" spans="2:16" x14ac:dyDescent="0.35">
      <c r="B37" t="str">
        <f>ValSum!B13</f>
        <v>2010E EV / Revenue:</v>
      </c>
      <c r="G37" s="369">
        <f>ValSum!I13</f>
        <v>54.315365591586641</v>
      </c>
      <c r="H37" s="369">
        <f>ValSum!J13</f>
        <v>66.623806872636948</v>
      </c>
      <c r="I37" s="369">
        <f>ValSum!K13</f>
        <v>96.830245142054707</v>
      </c>
      <c r="J37" s="369">
        <f>ValSum!L13</f>
        <v>173.79745155679583</v>
      </c>
      <c r="K37" s="369">
        <f>ValSum!M13</f>
        <v>189.43159795428977</v>
      </c>
      <c r="L37" s="167">
        <f t="shared" si="1"/>
        <v>54.315365591586641</v>
      </c>
      <c r="M37" s="167">
        <f t="shared" si="2"/>
        <v>12.308441281050307</v>
      </c>
      <c r="N37" s="167">
        <f t="shared" si="3"/>
        <v>30.20643826941776</v>
      </c>
      <c r="O37" s="167">
        <f t="shared" si="4"/>
        <v>76.967206414741128</v>
      </c>
      <c r="P37" s="167">
        <f t="shared" si="5"/>
        <v>15.634146397493936</v>
      </c>
    </row>
    <row r="38" spans="2:16" x14ac:dyDescent="0.35">
      <c r="B38" t="str">
        <f>ValSum!B12</f>
        <v>2009 EV / Revenue:</v>
      </c>
      <c r="G38" s="369">
        <f>ValSum!I12</f>
        <v>52.117222846031865</v>
      </c>
      <c r="H38" s="369">
        <f>ValSum!J12</f>
        <v>59.643084116644445</v>
      </c>
      <c r="I38" s="369">
        <f>ValSum!K12</f>
        <v>89.079351016944102</v>
      </c>
      <c r="J38" s="369">
        <f>ValSum!L12</f>
        <v>170.36589687768014</v>
      </c>
      <c r="K38" s="369">
        <f>ValSum!M12</f>
        <v>181.29155552952273</v>
      </c>
      <c r="L38" s="167">
        <f t="shared" si="1"/>
        <v>52.117222846031865</v>
      </c>
      <c r="M38" s="167">
        <f t="shared" si="2"/>
        <v>7.5258612706125803</v>
      </c>
      <c r="N38" s="167">
        <f t="shared" si="3"/>
        <v>29.436266900299657</v>
      </c>
      <c r="O38" s="167">
        <f t="shared" si="4"/>
        <v>81.286545860736041</v>
      </c>
      <c r="P38" s="167">
        <f t="shared" si="5"/>
        <v>10.925658651842582</v>
      </c>
    </row>
  </sheetData>
  <pageMargins left="0.75" right="0.75" top="1" bottom="1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F19D-ADDF-4503-AA9E-FF500F4AB43C}">
  <sheetPr>
    <tabColor theme="4" tint="-0.249977111117893"/>
  </sheetPr>
  <dimension ref="B2:T39"/>
  <sheetViews>
    <sheetView workbookViewId="0">
      <selection activeCell="E178" sqref="E178"/>
    </sheetView>
  </sheetViews>
  <sheetFormatPr defaultColWidth="9.1796875" defaultRowHeight="12.5" outlineLevelCol="1" x14ac:dyDescent="0.25"/>
  <cols>
    <col min="1" max="1" width="2.6328125" style="168" customWidth="1"/>
    <col min="2" max="2" width="24.81640625" style="168" customWidth="1"/>
    <col min="3" max="3" width="9" style="168" customWidth="1"/>
    <col min="4" max="4" width="10.1796875" style="168" hidden="1" customWidth="1" outlineLevel="1"/>
    <col min="5" max="5" width="10.1796875" style="168" customWidth="1" collapsed="1"/>
    <col min="6" max="10" width="10.1796875" style="168" hidden="1" customWidth="1" outlineLevel="1"/>
    <col min="11" max="11" width="10.1796875" style="168" customWidth="1" collapsed="1"/>
    <col min="12" max="22" width="10.1796875" style="168" customWidth="1"/>
    <col min="23" max="16384" width="9.1796875" style="168"/>
  </cols>
  <sheetData>
    <row r="2" spans="2:20" ht="14.5" x14ac:dyDescent="0.35">
      <c r="B2" s="271" t="str">
        <f>"Comparable Companies - US-Based Hardware &amp; Networking Companies with Over $20 Billion Revenue"</f>
        <v>Comparable Companies - US-Based Hardware &amp; Networking Companies with Over $20 Billion Revenue</v>
      </c>
      <c r="C2" s="271"/>
      <c r="D2" s="271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</row>
    <row r="3" spans="2:20" ht="14.5" x14ac:dyDescent="0.35">
      <c r="B3" s="170" t="str">
        <f>'AAPL-3-Statements'!B3</f>
        <v>($ in Millions, Except Per Share Amounts in Dollars and Share Counts in Thousands)</v>
      </c>
      <c r="C3" s="271"/>
      <c r="D3" s="271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</row>
    <row r="4" spans="2:20" ht="14.5" x14ac:dyDescent="0.35">
      <c r="B4" s="170"/>
      <c r="C4" s="271"/>
      <c r="D4" s="271"/>
      <c r="E4" s="170"/>
      <c r="F4" s="170"/>
      <c r="G4" s="151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</row>
    <row r="5" spans="2:20" ht="14.5" x14ac:dyDescent="0.35">
      <c r="B5" s="272" t="s">
        <v>166</v>
      </c>
      <c r="C5" s="171"/>
      <c r="D5" s="171"/>
      <c r="E5" s="148" t="s">
        <v>167</v>
      </c>
      <c r="F5" s="148"/>
      <c r="G5" s="148"/>
      <c r="H5" s="148"/>
      <c r="I5" s="148"/>
      <c r="J5" s="148"/>
      <c r="K5" s="273"/>
      <c r="L5" s="274"/>
      <c r="M5" s="274"/>
      <c r="N5" s="274"/>
      <c r="O5" s="274"/>
      <c r="P5" s="274"/>
      <c r="Q5" s="274"/>
      <c r="R5" s="275" t="s">
        <v>168</v>
      </c>
      <c r="S5" s="148"/>
      <c r="T5" s="276"/>
    </row>
    <row r="6" spans="2:20" ht="14.5" x14ac:dyDescent="0.35">
      <c r="B6" s="277"/>
      <c r="C6" s="174" t="s">
        <v>169</v>
      </c>
      <c r="D6" s="174" t="s">
        <v>170</v>
      </c>
      <c r="E6" s="174" t="s">
        <v>171</v>
      </c>
      <c r="F6" s="174"/>
      <c r="G6" s="174"/>
      <c r="H6" s="174" t="s">
        <v>172</v>
      </c>
      <c r="I6" s="174" t="s">
        <v>173</v>
      </c>
      <c r="J6" s="174" t="s">
        <v>174</v>
      </c>
      <c r="K6" s="174" t="s">
        <v>175</v>
      </c>
      <c r="L6" s="278" t="s">
        <v>176</v>
      </c>
      <c r="M6" s="278"/>
      <c r="N6" s="278" t="s">
        <v>177</v>
      </c>
      <c r="O6" s="278"/>
      <c r="P6" s="278" t="s">
        <v>178</v>
      </c>
      <c r="Q6" s="278"/>
      <c r="R6" s="174" t="s">
        <v>176</v>
      </c>
      <c r="S6" s="278" t="s">
        <v>179</v>
      </c>
      <c r="T6" s="279"/>
    </row>
    <row r="7" spans="2:20" ht="14.5" x14ac:dyDescent="0.35">
      <c r="B7" s="177" t="s">
        <v>180</v>
      </c>
      <c r="C7" s="179" t="s">
        <v>129</v>
      </c>
      <c r="D7" s="179" t="s">
        <v>181</v>
      </c>
      <c r="E7" s="179" t="s">
        <v>182</v>
      </c>
      <c r="F7" s="179" t="s">
        <v>183</v>
      </c>
      <c r="G7" s="179" t="s">
        <v>184</v>
      </c>
      <c r="H7" s="179" t="s">
        <v>185</v>
      </c>
      <c r="I7" s="179" t="s">
        <v>186</v>
      </c>
      <c r="J7" s="179" t="s">
        <v>187</v>
      </c>
      <c r="K7" s="179" t="s">
        <v>182</v>
      </c>
      <c r="L7" s="280">
        <f>Hist_Year</f>
        <v>2009</v>
      </c>
      <c r="M7" s="280" t="str">
        <f>Hist_Year+1&amp;"E"</f>
        <v>2010E</v>
      </c>
      <c r="N7" s="280">
        <f>Hist_Year</f>
        <v>2009</v>
      </c>
      <c r="O7" s="280" t="str">
        <f>Hist_Year+1&amp;"E"</f>
        <v>2010E</v>
      </c>
      <c r="P7" s="280">
        <f>Hist_Year</f>
        <v>2009</v>
      </c>
      <c r="Q7" s="280" t="str">
        <f>Hist_Year+1&amp;"E"</f>
        <v>2010E</v>
      </c>
      <c r="R7" s="179" t="s">
        <v>188</v>
      </c>
      <c r="S7" s="280">
        <f>Hist_Year</f>
        <v>2009</v>
      </c>
      <c r="T7" s="281" t="str">
        <f>Hist_Year+1&amp;"E"</f>
        <v>2010E</v>
      </c>
    </row>
    <row r="8" spans="2:20" ht="14.5" x14ac:dyDescent="0.35">
      <c r="B8" s="170" t="s">
        <v>191</v>
      </c>
      <c r="C8" s="308">
        <v>47.07</v>
      </c>
      <c r="D8" s="121">
        <v>2438477.9696252393</v>
      </c>
      <c r="E8" s="151">
        <f>C8/Units*D8</f>
        <v>114779.15803026002</v>
      </c>
      <c r="F8" s="307">
        <v>13334</v>
      </c>
      <c r="G8" s="307">
        <v>15830</v>
      </c>
      <c r="H8" s="307">
        <v>0</v>
      </c>
      <c r="I8" s="307">
        <v>0</v>
      </c>
      <c r="J8" s="307">
        <v>7155</v>
      </c>
      <c r="K8" s="322">
        <f>E8-F8+G8+H8+I8+J8</f>
        <v>124430.15803026002</v>
      </c>
      <c r="L8" s="318">
        <v>114552</v>
      </c>
      <c r="M8" s="318">
        <v>124179</v>
      </c>
      <c r="N8" s="318">
        <v>16433</v>
      </c>
      <c r="O8" s="318">
        <v>18186</v>
      </c>
      <c r="P8" s="320">
        <v>3.14</v>
      </c>
      <c r="Q8" s="320">
        <v>3.87</v>
      </c>
      <c r="R8" s="324">
        <f>M8/L8-1</f>
        <v>8.4040435784621836E-2</v>
      </c>
      <c r="S8" s="324">
        <f t="shared" ref="S8:T12" si="0">N8/L8</f>
        <v>0.14345450101264054</v>
      </c>
      <c r="T8" s="324">
        <f t="shared" si="0"/>
        <v>0.14644988283043026</v>
      </c>
    </row>
    <row r="9" spans="2:20" ht="14.5" x14ac:dyDescent="0.35">
      <c r="B9" s="170" t="s">
        <v>192</v>
      </c>
      <c r="C9" s="309">
        <v>12.9</v>
      </c>
      <c r="D9" s="121">
        <v>1956656.3589999999</v>
      </c>
      <c r="E9" s="155">
        <f>C9/Units*D9</f>
        <v>25240.867031099999</v>
      </c>
      <c r="F9" s="310">
        <v>13954</v>
      </c>
      <c r="G9" s="310">
        <v>3793</v>
      </c>
      <c r="H9" s="310">
        <v>0</v>
      </c>
      <c r="I9" s="310">
        <v>0</v>
      </c>
      <c r="J9" s="310">
        <v>0</v>
      </c>
      <c r="K9" s="323">
        <f>E9-F9+G9+H9+I9+J9</f>
        <v>15079.867031099999</v>
      </c>
      <c r="L9" s="319">
        <v>51430</v>
      </c>
      <c r="M9" s="319">
        <v>55380</v>
      </c>
      <c r="N9" s="319">
        <v>3426</v>
      </c>
      <c r="O9" s="319">
        <v>4129</v>
      </c>
      <c r="P9" s="321">
        <v>0.78611536498213375</v>
      </c>
      <c r="Q9" s="321">
        <v>1.1800000000000002</v>
      </c>
      <c r="R9" s="324">
        <f>M9/L9-1</f>
        <v>7.6803422127163179E-2</v>
      </c>
      <c r="S9" s="324">
        <f t="shared" si="0"/>
        <v>6.6614816255104028E-2</v>
      </c>
      <c r="T9" s="324">
        <f t="shared" si="0"/>
        <v>7.4557602022390757E-2</v>
      </c>
    </row>
    <row r="10" spans="2:20" ht="14.5" x14ac:dyDescent="0.35">
      <c r="B10" s="170" t="s">
        <v>193</v>
      </c>
      <c r="C10" s="309">
        <v>22.47</v>
      </c>
      <c r="D10" s="121">
        <v>5862885.6475340454</v>
      </c>
      <c r="E10" s="155">
        <f>C10/Units*D10</f>
        <v>131739.04050008999</v>
      </c>
      <c r="F10" s="310">
        <v>35365</v>
      </c>
      <c r="G10" s="310">
        <v>10273</v>
      </c>
      <c r="H10" s="310">
        <v>0</v>
      </c>
      <c r="I10" s="310">
        <v>24</v>
      </c>
      <c r="J10" s="310">
        <v>0</v>
      </c>
      <c r="K10" s="323">
        <f>E10-F10+G10+H10+I10+J10</f>
        <v>106671.04050008999</v>
      </c>
      <c r="L10" s="319">
        <v>34807</v>
      </c>
      <c r="M10" s="319">
        <v>41163</v>
      </c>
      <c r="N10" s="319">
        <v>10076</v>
      </c>
      <c r="O10" s="319">
        <v>12774</v>
      </c>
      <c r="P10" s="321">
        <v>0.97428036109691707</v>
      </c>
      <c r="Q10" s="321">
        <v>1.3800000000000001</v>
      </c>
      <c r="R10" s="324">
        <f>M10/L10-1</f>
        <v>0.18260694687850143</v>
      </c>
      <c r="S10" s="324">
        <f t="shared" si="0"/>
        <v>0.28948200074697616</v>
      </c>
      <c r="T10" s="324">
        <f t="shared" si="0"/>
        <v>0.31032723562422565</v>
      </c>
    </row>
    <row r="11" spans="2:20" ht="14.5" x14ac:dyDescent="0.35">
      <c r="B11" s="170" t="s">
        <v>194</v>
      </c>
      <c r="C11" s="309">
        <v>19.399999999999999</v>
      </c>
      <c r="D11" s="121">
        <v>5527029.8453608248</v>
      </c>
      <c r="E11" s="155">
        <f>C11/Units*D11</f>
        <v>107224.37899999999</v>
      </c>
      <c r="F11" s="310">
        <v>17307</v>
      </c>
      <c r="G11" s="310">
        <v>2224</v>
      </c>
      <c r="H11" s="310">
        <v>0</v>
      </c>
      <c r="I11" s="310">
        <v>0</v>
      </c>
      <c r="J11" s="310">
        <v>645</v>
      </c>
      <c r="K11" s="323">
        <f>E11-F11+G11+H11+I11+J11</f>
        <v>92786.378999999986</v>
      </c>
      <c r="L11" s="319">
        <v>32784</v>
      </c>
      <c r="M11" s="319">
        <v>39941</v>
      </c>
      <c r="N11" s="319">
        <v>12708</v>
      </c>
      <c r="O11" s="319">
        <v>18332.354475963886</v>
      </c>
      <c r="P11" s="321">
        <v>0.41130604288499023</v>
      </c>
      <c r="Q11" s="321">
        <v>1.1675</v>
      </c>
      <c r="R11" s="324">
        <f>M11/L11-1</f>
        <v>0.21830771107857494</v>
      </c>
      <c r="S11" s="324">
        <f t="shared" si="0"/>
        <v>0.3876281112737921</v>
      </c>
      <c r="T11" s="324">
        <f t="shared" si="0"/>
        <v>0.45898586605152314</v>
      </c>
    </row>
    <row r="12" spans="2:20" ht="14.5" x14ac:dyDescent="0.35">
      <c r="B12" s="170" t="s">
        <v>195</v>
      </c>
      <c r="C12" s="309">
        <v>6.15</v>
      </c>
      <c r="D12" s="121">
        <v>2315349.0962357721</v>
      </c>
      <c r="E12" s="155">
        <f>C12/Units*D12</f>
        <v>14239.396941849998</v>
      </c>
      <c r="F12" s="310">
        <v>7606</v>
      </c>
      <c r="G12" s="310">
        <v>3925</v>
      </c>
      <c r="H12" s="310">
        <v>0</v>
      </c>
      <c r="I12" s="310">
        <v>107</v>
      </c>
      <c r="J12" s="310">
        <v>0</v>
      </c>
      <c r="K12" s="323">
        <f>E12-F12+G12+H12+I12+J12</f>
        <v>10665.396941849998</v>
      </c>
      <c r="L12" s="319">
        <v>23457</v>
      </c>
      <c r="M12" s="319">
        <v>22056</v>
      </c>
      <c r="N12" s="319">
        <v>926</v>
      </c>
      <c r="O12" s="319">
        <v>1927</v>
      </c>
      <c r="P12" s="321">
        <v>-1.6985332634887376</v>
      </c>
      <c r="Q12" s="321">
        <v>0.13797468354430381</v>
      </c>
      <c r="R12" s="324">
        <f>M12/L12-1</f>
        <v>-5.9726307711983617E-2</v>
      </c>
      <c r="S12" s="324">
        <f t="shared" si="0"/>
        <v>3.9476488894573052E-2</v>
      </c>
      <c r="T12" s="324">
        <f t="shared" si="0"/>
        <v>8.7368516503445778E-2</v>
      </c>
    </row>
    <row r="13" spans="2:20" ht="14.5" x14ac:dyDescent="0.35">
      <c r="B13" s="170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</row>
    <row r="14" spans="2:20" ht="14.5" x14ac:dyDescent="0.35">
      <c r="B14" s="283" t="s">
        <v>148</v>
      </c>
      <c r="C14" s="284">
        <f>MAX(C8:C12)</f>
        <v>47.07</v>
      </c>
      <c r="D14" s="284"/>
      <c r="E14" s="285">
        <f t="shared" ref="E14:T14" si="1">MAX(E8:E12)</f>
        <v>131739.04050008999</v>
      </c>
      <c r="F14" s="285">
        <f t="shared" si="1"/>
        <v>35365</v>
      </c>
      <c r="G14" s="285">
        <f t="shared" si="1"/>
        <v>15830</v>
      </c>
      <c r="H14" s="285">
        <f t="shared" si="1"/>
        <v>0</v>
      </c>
      <c r="I14" s="285">
        <f t="shared" si="1"/>
        <v>107</v>
      </c>
      <c r="J14" s="285">
        <f t="shared" si="1"/>
        <v>7155</v>
      </c>
      <c r="K14" s="285">
        <f t="shared" si="1"/>
        <v>124430.15803026002</v>
      </c>
      <c r="L14" s="285">
        <f t="shared" si="1"/>
        <v>114552</v>
      </c>
      <c r="M14" s="285">
        <f t="shared" si="1"/>
        <v>124179</v>
      </c>
      <c r="N14" s="285">
        <f t="shared" si="1"/>
        <v>16433</v>
      </c>
      <c r="O14" s="285">
        <f t="shared" si="1"/>
        <v>18332.354475963886</v>
      </c>
      <c r="P14" s="218">
        <f t="shared" si="1"/>
        <v>3.14</v>
      </c>
      <c r="Q14" s="218">
        <f t="shared" si="1"/>
        <v>3.87</v>
      </c>
      <c r="R14" s="286">
        <f t="shared" si="1"/>
        <v>0.21830771107857494</v>
      </c>
      <c r="S14" s="286">
        <f t="shared" si="1"/>
        <v>0.3876281112737921</v>
      </c>
      <c r="T14" s="314">
        <f t="shared" si="1"/>
        <v>0.45898586605152314</v>
      </c>
    </row>
    <row r="15" spans="2:20" ht="14.5" x14ac:dyDescent="0.35">
      <c r="B15" s="287" t="s">
        <v>189</v>
      </c>
      <c r="C15" s="156">
        <f>QUARTILE(C8:C12,3)</f>
        <v>22.47</v>
      </c>
      <c r="D15" s="156"/>
      <c r="E15" s="155">
        <f t="shared" ref="E15:T15" si="2">QUARTILE(E8:E12,3)</f>
        <v>114779.15803026002</v>
      </c>
      <c r="F15" s="155">
        <f t="shared" si="2"/>
        <v>17307</v>
      </c>
      <c r="G15" s="155">
        <f t="shared" si="2"/>
        <v>10273</v>
      </c>
      <c r="H15" s="155">
        <f t="shared" si="2"/>
        <v>0</v>
      </c>
      <c r="I15" s="155">
        <f t="shared" si="2"/>
        <v>24</v>
      </c>
      <c r="J15" s="155">
        <f t="shared" si="2"/>
        <v>645</v>
      </c>
      <c r="K15" s="155">
        <f t="shared" si="2"/>
        <v>106671.04050008999</v>
      </c>
      <c r="L15" s="155">
        <f t="shared" si="2"/>
        <v>51430</v>
      </c>
      <c r="M15" s="155">
        <f t="shared" si="2"/>
        <v>55380</v>
      </c>
      <c r="N15" s="155">
        <f t="shared" si="2"/>
        <v>12708</v>
      </c>
      <c r="O15" s="155">
        <f t="shared" si="2"/>
        <v>18186</v>
      </c>
      <c r="P15" s="156">
        <f t="shared" si="2"/>
        <v>0.97428036109691707</v>
      </c>
      <c r="Q15" s="156">
        <f t="shared" si="2"/>
        <v>1.3800000000000001</v>
      </c>
      <c r="R15" s="282">
        <f t="shared" si="2"/>
        <v>0.18260694687850143</v>
      </c>
      <c r="S15" s="282">
        <f t="shared" si="2"/>
        <v>0.28948200074697616</v>
      </c>
      <c r="T15" s="315">
        <f t="shared" si="2"/>
        <v>0.31032723562422565</v>
      </c>
    </row>
    <row r="16" spans="2:20" ht="14.5" x14ac:dyDescent="0.35">
      <c r="B16" s="288" t="s">
        <v>147</v>
      </c>
      <c r="C16" s="289">
        <f>MEDIAN(C8:C12)</f>
        <v>19.399999999999999</v>
      </c>
      <c r="D16" s="289"/>
      <c r="E16" s="290">
        <f t="shared" ref="E16:T16" si="3">MEDIAN(E8:E12)</f>
        <v>107224.37899999999</v>
      </c>
      <c r="F16" s="290">
        <f t="shared" si="3"/>
        <v>13954</v>
      </c>
      <c r="G16" s="290">
        <f t="shared" si="3"/>
        <v>3925</v>
      </c>
      <c r="H16" s="290">
        <f t="shared" si="3"/>
        <v>0</v>
      </c>
      <c r="I16" s="290">
        <f t="shared" si="3"/>
        <v>0</v>
      </c>
      <c r="J16" s="290">
        <f t="shared" si="3"/>
        <v>0</v>
      </c>
      <c r="K16" s="290">
        <f t="shared" si="3"/>
        <v>92786.378999999986</v>
      </c>
      <c r="L16" s="290">
        <f t="shared" si="3"/>
        <v>34807</v>
      </c>
      <c r="M16" s="290">
        <f t="shared" si="3"/>
        <v>41163</v>
      </c>
      <c r="N16" s="290">
        <f t="shared" si="3"/>
        <v>10076</v>
      </c>
      <c r="O16" s="290">
        <f t="shared" si="3"/>
        <v>12774</v>
      </c>
      <c r="P16" s="289">
        <f t="shared" si="3"/>
        <v>0.78611536498213375</v>
      </c>
      <c r="Q16" s="289">
        <f t="shared" si="3"/>
        <v>1.1800000000000002</v>
      </c>
      <c r="R16" s="291">
        <f t="shared" si="3"/>
        <v>8.4040435784621836E-2</v>
      </c>
      <c r="S16" s="291">
        <f t="shared" si="3"/>
        <v>0.14345450101264054</v>
      </c>
      <c r="T16" s="316">
        <f t="shared" si="3"/>
        <v>0.14644988283043026</v>
      </c>
    </row>
    <row r="17" spans="2:20" ht="14.5" x14ac:dyDescent="0.35">
      <c r="B17" s="287" t="s">
        <v>190</v>
      </c>
      <c r="C17" s="156">
        <f>QUARTILE(C8:C12,1)</f>
        <v>12.9</v>
      </c>
      <c r="D17" s="156"/>
      <c r="E17" s="155">
        <f t="shared" ref="E17:T17" si="4">QUARTILE(E8:E12,1)</f>
        <v>25240.867031099999</v>
      </c>
      <c r="F17" s="155">
        <f t="shared" si="4"/>
        <v>13334</v>
      </c>
      <c r="G17" s="155">
        <f t="shared" si="4"/>
        <v>3793</v>
      </c>
      <c r="H17" s="155">
        <f t="shared" si="4"/>
        <v>0</v>
      </c>
      <c r="I17" s="155">
        <f t="shared" si="4"/>
        <v>0</v>
      </c>
      <c r="J17" s="155">
        <f t="shared" si="4"/>
        <v>0</v>
      </c>
      <c r="K17" s="155">
        <f t="shared" si="4"/>
        <v>15079.867031099999</v>
      </c>
      <c r="L17" s="155">
        <f t="shared" si="4"/>
        <v>32784</v>
      </c>
      <c r="M17" s="155">
        <f t="shared" si="4"/>
        <v>39941</v>
      </c>
      <c r="N17" s="155">
        <f t="shared" si="4"/>
        <v>3426</v>
      </c>
      <c r="O17" s="155">
        <f t="shared" si="4"/>
        <v>4129</v>
      </c>
      <c r="P17" s="156">
        <f t="shared" si="4"/>
        <v>0.41130604288499023</v>
      </c>
      <c r="Q17" s="156">
        <f t="shared" si="4"/>
        <v>1.1675</v>
      </c>
      <c r="R17" s="282">
        <f t="shared" si="4"/>
        <v>7.6803422127163179E-2</v>
      </c>
      <c r="S17" s="282">
        <f t="shared" si="4"/>
        <v>6.6614816255104028E-2</v>
      </c>
      <c r="T17" s="315">
        <f t="shared" si="4"/>
        <v>8.7368516503445778E-2</v>
      </c>
    </row>
    <row r="18" spans="2:20" ht="14.5" x14ac:dyDescent="0.35">
      <c r="B18" s="292" t="s">
        <v>145</v>
      </c>
      <c r="C18" s="293">
        <f>MIN(C8:C12)</f>
        <v>6.15</v>
      </c>
      <c r="D18" s="293"/>
      <c r="E18" s="294">
        <f t="shared" ref="E18:T18" si="5">MIN(E8:E12)</f>
        <v>14239.396941849998</v>
      </c>
      <c r="F18" s="294">
        <f t="shared" si="5"/>
        <v>7606</v>
      </c>
      <c r="G18" s="294">
        <f t="shared" si="5"/>
        <v>2224</v>
      </c>
      <c r="H18" s="294">
        <f t="shared" si="5"/>
        <v>0</v>
      </c>
      <c r="I18" s="294">
        <f t="shared" si="5"/>
        <v>0</v>
      </c>
      <c r="J18" s="294">
        <f t="shared" si="5"/>
        <v>0</v>
      </c>
      <c r="K18" s="294">
        <f t="shared" si="5"/>
        <v>10665.396941849998</v>
      </c>
      <c r="L18" s="294">
        <f t="shared" si="5"/>
        <v>23457</v>
      </c>
      <c r="M18" s="294">
        <f t="shared" si="5"/>
        <v>22056</v>
      </c>
      <c r="N18" s="294">
        <f t="shared" si="5"/>
        <v>926</v>
      </c>
      <c r="O18" s="294">
        <f t="shared" si="5"/>
        <v>1927</v>
      </c>
      <c r="P18" s="293">
        <f t="shared" si="5"/>
        <v>-1.6985332634887376</v>
      </c>
      <c r="Q18" s="293">
        <f t="shared" si="5"/>
        <v>0.13797468354430381</v>
      </c>
      <c r="R18" s="295">
        <f t="shared" si="5"/>
        <v>-5.9726307711983617E-2</v>
      </c>
      <c r="S18" s="295">
        <f t="shared" si="5"/>
        <v>3.9476488894573052E-2</v>
      </c>
      <c r="T18" s="317">
        <f t="shared" si="5"/>
        <v>7.4557602022390757E-2</v>
      </c>
    </row>
    <row r="19" spans="2:20" ht="14.5" x14ac:dyDescent="0.35"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</row>
    <row r="20" spans="2:20" ht="14.5" x14ac:dyDescent="0.35">
      <c r="B20" s="255" t="str">
        <f>Company_Name</f>
        <v>Apple Inc.</v>
      </c>
      <c r="C20" s="296">
        <f>Share_Price</f>
        <v>192.06</v>
      </c>
      <c r="D20" s="311">
        <f>Diluted_Shares</f>
        <v>920525.62363001145</v>
      </c>
      <c r="E20" s="257">
        <f>C20/Units*D20</f>
        <v>176796.15127438001</v>
      </c>
      <c r="F20" s="312">
        <f>'AAPL-3-Statements'!E15</f>
        <v>35395</v>
      </c>
      <c r="G20" s="312">
        <f>'AAPL-3-Statements'!E16</f>
        <v>0</v>
      </c>
      <c r="H20" s="312">
        <f>'AAPL-3-Statements'!E18</f>
        <v>0</v>
      </c>
      <c r="I20" s="312">
        <f>'AAPL-3-Statements'!E17</f>
        <v>0</v>
      </c>
      <c r="J20" s="312">
        <f>'AAPL-3-Statements'!E19</f>
        <v>0</v>
      </c>
      <c r="K20" s="257">
        <f>E20-F20+G20+H20+I20+J20</f>
        <v>141401.15127438001</v>
      </c>
      <c r="L20" s="312">
        <f>'AAPL-3-Statements'!H66</f>
        <v>42905</v>
      </c>
      <c r="M20" s="257">
        <f>'AAPL-3-Statements'!I66</f>
        <v>53631.25</v>
      </c>
      <c r="N20" s="312">
        <f>'AAPL-3-Statements'!H91</f>
        <v>13184</v>
      </c>
      <c r="O20" s="312">
        <f>'AAPL-3-Statements'!I91</f>
        <v>16480</v>
      </c>
      <c r="P20" s="313">
        <f>'AAPL-3-Statements'!H87</f>
        <v>9.0793325284866118</v>
      </c>
      <c r="Q20" s="296">
        <f ca="1">'AAPL-3-Statements'!I87</f>
        <v>11.587562964275218</v>
      </c>
      <c r="R20" s="297">
        <f>M20/L20-1</f>
        <v>0.25</v>
      </c>
      <c r="S20" s="297">
        <f>N20/L20</f>
        <v>0.30728353338771702</v>
      </c>
      <c r="T20" s="326">
        <f>O20/M20</f>
        <v>0.30728353338771702</v>
      </c>
    </row>
    <row r="21" spans="2:20" ht="14.5" x14ac:dyDescent="0.35"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</row>
    <row r="22" spans="2:20" ht="14.5" x14ac:dyDescent="0.35">
      <c r="B22" s="147" t="s">
        <v>196</v>
      </c>
      <c r="C22" s="171"/>
      <c r="D22" s="171"/>
      <c r="E22" s="148" t="s">
        <v>167</v>
      </c>
      <c r="F22" s="148"/>
      <c r="G22" s="148"/>
      <c r="H22" s="148"/>
      <c r="I22" s="148"/>
      <c r="J22" s="148"/>
      <c r="K22" s="273"/>
      <c r="L22" s="148" t="s">
        <v>197</v>
      </c>
      <c r="M22" s="273"/>
      <c r="N22" s="148" t="s">
        <v>197</v>
      </c>
      <c r="O22" s="273"/>
      <c r="P22" s="274"/>
      <c r="Q22" s="298"/>
      <c r="R22" s="170"/>
      <c r="S22" s="170"/>
      <c r="T22" s="170"/>
    </row>
    <row r="23" spans="2:20" ht="14.5" x14ac:dyDescent="0.35">
      <c r="B23" s="277"/>
      <c r="C23" s="174" t="s">
        <v>169</v>
      </c>
      <c r="D23" s="174"/>
      <c r="E23" s="174" t="s">
        <v>171</v>
      </c>
      <c r="F23" s="174"/>
      <c r="G23" s="174"/>
      <c r="H23" s="174"/>
      <c r="I23" s="174"/>
      <c r="J23" s="174"/>
      <c r="K23" s="174" t="s">
        <v>175</v>
      </c>
      <c r="L23" s="278" t="s">
        <v>176</v>
      </c>
      <c r="M23" s="299"/>
      <c r="N23" s="278" t="s">
        <v>177</v>
      </c>
      <c r="O23" s="300"/>
      <c r="P23" s="278" t="s">
        <v>198</v>
      </c>
      <c r="Q23" s="279"/>
      <c r="R23" s="301"/>
      <c r="S23" s="301"/>
      <c r="T23" s="301"/>
    </row>
    <row r="24" spans="2:20" ht="14.5" x14ac:dyDescent="0.35">
      <c r="B24" s="177" t="s">
        <v>180</v>
      </c>
      <c r="C24" s="179" t="s">
        <v>129</v>
      </c>
      <c r="D24" s="179"/>
      <c r="E24" s="179" t="s">
        <v>182</v>
      </c>
      <c r="F24" s="179"/>
      <c r="G24" s="179"/>
      <c r="H24" s="179"/>
      <c r="I24" s="179"/>
      <c r="J24" s="179"/>
      <c r="K24" s="179" t="s">
        <v>182</v>
      </c>
      <c r="L24" s="280">
        <f t="shared" ref="L24:Q24" si="6">L7</f>
        <v>2009</v>
      </c>
      <c r="M24" s="280" t="str">
        <f t="shared" si="6"/>
        <v>2010E</v>
      </c>
      <c r="N24" s="280">
        <f t="shared" si="6"/>
        <v>2009</v>
      </c>
      <c r="O24" s="280" t="str">
        <f t="shared" si="6"/>
        <v>2010E</v>
      </c>
      <c r="P24" s="280">
        <f t="shared" si="6"/>
        <v>2009</v>
      </c>
      <c r="Q24" s="281" t="str">
        <f t="shared" si="6"/>
        <v>2010E</v>
      </c>
      <c r="R24" s="302"/>
      <c r="S24" s="302"/>
      <c r="T24" s="302"/>
    </row>
    <row r="25" spans="2:20" ht="14.5" x14ac:dyDescent="0.35">
      <c r="B25" s="170" t="str">
        <f>B8</f>
        <v>Hewlett-Packard Company</v>
      </c>
      <c r="C25" s="152">
        <f>C8</f>
        <v>47.07</v>
      </c>
      <c r="D25" s="152"/>
      <c r="E25" s="151">
        <f>E8</f>
        <v>114779.15803026002</v>
      </c>
      <c r="F25" s="151"/>
      <c r="G25" s="151"/>
      <c r="H25" s="151"/>
      <c r="I25" s="151"/>
      <c r="J25" s="151"/>
      <c r="K25" s="151">
        <f>K8</f>
        <v>124430.15803026002</v>
      </c>
      <c r="L25" s="329">
        <f t="shared" ref="L25:O29" si="7">IF($K25/L8&gt;0,$K25/L8,"NM")</f>
        <v>1.0862329599680496</v>
      </c>
      <c r="M25" s="329">
        <f t="shared" si="7"/>
        <v>1.0020225483395744</v>
      </c>
      <c r="N25" s="329">
        <f t="shared" si="7"/>
        <v>7.5719684799038536</v>
      </c>
      <c r="O25" s="329">
        <f t="shared" si="7"/>
        <v>6.8420850121115153</v>
      </c>
      <c r="P25" s="329">
        <f t="shared" ref="P25:Q29" si="8">IF($C25/P8&gt;0,$C25/P8,"NM")</f>
        <v>14.990445859872612</v>
      </c>
      <c r="Q25" s="329">
        <f t="shared" si="8"/>
        <v>12.162790697674419</v>
      </c>
      <c r="R25" s="170"/>
      <c r="S25" s="170"/>
      <c r="T25" s="170"/>
    </row>
    <row r="26" spans="2:20" ht="14.5" x14ac:dyDescent="0.35">
      <c r="B26" s="170" t="str">
        <f t="shared" ref="B26:C29" si="9">B9</f>
        <v>Dell Inc.</v>
      </c>
      <c r="C26" s="156">
        <f t="shared" si="9"/>
        <v>12.9</v>
      </c>
      <c r="D26" s="152"/>
      <c r="E26" s="155">
        <f>E9</f>
        <v>25240.867031099999</v>
      </c>
      <c r="F26" s="151"/>
      <c r="G26" s="151"/>
      <c r="H26" s="151"/>
      <c r="I26" s="151"/>
      <c r="J26" s="151"/>
      <c r="K26" s="155">
        <f>K9</f>
        <v>15079.867031099999</v>
      </c>
      <c r="L26" s="329">
        <f t="shared" si="7"/>
        <v>0.29321149195216795</v>
      </c>
      <c r="M26" s="329">
        <f t="shared" si="7"/>
        <v>0.27229806845612131</v>
      </c>
      <c r="N26" s="329">
        <f t="shared" si="7"/>
        <v>4.4015957475481606</v>
      </c>
      <c r="O26" s="329">
        <f t="shared" si="7"/>
        <v>3.6521838292806974</v>
      </c>
      <c r="P26" s="329">
        <f t="shared" si="8"/>
        <v>16.409805194805195</v>
      </c>
      <c r="Q26" s="329">
        <f t="shared" si="8"/>
        <v>10.932203389830507</v>
      </c>
      <c r="R26" s="170"/>
      <c r="S26" s="170"/>
      <c r="T26" s="170"/>
    </row>
    <row r="27" spans="2:20" ht="14.5" x14ac:dyDescent="0.35">
      <c r="B27" s="170" t="str">
        <f t="shared" si="9"/>
        <v>Cisco Systems, Inc.</v>
      </c>
      <c r="C27" s="156">
        <f t="shared" si="9"/>
        <v>22.47</v>
      </c>
      <c r="D27" s="152"/>
      <c r="E27" s="155">
        <f>E10</f>
        <v>131739.04050008999</v>
      </c>
      <c r="F27" s="151"/>
      <c r="G27" s="151"/>
      <c r="H27" s="151"/>
      <c r="I27" s="151"/>
      <c r="J27" s="151"/>
      <c r="K27" s="155">
        <f>K10</f>
        <v>106671.04050008999</v>
      </c>
      <c r="L27" s="329">
        <f t="shared" si="7"/>
        <v>3.0646433332401526</v>
      </c>
      <c r="M27" s="329">
        <f t="shared" si="7"/>
        <v>2.5914301800182202</v>
      </c>
      <c r="N27" s="329">
        <f t="shared" si="7"/>
        <v>10.586645543875544</v>
      </c>
      <c r="O27" s="329">
        <f t="shared" si="7"/>
        <v>8.3506372710263026</v>
      </c>
      <c r="P27" s="329">
        <f t="shared" si="8"/>
        <v>23.063176573426571</v>
      </c>
      <c r="Q27" s="329">
        <f t="shared" si="8"/>
        <v>16.282608695652172</v>
      </c>
      <c r="R27" s="170"/>
      <c r="S27" s="170"/>
      <c r="T27" s="170"/>
    </row>
    <row r="28" spans="2:20" ht="14.5" x14ac:dyDescent="0.35">
      <c r="B28" s="170" t="str">
        <f t="shared" si="9"/>
        <v>Intel Corporation</v>
      </c>
      <c r="C28" s="156">
        <f t="shared" si="9"/>
        <v>19.399999999999999</v>
      </c>
      <c r="D28" s="152"/>
      <c r="E28" s="155">
        <f>E11</f>
        <v>107224.37899999999</v>
      </c>
      <c r="F28" s="151"/>
      <c r="G28" s="151"/>
      <c r="H28" s="151"/>
      <c r="I28" s="151"/>
      <c r="J28" s="151"/>
      <c r="K28" s="155">
        <f>K11</f>
        <v>92786.378999999986</v>
      </c>
      <c r="L28" s="329">
        <f t="shared" si="7"/>
        <v>2.8302336200585647</v>
      </c>
      <c r="M28" s="329">
        <f t="shared" si="7"/>
        <v>2.323086026889662</v>
      </c>
      <c r="N28" s="329">
        <f t="shared" si="7"/>
        <v>7.3014147780925391</v>
      </c>
      <c r="O28" s="329">
        <f t="shared" si="7"/>
        <v>5.0613454546525958</v>
      </c>
      <c r="P28" s="329">
        <f t="shared" si="8"/>
        <v>47.166824644549763</v>
      </c>
      <c r="Q28" s="329">
        <f t="shared" si="8"/>
        <v>16.616702355460383</v>
      </c>
      <c r="R28" s="170"/>
      <c r="S28" s="170"/>
      <c r="T28" s="170"/>
    </row>
    <row r="29" spans="2:20" ht="14.5" x14ac:dyDescent="0.35">
      <c r="B29" s="170" t="str">
        <f t="shared" si="9"/>
        <v>Motorola, Inc.</v>
      </c>
      <c r="C29" s="156">
        <f t="shared" si="9"/>
        <v>6.15</v>
      </c>
      <c r="D29" s="152"/>
      <c r="E29" s="155">
        <f>E12</f>
        <v>14239.396941849998</v>
      </c>
      <c r="F29" s="151"/>
      <c r="G29" s="151"/>
      <c r="H29" s="151"/>
      <c r="I29" s="151"/>
      <c r="J29" s="151"/>
      <c r="K29" s="155">
        <f>K12</f>
        <v>10665.396941849998</v>
      </c>
      <c r="L29" s="329">
        <f t="shared" si="7"/>
        <v>0.45467864355416288</v>
      </c>
      <c r="M29" s="329">
        <f t="shared" si="7"/>
        <v>0.48355989036316643</v>
      </c>
      <c r="N29" s="329">
        <f t="shared" si="7"/>
        <v>11.517707280615548</v>
      </c>
      <c r="O29" s="329">
        <f t="shared" si="7"/>
        <v>5.5347155899584841</v>
      </c>
      <c r="P29" s="329" t="str">
        <f t="shared" si="8"/>
        <v>NM</v>
      </c>
      <c r="Q29" s="329">
        <f t="shared" si="8"/>
        <v>44.573394495412842</v>
      </c>
      <c r="R29" s="170"/>
      <c r="S29" s="170"/>
      <c r="T29" s="170"/>
    </row>
    <row r="30" spans="2:20" ht="14.5" x14ac:dyDescent="0.35">
      <c r="B30" s="170"/>
      <c r="C30" s="170"/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</row>
    <row r="31" spans="2:20" ht="14.5" x14ac:dyDescent="0.35">
      <c r="B31" s="283" t="s">
        <v>148</v>
      </c>
      <c r="C31" s="284">
        <f>MAX(C25:C29)</f>
        <v>47.07</v>
      </c>
      <c r="D31" s="284"/>
      <c r="E31" s="285">
        <f t="shared" ref="E31:Q31" si="10">MAX(E25:E29)</f>
        <v>131739.04050008999</v>
      </c>
      <c r="F31" s="285">
        <f t="shared" si="10"/>
        <v>0</v>
      </c>
      <c r="G31" s="285">
        <f t="shared" si="10"/>
        <v>0</v>
      </c>
      <c r="H31" s="285">
        <f t="shared" si="10"/>
        <v>0</v>
      </c>
      <c r="I31" s="285">
        <f t="shared" si="10"/>
        <v>0</v>
      </c>
      <c r="J31" s="285">
        <f t="shared" si="10"/>
        <v>0</v>
      </c>
      <c r="K31" s="285">
        <f t="shared" si="10"/>
        <v>124430.15803026002</v>
      </c>
      <c r="L31" s="303">
        <f t="shared" si="10"/>
        <v>3.0646433332401526</v>
      </c>
      <c r="M31" s="303">
        <f t="shared" si="10"/>
        <v>2.5914301800182202</v>
      </c>
      <c r="N31" s="303">
        <f t="shared" si="10"/>
        <v>11.517707280615548</v>
      </c>
      <c r="O31" s="303">
        <f t="shared" si="10"/>
        <v>8.3506372710263026</v>
      </c>
      <c r="P31" s="303">
        <f t="shared" si="10"/>
        <v>47.166824644549763</v>
      </c>
      <c r="Q31" s="327">
        <f t="shared" si="10"/>
        <v>44.573394495412842</v>
      </c>
      <c r="R31" s="170"/>
      <c r="S31" s="170"/>
      <c r="T31" s="170"/>
    </row>
    <row r="32" spans="2:20" ht="14.5" x14ac:dyDescent="0.35">
      <c r="B32" s="287" t="s">
        <v>189</v>
      </c>
      <c r="C32" s="156">
        <f>QUARTILE(C25:C29,3)</f>
        <v>22.47</v>
      </c>
      <c r="D32" s="156"/>
      <c r="E32" s="155">
        <f t="shared" ref="E32:Q32" si="11">QUARTILE(E25:E29,3)</f>
        <v>114779.15803026002</v>
      </c>
      <c r="F32" s="155" t="e">
        <f t="shared" si="11"/>
        <v>#NUM!</v>
      </c>
      <c r="G32" s="155" t="e">
        <f t="shared" si="11"/>
        <v>#NUM!</v>
      </c>
      <c r="H32" s="155" t="e">
        <f t="shared" si="11"/>
        <v>#NUM!</v>
      </c>
      <c r="I32" s="155" t="e">
        <f t="shared" si="11"/>
        <v>#NUM!</v>
      </c>
      <c r="J32" s="155" t="e">
        <f t="shared" si="11"/>
        <v>#NUM!</v>
      </c>
      <c r="K32" s="155">
        <f t="shared" si="11"/>
        <v>106671.04050008999</v>
      </c>
      <c r="L32" s="150">
        <f t="shared" si="11"/>
        <v>2.8302336200585647</v>
      </c>
      <c r="M32" s="150">
        <f t="shared" si="11"/>
        <v>2.323086026889662</v>
      </c>
      <c r="N32" s="150">
        <f t="shared" si="11"/>
        <v>10.586645543875544</v>
      </c>
      <c r="O32" s="150">
        <f t="shared" si="11"/>
        <v>6.8420850121115153</v>
      </c>
      <c r="P32" s="150">
        <f t="shared" si="11"/>
        <v>29.089088591207368</v>
      </c>
      <c r="Q32" s="161">
        <f t="shared" si="11"/>
        <v>16.616702355460383</v>
      </c>
      <c r="R32" s="170"/>
      <c r="S32" s="170"/>
      <c r="T32" s="170"/>
    </row>
    <row r="33" spans="2:20" ht="14.5" x14ac:dyDescent="0.35">
      <c r="B33" s="288" t="s">
        <v>147</v>
      </c>
      <c r="C33" s="289">
        <f>MEDIAN(C25:C29)</f>
        <v>19.399999999999999</v>
      </c>
      <c r="D33" s="289"/>
      <c r="E33" s="290">
        <f t="shared" ref="E33:Q33" si="12">MEDIAN(E25:E29)</f>
        <v>107224.37899999999</v>
      </c>
      <c r="F33" s="290" t="e">
        <f t="shared" si="12"/>
        <v>#NUM!</v>
      </c>
      <c r="G33" s="290" t="e">
        <f t="shared" si="12"/>
        <v>#NUM!</v>
      </c>
      <c r="H33" s="290" t="e">
        <f t="shared" si="12"/>
        <v>#NUM!</v>
      </c>
      <c r="I33" s="290" t="e">
        <f t="shared" si="12"/>
        <v>#NUM!</v>
      </c>
      <c r="J33" s="290" t="e">
        <f t="shared" si="12"/>
        <v>#NUM!</v>
      </c>
      <c r="K33" s="290">
        <f t="shared" si="12"/>
        <v>92786.378999999986</v>
      </c>
      <c r="L33" s="304">
        <f t="shared" si="12"/>
        <v>1.0862329599680496</v>
      </c>
      <c r="M33" s="304">
        <f t="shared" si="12"/>
        <v>1.0020225483395744</v>
      </c>
      <c r="N33" s="304">
        <f t="shared" si="12"/>
        <v>7.5719684799038536</v>
      </c>
      <c r="O33" s="304">
        <f t="shared" si="12"/>
        <v>5.5347155899584841</v>
      </c>
      <c r="P33" s="304">
        <f t="shared" si="12"/>
        <v>19.736490884115881</v>
      </c>
      <c r="Q33" s="328">
        <f t="shared" si="12"/>
        <v>16.282608695652172</v>
      </c>
      <c r="R33" s="170"/>
      <c r="S33" s="170"/>
      <c r="T33" s="170"/>
    </row>
    <row r="34" spans="2:20" ht="14.5" x14ac:dyDescent="0.35">
      <c r="B34" s="287" t="s">
        <v>190</v>
      </c>
      <c r="C34" s="156">
        <f>QUARTILE(C25:C29,1)</f>
        <v>12.9</v>
      </c>
      <c r="D34" s="156"/>
      <c r="E34" s="155">
        <f t="shared" ref="E34:Q34" si="13">QUARTILE(E25:E29,1)</f>
        <v>25240.867031099999</v>
      </c>
      <c r="F34" s="155" t="e">
        <f t="shared" si="13"/>
        <v>#NUM!</v>
      </c>
      <c r="G34" s="155" t="e">
        <f t="shared" si="13"/>
        <v>#NUM!</v>
      </c>
      <c r="H34" s="155" t="e">
        <f t="shared" si="13"/>
        <v>#NUM!</v>
      </c>
      <c r="I34" s="155" t="e">
        <f t="shared" si="13"/>
        <v>#NUM!</v>
      </c>
      <c r="J34" s="155" t="e">
        <f t="shared" si="13"/>
        <v>#NUM!</v>
      </c>
      <c r="K34" s="155">
        <f t="shared" si="13"/>
        <v>15079.867031099999</v>
      </c>
      <c r="L34" s="150">
        <f t="shared" si="13"/>
        <v>0.45467864355416288</v>
      </c>
      <c r="M34" s="150">
        <f t="shared" si="13"/>
        <v>0.48355989036316643</v>
      </c>
      <c r="N34" s="150">
        <f t="shared" si="13"/>
        <v>7.3014147780925391</v>
      </c>
      <c r="O34" s="150">
        <f t="shared" si="13"/>
        <v>5.0613454546525958</v>
      </c>
      <c r="P34" s="150">
        <f t="shared" si="13"/>
        <v>16.05496536107205</v>
      </c>
      <c r="Q34" s="161">
        <f t="shared" si="13"/>
        <v>12.162790697674419</v>
      </c>
      <c r="R34" s="170"/>
      <c r="S34" s="170"/>
      <c r="T34" s="170"/>
    </row>
    <row r="35" spans="2:20" ht="14.5" x14ac:dyDescent="0.35">
      <c r="B35" s="292" t="s">
        <v>145</v>
      </c>
      <c r="C35" s="293">
        <f>MIN(C25:C29)</f>
        <v>6.15</v>
      </c>
      <c r="D35" s="293"/>
      <c r="E35" s="294">
        <f t="shared" ref="E35:Q35" si="14">MIN(E25:E29)</f>
        <v>14239.396941849998</v>
      </c>
      <c r="F35" s="294">
        <f t="shared" si="14"/>
        <v>0</v>
      </c>
      <c r="G35" s="294">
        <f t="shared" si="14"/>
        <v>0</v>
      </c>
      <c r="H35" s="294">
        <f t="shared" si="14"/>
        <v>0</v>
      </c>
      <c r="I35" s="294">
        <f t="shared" si="14"/>
        <v>0</v>
      </c>
      <c r="J35" s="294">
        <f t="shared" si="14"/>
        <v>0</v>
      </c>
      <c r="K35" s="294">
        <f t="shared" si="14"/>
        <v>10665.396941849998</v>
      </c>
      <c r="L35" s="305">
        <f t="shared" si="14"/>
        <v>0.29321149195216795</v>
      </c>
      <c r="M35" s="305">
        <f t="shared" si="14"/>
        <v>0.27229806845612131</v>
      </c>
      <c r="N35" s="305">
        <f t="shared" si="14"/>
        <v>4.4015957475481606</v>
      </c>
      <c r="O35" s="305">
        <f t="shared" si="14"/>
        <v>3.6521838292806974</v>
      </c>
      <c r="P35" s="305">
        <f t="shared" si="14"/>
        <v>14.990445859872612</v>
      </c>
      <c r="Q35" s="230">
        <f t="shared" si="14"/>
        <v>10.932203389830507</v>
      </c>
      <c r="R35" s="170"/>
      <c r="S35" s="170"/>
      <c r="T35" s="170"/>
    </row>
    <row r="36" spans="2:20" ht="14.5" x14ac:dyDescent="0.35"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</row>
    <row r="37" spans="2:20" ht="14.5" x14ac:dyDescent="0.35">
      <c r="B37" s="255" t="str">
        <f>B20</f>
        <v>Apple Inc.</v>
      </c>
      <c r="C37" s="296">
        <f>C20</f>
        <v>192.06</v>
      </c>
      <c r="D37" s="296"/>
      <c r="E37" s="257">
        <f>E20</f>
        <v>176796.15127438001</v>
      </c>
      <c r="F37" s="257"/>
      <c r="G37" s="257"/>
      <c r="H37" s="257"/>
      <c r="I37" s="257"/>
      <c r="J37" s="257"/>
      <c r="K37" s="257">
        <f>K20</f>
        <v>141401.15127438001</v>
      </c>
      <c r="L37" s="306">
        <f>IF($K37/L20&gt;0,$K37/L20,"NM")</f>
        <v>3.2956800203794434</v>
      </c>
      <c r="M37" s="306">
        <f>IF($K37/M20&gt;0,$K37/M20,"NM")</f>
        <v>2.6365440163035547</v>
      </c>
      <c r="N37" s="306">
        <f>IF($K37/N20&gt;0,$K37/N20,"NM")</f>
        <v>10.725208682826153</v>
      </c>
      <c r="O37" s="306">
        <f>IF($K37/O20&gt;0,$K37/O20,"NM")</f>
        <v>8.5801669462609222</v>
      </c>
      <c r="P37" s="306">
        <f>IF($C37/P20&gt;0,$C37/P20,"NM")</f>
        <v>21.153537377049183</v>
      </c>
      <c r="Q37" s="325">
        <f ca="1">IF($C37/Q20&gt;0,$C37/Q20,"NM")</f>
        <v>16.574667217958286</v>
      </c>
      <c r="R37" s="170"/>
      <c r="S37" s="170"/>
      <c r="T37" s="170"/>
    </row>
    <row r="39" spans="2:20" x14ac:dyDescent="0.25">
      <c r="N39" s="169"/>
    </row>
  </sheetData>
  <pageMargins left="0.75" right="0.75" top="1" bottom="1" header="0.5" footer="0.5"/>
  <pageSetup orientation="portrait" horizontalDpi="200" verticalDpi="200"/>
  <headerFooter alignWithMargins="0"/>
  <ignoredErrors>
    <ignoredError sqref="O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0128-1F56-46A6-AFE8-9F96FB2B979F}">
  <sheetPr>
    <tabColor theme="4" tint="-0.249977111117893"/>
  </sheetPr>
  <dimension ref="B2:P20"/>
  <sheetViews>
    <sheetView workbookViewId="0">
      <selection activeCell="E178" sqref="E178"/>
    </sheetView>
  </sheetViews>
  <sheetFormatPr defaultColWidth="9.1796875" defaultRowHeight="14.5" x14ac:dyDescent="0.35"/>
  <cols>
    <col min="1" max="1" width="2.6328125" style="168" customWidth="1"/>
    <col min="2" max="2" width="35.36328125" style="168" customWidth="1"/>
    <col min="3" max="3" width="17.453125" style="168" customWidth="1"/>
    <col min="4" max="4" width="10.6328125" style="168" customWidth="1"/>
    <col min="5" max="14" width="10.1796875" style="168" customWidth="1"/>
    <col min="15" max="16" width="10.1796875" customWidth="1"/>
    <col min="17" max="16384" width="9.1796875" style="168"/>
  </cols>
  <sheetData>
    <row r="2" spans="2:14" x14ac:dyDescent="0.35">
      <c r="B2" s="271" t="s">
        <v>165</v>
      </c>
      <c r="C2" s="271"/>
      <c r="D2" s="271"/>
      <c r="E2" s="170"/>
      <c r="F2" s="170"/>
      <c r="G2" s="170"/>
      <c r="H2" s="170"/>
      <c r="I2" s="170"/>
      <c r="J2" s="170"/>
    </row>
    <row r="3" spans="2:14" x14ac:dyDescent="0.35">
      <c r="B3" s="170" t="str">
        <f>'AAPL-3-Statements'!B3</f>
        <v>($ in Millions, Except Per Share Amounts in Dollars and Share Counts in Thousands)</v>
      </c>
      <c r="C3" s="170"/>
      <c r="D3" s="170"/>
      <c r="E3" s="170"/>
      <c r="F3" s="170"/>
      <c r="G3" s="170"/>
      <c r="H3" s="170"/>
      <c r="I3" s="170"/>
      <c r="J3" s="170"/>
    </row>
    <row r="4" spans="2:14" x14ac:dyDescent="0.35">
      <c r="B4" s="170"/>
      <c r="C4" s="170"/>
      <c r="D4" s="170"/>
      <c r="E4" s="170"/>
      <c r="F4" s="170"/>
      <c r="G4" s="170"/>
      <c r="H4" s="170"/>
      <c r="I4" s="170"/>
      <c r="J4" s="170"/>
    </row>
    <row r="5" spans="2:14" x14ac:dyDescent="0.35">
      <c r="B5" s="147" t="str">
        <f>TEXT(Company_Name,"")&amp; " - Comparable M&amp;A Transactions"</f>
        <v>Apple Inc. - Comparable M&amp;A Transactions</v>
      </c>
      <c r="C5" s="171"/>
      <c r="D5" s="171"/>
      <c r="E5" s="275"/>
      <c r="F5" s="275"/>
      <c r="G5" s="148" t="s">
        <v>199</v>
      </c>
      <c r="H5" s="148"/>
      <c r="I5" s="337"/>
      <c r="J5" s="337"/>
      <c r="K5" s="148" t="s">
        <v>200</v>
      </c>
      <c r="L5" s="148"/>
      <c r="M5" s="148"/>
      <c r="N5" s="353"/>
    </row>
    <row r="6" spans="2:14" x14ac:dyDescent="0.35">
      <c r="B6" s="173"/>
      <c r="C6" s="338"/>
      <c r="D6" s="338"/>
      <c r="E6" s="174"/>
      <c r="F6" s="174"/>
      <c r="G6" s="278"/>
      <c r="H6" s="278"/>
      <c r="I6" s="352"/>
      <c r="J6" s="352"/>
      <c r="K6" s="174" t="s">
        <v>201</v>
      </c>
      <c r="L6" s="174" t="s">
        <v>201</v>
      </c>
      <c r="M6" s="174" t="s">
        <v>201</v>
      </c>
      <c r="N6" s="259" t="s">
        <v>201</v>
      </c>
    </row>
    <row r="7" spans="2:14" x14ac:dyDescent="0.35">
      <c r="B7" s="277"/>
      <c r="C7" s="339"/>
      <c r="D7" s="174"/>
      <c r="E7" s="174" t="s">
        <v>171</v>
      </c>
      <c r="F7" s="174" t="s">
        <v>175</v>
      </c>
      <c r="G7" s="174" t="s">
        <v>202</v>
      </c>
      <c r="H7" s="174" t="s">
        <v>203</v>
      </c>
      <c r="I7" s="174" t="s">
        <v>202</v>
      </c>
      <c r="J7" s="174" t="s">
        <v>203</v>
      </c>
      <c r="K7" s="174" t="s">
        <v>202</v>
      </c>
      <c r="L7" s="174" t="s">
        <v>203</v>
      </c>
      <c r="M7" s="174" t="s">
        <v>202</v>
      </c>
      <c r="N7" s="259" t="s">
        <v>203</v>
      </c>
    </row>
    <row r="8" spans="2:14" x14ac:dyDescent="0.35">
      <c r="B8" s="340" t="s">
        <v>204</v>
      </c>
      <c r="C8" s="179" t="s">
        <v>205</v>
      </c>
      <c r="D8" s="179" t="s">
        <v>206</v>
      </c>
      <c r="E8" s="179" t="s">
        <v>182</v>
      </c>
      <c r="F8" s="179" t="s">
        <v>182</v>
      </c>
      <c r="G8" s="179" t="s">
        <v>176</v>
      </c>
      <c r="H8" s="179" t="s">
        <v>176</v>
      </c>
      <c r="I8" s="179" t="s">
        <v>177</v>
      </c>
      <c r="J8" s="179" t="s">
        <v>177</v>
      </c>
      <c r="K8" s="179" t="s">
        <v>176</v>
      </c>
      <c r="L8" s="179" t="s">
        <v>176</v>
      </c>
      <c r="M8" s="179" t="s">
        <v>177</v>
      </c>
      <c r="N8" s="180" t="s">
        <v>177</v>
      </c>
    </row>
    <row r="9" spans="2:14" x14ac:dyDescent="0.35">
      <c r="B9" s="170" t="s">
        <v>191</v>
      </c>
      <c r="C9" s="170" t="s">
        <v>207</v>
      </c>
      <c r="D9" s="341">
        <v>40128</v>
      </c>
      <c r="E9" s="307">
        <v>3180.0633750000006</v>
      </c>
      <c r="F9" s="351">
        <v>2714.2403750000008</v>
      </c>
      <c r="G9" s="307">
        <v>1264.83</v>
      </c>
      <c r="H9" s="307">
        <v>1222.855</v>
      </c>
      <c r="I9" s="351">
        <v>152.23999999999981</v>
      </c>
      <c r="J9" s="351">
        <v>110.21780000000001</v>
      </c>
      <c r="K9" s="329">
        <f t="shared" ref="K9:K14" si="0">IF(ISERROR($F9/G9),"NA",IF($F9/G9&gt;0,$F9/G9,"NM"))</f>
        <v>2.1459329514638337</v>
      </c>
      <c r="L9" s="329">
        <f t="shared" ref="L9:L14" si="1">IF(ISERROR($F9/H9),"NA",IF($F9/H9&gt;0,$F9/H9,"NM"))</f>
        <v>2.2195929811792898</v>
      </c>
      <c r="M9" s="329">
        <f t="shared" ref="M9:M14" si="2">IF(ISERROR($F9/I9),"NA",IF($F9/I9&gt;0,$F9/I9,"NM"))</f>
        <v>17.828694002890202</v>
      </c>
      <c r="N9" s="329">
        <f t="shared" ref="N9:N14" si="3">IF(ISERROR($F9/J9),"NA",IF($F9/J9&gt;0,$F9/J9,"NM"))</f>
        <v>24.626152717619117</v>
      </c>
    </row>
    <row r="10" spans="2:14" x14ac:dyDescent="0.35">
      <c r="B10" s="170" t="s">
        <v>193</v>
      </c>
      <c r="C10" s="170" t="s">
        <v>208</v>
      </c>
      <c r="D10" s="341">
        <v>40099</v>
      </c>
      <c r="E10" s="319">
        <v>2776.6787399999998</v>
      </c>
      <c r="F10" s="319">
        <v>2385.9437399999997</v>
      </c>
      <c r="G10" s="319">
        <v>288.20099999999996</v>
      </c>
      <c r="H10" s="319">
        <v>320</v>
      </c>
      <c r="I10" s="319">
        <v>153.72699999999998</v>
      </c>
      <c r="J10" s="319">
        <v>110.48547524123789</v>
      </c>
      <c r="K10" s="329">
        <f t="shared" si="0"/>
        <v>8.2787489980950788</v>
      </c>
      <c r="L10" s="329">
        <f t="shared" si="1"/>
        <v>7.4560741874999987</v>
      </c>
      <c r="M10" s="329">
        <f t="shared" si="2"/>
        <v>15.520655057341912</v>
      </c>
      <c r="N10" s="329">
        <f t="shared" si="3"/>
        <v>21.595089624137884</v>
      </c>
    </row>
    <row r="11" spans="2:14" x14ac:dyDescent="0.35">
      <c r="B11" s="170" t="s">
        <v>209</v>
      </c>
      <c r="C11" s="170" t="s">
        <v>210</v>
      </c>
      <c r="D11" s="341">
        <v>40092</v>
      </c>
      <c r="E11" s="319">
        <v>1114.4890349999998</v>
      </c>
      <c r="F11" s="319">
        <v>1147.4390349999999</v>
      </c>
      <c r="G11" s="319">
        <v>611.24599999999998</v>
      </c>
      <c r="H11" s="319">
        <v>541.86500000000001</v>
      </c>
      <c r="I11" s="319">
        <v>105.16999999999996</v>
      </c>
      <c r="J11" s="319">
        <v>93.232417144652047</v>
      </c>
      <c r="K11" s="329">
        <f t="shared" si="0"/>
        <v>1.8772131596771184</v>
      </c>
      <c r="L11" s="329">
        <f t="shared" si="1"/>
        <v>2.1175736299631827</v>
      </c>
      <c r="M11" s="329">
        <f t="shared" si="2"/>
        <v>10.910326471427217</v>
      </c>
      <c r="N11" s="329">
        <f t="shared" si="3"/>
        <v>12.307296862417759</v>
      </c>
    </row>
    <row r="12" spans="2:14" x14ac:dyDescent="0.35">
      <c r="B12" s="170" t="s">
        <v>211</v>
      </c>
      <c r="C12" s="342" t="s">
        <v>212</v>
      </c>
      <c r="D12" s="341">
        <v>40002</v>
      </c>
      <c r="E12" s="319">
        <v>2362.3223810000004</v>
      </c>
      <c r="F12" s="319">
        <v>2084.5393810000005</v>
      </c>
      <c r="G12" s="319">
        <v>300.50599999999997</v>
      </c>
      <c r="H12" s="319">
        <v>375.23500000000001</v>
      </c>
      <c r="I12" s="319">
        <v>52.566999999999979</v>
      </c>
      <c r="J12" s="319">
        <v>63.558079183111154</v>
      </c>
      <c r="K12" s="329">
        <f t="shared" si="0"/>
        <v>6.9367645937185971</v>
      </c>
      <c r="L12" s="329">
        <f t="shared" si="1"/>
        <v>5.5552903673697829</v>
      </c>
      <c r="M12" s="329">
        <f t="shared" si="2"/>
        <v>39.654904807198456</v>
      </c>
      <c r="N12" s="329">
        <f t="shared" si="3"/>
        <v>32.797394254071648</v>
      </c>
    </row>
    <row r="13" spans="2:14" x14ac:dyDescent="0.35">
      <c r="B13" s="170" t="s">
        <v>213</v>
      </c>
      <c r="C13" s="342" t="s">
        <v>214</v>
      </c>
      <c r="D13" s="341">
        <v>39923</v>
      </c>
      <c r="E13" s="319">
        <v>7074.7011574999997</v>
      </c>
      <c r="F13" s="319">
        <v>5391.7011574999997</v>
      </c>
      <c r="G13" s="319">
        <v>13256</v>
      </c>
      <c r="H13" s="319">
        <v>12461.7</v>
      </c>
      <c r="I13" s="319">
        <v>623</v>
      </c>
      <c r="J13" s="319">
        <v>558.79999999999995</v>
      </c>
      <c r="K13" s="329">
        <f t="shared" si="0"/>
        <v>0.40673665943723597</v>
      </c>
      <c r="L13" s="329">
        <f t="shared" si="1"/>
        <v>0.43266176825794228</v>
      </c>
      <c r="M13" s="329">
        <f t="shared" si="2"/>
        <v>8.6544159831460661</v>
      </c>
      <c r="N13" s="329">
        <f t="shared" si="3"/>
        <v>9.6487135960987835</v>
      </c>
    </row>
    <row r="14" spans="2:14" x14ac:dyDescent="0.35">
      <c r="B14" s="170" t="s">
        <v>215</v>
      </c>
      <c r="C14" s="342" t="s">
        <v>216</v>
      </c>
      <c r="D14" s="341">
        <v>39650</v>
      </c>
      <c r="E14" s="319">
        <v>2899.1908050000002</v>
      </c>
      <c r="F14" s="319">
        <v>2062.7808050000003</v>
      </c>
      <c r="G14" s="319">
        <v>621.447</v>
      </c>
      <c r="H14" s="319">
        <v>632.98400000000004</v>
      </c>
      <c r="I14" s="319">
        <v>155.99399999999994</v>
      </c>
      <c r="J14" s="319">
        <v>124.761</v>
      </c>
      <c r="K14" s="329">
        <f t="shared" si="0"/>
        <v>3.3193189523804931</v>
      </c>
      <c r="L14" s="329">
        <f t="shared" si="1"/>
        <v>3.2588198200902396</v>
      </c>
      <c r="M14" s="329">
        <f t="shared" si="2"/>
        <v>13.223462472915632</v>
      </c>
      <c r="N14" s="329">
        <f t="shared" si="3"/>
        <v>16.533859178749772</v>
      </c>
    </row>
    <row r="15" spans="2:14" x14ac:dyDescent="0.35"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</row>
    <row r="16" spans="2:14" x14ac:dyDescent="0.35">
      <c r="B16" s="342"/>
      <c r="C16" s="343" t="s">
        <v>148</v>
      </c>
      <c r="D16" s="344"/>
      <c r="E16" s="285">
        <f t="shared" ref="E16:J16" si="4">MAX(E9:E14)</f>
        <v>7074.7011574999997</v>
      </c>
      <c r="F16" s="285">
        <f t="shared" si="4"/>
        <v>5391.7011574999997</v>
      </c>
      <c r="G16" s="285">
        <f t="shared" si="4"/>
        <v>13256</v>
      </c>
      <c r="H16" s="285">
        <f t="shared" si="4"/>
        <v>12461.7</v>
      </c>
      <c r="I16" s="285">
        <f t="shared" si="4"/>
        <v>623</v>
      </c>
      <c r="J16" s="285">
        <f t="shared" si="4"/>
        <v>558.79999999999995</v>
      </c>
      <c r="K16" s="303">
        <f>MAX(K9:K14)</f>
        <v>8.2787489980950788</v>
      </c>
      <c r="L16" s="303">
        <f>MAX(L9:L14)</f>
        <v>7.4560741874999987</v>
      </c>
      <c r="M16" s="303">
        <f>MAX(M9:M14)</f>
        <v>39.654904807198456</v>
      </c>
      <c r="N16" s="327">
        <f>MAX(N9:N14)</f>
        <v>32.797394254071648</v>
      </c>
    </row>
    <row r="17" spans="2:14" x14ac:dyDescent="0.35">
      <c r="B17" s="342"/>
      <c r="C17" s="345" t="s">
        <v>189</v>
      </c>
      <c r="D17" s="346"/>
      <c r="E17" s="155">
        <f t="shared" ref="E17:J17" si="5">QUARTILE(E9:E14,3)</f>
        <v>3109.8452325000007</v>
      </c>
      <c r="F17" s="155">
        <f t="shared" si="5"/>
        <v>2632.1662162500006</v>
      </c>
      <c r="G17" s="155">
        <f t="shared" si="5"/>
        <v>1103.98425</v>
      </c>
      <c r="H17" s="155">
        <f t="shared" si="5"/>
        <v>1075.38725</v>
      </c>
      <c r="I17" s="155">
        <f t="shared" si="5"/>
        <v>155.42724999999996</v>
      </c>
      <c r="J17" s="155">
        <f t="shared" si="5"/>
        <v>121.19211881030947</v>
      </c>
      <c r="K17" s="150">
        <f>QUARTILE(K9:K14,3)</f>
        <v>6.032403183384071</v>
      </c>
      <c r="L17" s="150">
        <f>QUARTILE(L9:L14,3)</f>
        <v>4.981172730549897</v>
      </c>
      <c r="M17" s="150">
        <f>QUARTILE(M9:M14,3)</f>
        <v>17.25168426650313</v>
      </c>
      <c r="N17" s="161">
        <f>QUARTILE(N9:N14,3)</f>
        <v>23.868386944248808</v>
      </c>
    </row>
    <row r="18" spans="2:14" x14ac:dyDescent="0.35">
      <c r="B18" s="253"/>
      <c r="C18" s="347" t="s">
        <v>147</v>
      </c>
      <c r="D18" s="348"/>
      <c r="E18" s="290">
        <f t="shared" ref="E18:J18" si="6">MEDIAN(E9:E14)</f>
        <v>2837.9347724999998</v>
      </c>
      <c r="F18" s="290">
        <f t="shared" si="6"/>
        <v>2235.2415605000001</v>
      </c>
      <c r="G18" s="290">
        <f t="shared" si="6"/>
        <v>616.34649999999999</v>
      </c>
      <c r="H18" s="290">
        <f t="shared" si="6"/>
        <v>587.42450000000008</v>
      </c>
      <c r="I18" s="290">
        <f t="shared" si="6"/>
        <v>152.98349999999988</v>
      </c>
      <c r="J18" s="290">
        <f t="shared" si="6"/>
        <v>110.35163762061896</v>
      </c>
      <c r="K18" s="304">
        <f>MEDIAN(K9:K14)</f>
        <v>2.7326259519221634</v>
      </c>
      <c r="L18" s="304">
        <f>MEDIAN(L9:L14)</f>
        <v>2.7392064006347647</v>
      </c>
      <c r="M18" s="304">
        <f>MEDIAN(M9:M14)</f>
        <v>14.372058765128772</v>
      </c>
      <c r="N18" s="328">
        <f>MEDIAN(N9:N14)</f>
        <v>19.064474401443828</v>
      </c>
    </row>
    <row r="19" spans="2:14" x14ac:dyDescent="0.35">
      <c r="B19" s="342"/>
      <c r="C19" s="345" t="s">
        <v>190</v>
      </c>
      <c r="D19" s="346"/>
      <c r="E19" s="155">
        <f t="shared" ref="E19:J19" si="7">QUARTILE(E9:E14,1)</f>
        <v>2465.9114707500003</v>
      </c>
      <c r="F19" s="155">
        <f t="shared" si="7"/>
        <v>2068.2204490000004</v>
      </c>
      <c r="G19" s="155">
        <f t="shared" si="7"/>
        <v>378.19099999999997</v>
      </c>
      <c r="H19" s="155">
        <f t="shared" si="7"/>
        <v>416.89250000000004</v>
      </c>
      <c r="I19" s="155">
        <f t="shared" si="7"/>
        <v>116.93749999999991</v>
      </c>
      <c r="J19" s="155">
        <f t="shared" si="7"/>
        <v>97.478762858489034</v>
      </c>
      <c r="K19" s="150">
        <f>QUARTILE(K9:K14,1)</f>
        <v>1.9443931076237972</v>
      </c>
      <c r="L19" s="150">
        <f>QUARTILE(L9:L14,1)</f>
        <v>2.1430784677672094</v>
      </c>
      <c r="M19" s="150">
        <f>QUARTILE(M9:M14,1)</f>
        <v>11.488610471799321</v>
      </c>
      <c r="N19" s="161">
        <f>QUARTILE(N9:N14,1)</f>
        <v>13.363937441500763</v>
      </c>
    </row>
    <row r="20" spans="2:14" x14ac:dyDescent="0.35">
      <c r="B20" s="342"/>
      <c r="C20" s="349" t="s">
        <v>145</v>
      </c>
      <c r="D20" s="350"/>
      <c r="E20" s="294">
        <f t="shared" ref="E20:J20" si="8">MIN(E9:E14)</f>
        <v>1114.4890349999998</v>
      </c>
      <c r="F20" s="294">
        <f t="shared" si="8"/>
        <v>1147.4390349999999</v>
      </c>
      <c r="G20" s="294">
        <f t="shared" si="8"/>
        <v>288.20099999999996</v>
      </c>
      <c r="H20" s="294">
        <f t="shared" si="8"/>
        <v>320</v>
      </c>
      <c r="I20" s="294">
        <f t="shared" si="8"/>
        <v>52.566999999999979</v>
      </c>
      <c r="J20" s="294">
        <f t="shared" si="8"/>
        <v>63.558079183111154</v>
      </c>
      <c r="K20" s="305">
        <f>MIN(K9:K14)</f>
        <v>0.40673665943723597</v>
      </c>
      <c r="L20" s="305">
        <f>MIN(L9:L14)</f>
        <v>0.43266176825794228</v>
      </c>
      <c r="M20" s="305">
        <f>MIN(M9:M14)</f>
        <v>8.6544159831460661</v>
      </c>
      <c r="N20" s="230">
        <f>MIN(N9:N14)</f>
        <v>9.6487135960987835</v>
      </c>
    </row>
  </sheetData>
  <pageMargins left="0.75" right="0.75" top="1" bottom="1" header="0.5" footer="0.5"/>
  <pageSetup orientation="portrait" horizontalDpi="200" verticalDpi="2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C441-CBAB-41B1-A8D0-F4E09EB818A2}">
  <sheetPr>
    <tabColor theme="4" tint="-0.249977111117893"/>
  </sheetPr>
  <dimension ref="B2:O56"/>
  <sheetViews>
    <sheetView topLeftCell="B25" workbookViewId="0">
      <selection activeCell="E178" sqref="E178"/>
    </sheetView>
  </sheetViews>
  <sheetFormatPr defaultColWidth="9.1796875" defaultRowHeight="12.5" x14ac:dyDescent="0.25"/>
  <cols>
    <col min="1" max="1" width="2.6328125" style="168" customWidth="1"/>
    <col min="2" max="10" width="9.1796875" style="168" customWidth="1"/>
    <col min="11" max="11" width="2.6328125" style="168" customWidth="1"/>
    <col min="12" max="13" width="9.1796875" style="168"/>
    <col min="14" max="14" width="9.453125" style="168" bestFit="1" customWidth="1"/>
    <col min="15" max="15" width="10" style="168" bestFit="1" customWidth="1"/>
    <col min="16" max="16384" width="9.1796875" style="168"/>
  </cols>
  <sheetData>
    <row r="2" spans="2:15" ht="14.5" x14ac:dyDescent="0.35">
      <c r="B2" s="34" t="str">
        <f>"Discounted Cash Flow Analysis - "&amp;TEXT(Company_Name,"")</f>
        <v>Discounted Cash Flow Analysis - Apple Inc.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</row>
    <row r="3" spans="2:15" ht="14.5" x14ac:dyDescent="0.35">
      <c r="B3" s="143" t="str">
        <f>'AAPL-3-Statements'!B3</f>
        <v>($ in Millions, Except Per Share Amounts in Dollars and Share Counts in Thousands)</v>
      </c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</row>
    <row r="4" spans="2:15" ht="14.5" x14ac:dyDescent="0.35"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</row>
    <row r="5" spans="2:15" ht="14.5" x14ac:dyDescent="0.35">
      <c r="B5" s="147" t="str">
        <f>TEXT(Company_Name,"")&amp; " - Cash Flow Projections"</f>
        <v>Apple Inc. - Cash Flow Projections</v>
      </c>
      <c r="C5" s="171"/>
      <c r="D5" s="171"/>
      <c r="E5" s="171"/>
      <c r="F5" s="171"/>
      <c r="G5" s="171"/>
      <c r="H5" s="171"/>
      <c r="I5" s="171"/>
      <c r="J5" s="172"/>
      <c r="K5" s="170"/>
      <c r="L5" s="147" t="str">
        <f>TEXT(Company_Name,"")&amp; " - DCF Assumptions &amp; Output"</f>
        <v>Apple Inc. - DCF Assumptions &amp; Output</v>
      </c>
      <c r="M5" s="171"/>
      <c r="N5" s="171"/>
      <c r="O5" s="172"/>
    </row>
    <row r="6" spans="2:15" ht="14.5" x14ac:dyDescent="0.35">
      <c r="B6" s="177"/>
      <c r="C6" s="178"/>
      <c r="D6" s="178"/>
      <c r="E6" s="178"/>
      <c r="F6" s="179" t="str">
        <f>'AAPL-3-Statements'!I24</f>
        <v>FY 2010E</v>
      </c>
      <c r="G6" s="179" t="str">
        <f>'AAPL-3-Statements'!J24</f>
        <v>FY 2011E</v>
      </c>
      <c r="H6" s="179" t="str">
        <f>'AAPL-3-Statements'!K24</f>
        <v>FY 2012E</v>
      </c>
      <c r="I6" s="179" t="str">
        <f>'AAPL-3-Statements'!L24</f>
        <v>FY 2013E</v>
      </c>
      <c r="J6" s="180" t="str">
        <f>'AAPL-3-Statements'!M24</f>
        <v>FY 2014E</v>
      </c>
      <c r="K6" s="170"/>
      <c r="L6" s="177"/>
      <c r="M6" s="178"/>
      <c r="N6" s="178"/>
      <c r="O6" s="245"/>
    </row>
    <row r="7" spans="2:15" ht="14.5" x14ac:dyDescent="0.35">
      <c r="B7" s="149"/>
      <c r="C7" s="175"/>
      <c r="D7" s="175"/>
      <c r="E7" s="175"/>
      <c r="F7" s="175"/>
      <c r="G7" s="181"/>
      <c r="H7" s="181"/>
      <c r="I7" s="181"/>
      <c r="J7" s="182"/>
      <c r="K7" s="170"/>
      <c r="L7" s="149"/>
      <c r="M7" s="175"/>
      <c r="N7" s="175"/>
      <c r="O7" s="183"/>
    </row>
    <row r="8" spans="2:15" ht="14.5" x14ac:dyDescent="0.35">
      <c r="B8" s="162" t="s">
        <v>70</v>
      </c>
      <c r="C8" s="175"/>
      <c r="D8" s="175"/>
      <c r="E8" s="175"/>
      <c r="F8" s="234">
        <f>'AAPL-3-Statements'!I66</f>
        <v>53631.25</v>
      </c>
      <c r="G8" s="235">
        <f>'AAPL-3-Statements'!J66</f>
        <v>62748.562499999993</v>
      </c>
      <c r="H8" s="235">
        <f>'AAPL-3-Statements'!K66</f>
        <v>69650.904374999998</v>
      </c>
      <c r="I8" s="235">
        <f>'AAPL-3-Statements'!L66</f>
        <v>75919.485768750004</v>
      </c>
      <c r="J8" s="236">
        <f>'AAPL-3-Statements'!M66</f>
        <v>81233.849772562506</v>
      </c>
      <c r="K8" s="170"/>
      <c r="L8" s="149" t="s">
        <v>227</v>
      </c>
      <c r="M8" s="175"/>
      <c r="N8" s="175"/>
      <c r="O8" s="334">
        <v>1</v>
      </c>
    </row>
    <row r="9" spans="2:15" ht="14.5" x14ac:dyDescent="0.35">
      <c r="B9" s="162" t="s">
        <v>112</v>
      </c>
      <c r="C9" s="175"/>
      <c r="D9" s="175"/>
      <c r="E9" s="175"/>
      <c r="F9" s="231">
        <f>'AAPL-3-Statements'!I91</f>
        <v>16480</v>
      </c>
      <c r="G9" s="232">
        <f>'AAPL-3-Statements'!J91</f>
        <v>19281.599999999999</v>
      </c>
      <c r="H9" s="232">
        <f>'AAPL-3-Statements'!K91</f>
        <v>21402.576000000001</v>
      </c>
      <c r="I9" s="232">
        <f>'AAPL-3-Statements'!L91</f>
        <v>23328.807840000001</v>
      </c>
      <c r="J9" s="233">
        <f>'AAPL-3-Statements'!M91</f>
        <v>24961.824388800007</v>
      </c>
      <c r="K9" s="170"/>
      <c r="L9" s="149" t="s">
        <v>228</v>
      </c>
      <c r="M9" s="175"/>
      <c r="N9" s="175"/>
      <c r="O9" s="363">
        <f>WACC!G34</f>
        <v>0.12496329619422061</v>
      </c>
    </row>
    <row r="10" spans="2:15" ht="14.5" x14ac:dyDescent="0.35">
      <c r="B10" s="162" t="s">
        <v>3</v>
      </c>
      <c r="C10" s="175"/>
      <c r="D10" s="175"/>
      <c r="E10" s="175"/>
      <c r="F10" s="231">
        <f>'AAPL-3-Statements'!I78</f>
        <v>14635</v>
      </c>
      <c r="G10" s="232">
        <f>'AAPL-3-Statements'!J78</f>
        <v>17132.75</v>
      </c>
      <c r="H10" s="232">
        <f>'AAPL-3-Statements'!K78</f>
        <v>19030.422500000004</v>
      </c>
      <c r="I10" s="232">
        <f>'AAPL-3-Statements'!L78</f>
        <v>20760.680525</v>
      </c>
      <c r="J10" s="233">
        <f>'AAPL-3-Statements'!M78</f>
        <v>22217.838161750009</v>
      </c>
      <c r="K10" s="170"/>
      <c r="L10" s="144"/>
      <c r="M10" s="145"/>
      <c r="N10" s="145"/>
      <c r="O10" s="146"/>
    </row>
    <row r="11" spans="2:15" ht="14.5" x14ac:dyDescent="0.35">
      <c r="B11" s="162"/>
      <c r="C11" s="175"/>
      <c r="D11" s="175"/>
      <c r="E11" s="175"/>
      <c r="F11" s="187"/>
      <c r="G11" s="187"/>
      <c r="H11" s="187"/>
      <c r="I11" s="187"/>
      <c r="J11" s="188"/>
      <c r="K11" s="170"/>
      <c r="L11" s="149" t="s">
        <v>229</v>
      </c>
      <c r="M11" s="175"/>
      <c r="N11" s="190"/>
      <c r="O11" s="269">
        <v>7</v>
      </c>
    </row>
    <row r="12" spans="2:15" ht="14.5" x14ac:dyDescent="0.35">
      <c r="B12" s="162" t="s">
        <v>217</v>
      </c>
      <c r="C12" s="175"/>
      <c r="D12" s="175"/>
      <c r="E12" s="175"/>
      <c r="F12" s="184">
        <f>-F10*Tax_Rate</f>
        <v>-4390.5</v>
      </c>
      <c r="G12" s="184">
        <f>-G10*Tax_Rate</f>
        <v>-5139.8249999999998</v>
      </c>
      <c r="H12" s="184">
        <f>-H10*Tax_Rate</f>
        <v>-5709.1267500000013</v>
      </c>
      <c r="I12" s="184">
        <f>-I10*Tax_Rate</f>
        <v>-6228.2041574999994</v>
      </c>
      <c r="J12" s="241">
        <f>-J10*Tax_Rate</f>
        <v>-6665.3514485250025</v>
      </c>
      <c r="K12" s="170"/>
      <c r="L12" s="149" t="s">
        <v>230</v>
      </c>
      <c r="M12" s="175"/>
      <c r="N12" s="190"/>
      <c r="O12" s="270">
        <v>0.03</v>
      </c>
    </row>
    <row r="13" spans="2:15" ht="14.5" x14ac:dyDescent="0.35">
      <c r="B13" s="162"/>
      <c r="C13" s="175"/>
      <c r="D13" s="175"/>
      <c r="E13" s="175"/>
      <c r="F13" s="187"/>
      <c r="G13" s="187"/>
      <c r="H13" s="187"/>
      <c r="I13" s="187"/>
      <c r="J13" s="188"/>
      <c r="K13" s="170"/>
      <c r="L13" s="149" t="s">
        <v>231</v>
      </c>
      <c r="M13" s="175"/>
      <c r="N13" s="175"/>
      <c r="O13" s="186">
        <f>IF(O8,O11*J9,J21*(1+O12)/(O9-O12))</f>
        <v>174732.77072160004</v>
      </c>
    </row>
    <row r="14" spans="2:15" ht="14.5" x14ac:dyDescent="0.35">
      <c r="B14" s="162" t="s">
        <v>218</v>
      </c>
      <c r="C14" s="175"/>
      <c r="D14" s="175"/>
      <c r="E14" s="175"/>
      <c r="F14" s="231">
        <f>'AAPL-3-Statements'!I144</f>
        <v>917.49999999999989</v>
      </c>
      <c r="G14" s="231">
        <f>'AAPL-3-Statements'!J144</f>
        <v>1073.4749999999997</v>
      </c>
      <c r="H14" s="231">
        <f>'AAPL-3-Statements'!K144</f>
        <v>1191.5572499999998</v>
      </c>
      <c r="I14" s="231">
        <f>'AAPL-3-Statements'!L144</f>
        <v>1298.7974024999999</v>
      </c>
      <c r="J14" s="242">
        <f>'AAPL-3-Statements'!M144</f>
        <v>1389.713220675</v>
      </c>
      <c r="K14" s="170"/>
      <c r="L14" s="144"/>
      <c r="M14" s="145"/>
      <c r="N14" s="145"/>
      <c r="O14" s="146"/>
    </row>
    <row r="15" spans="2:15" ht="14.5" x14ac:dyDescent="0.35">
      <c r="B15" s="162" t="s">
        <v>219</v>
      </c>
      <c r="C15" s="175"/>
      <c r="D15" s="175"/>
      <c r="E15" s="175"/>
      <c r="F15" s="231">
        <f>'AAPL-3-Statements'!I145</f>
        <v>40</v>
      </c>
      <c r="G15" s="231">
        <f>'AAPL-3-Statements'!J145</f>
        <v>37</v>
      </c>
      <c r="H15" s="231">
        <f>'AAPL-3-Statements'!K145</f>
        <v>28</v>
      </c>
      <c r="I15" s="231">
        <f>'AAPL-3-Statements'!L145</f>
        <v>13</v>
      </c>
      <c r="J15" s="242">
        <f>'AAPL-3-Statements'!M145</f>
        <v>10</v>
      </c>
      <c r="K15" s="170"/>
      <c r="L15" s="149" t="s">
        <v>232</v>
      </c>
      <c r="M15" s="175"/>
      <c r="N15" s="175"/>
      <c r="O15" s="241">
        <f>IF(O8,O13/((1+O9)^J24),O13/((1+O9)^J25))</f>
        <v>96980.093402754341</v>
      </c>
    </row>
    <row r="16" spans="2:15" ht="14.5" x14ac:dyDescent="0.35">
      <c r="B16" s="162" t="s">
        <v>220</v>
      </c>
      <c r="C16" s="175"/>
      <c r="D16" s="175"/>
      <c r="E16" s="175"/>
      <c r="F16" s="231">
        <f>'AAPL-3-Statements'!I146</f>
        <v>887.5</v>
      </c>
      <c r="G16" s="231">
        <f>'AAPL-3-Statements'!J146</f>
        <v>1038.3749999999998</v>
      </c>
      <c r="H16" s="231">
        <f>'AAPL-3-Statements'!K146</f>
        <v>1152.5962499999998</v>
      </c>
      <c r="I16" s="231">
        <f>'AAPL-3-Statements'!L146</f>
        <v>1256.3299125000001</v>
      </c>
      <c r="J16" s="242">
        <f>'AAPL-3-Statements'!M146</f>
        <v>1344.273006375</v>
      </c>
      <c r="K16" s="170"/>
      <c r="L16" s="149" t="s">
        <v>233</v>
      </c>
      <c r="M16" s="175"/>
      <c r="N16" s="175"/>
      <c r="O16" s="241">
        <f>SUM(F22:J22)</f>
        <v>56296.251451195785</v>
      </c>
    </row>
    <row r="17" spans="2:15" ht="14.5" x14ac:dyDescent="0.35">
      <c r="B17" s="162"/>
      <c r="C17" s="175"/>
      <c r="D17" s="175"/>
      <c r="E17" s="175"/>
      <c r="F17" s="159"/>
      <c r="G17" s="159"/>
      <c r="H17" s="159"/>
      <c r="I17" s="159"/>
      <c r="J17" s="191"/>
      <c r="K17" s="170"/>
      <c r="L17" s="162" t="s">
        <v>120</v>
      </c>
      <c r="M17" s="175"/>
      <c r="N17" s="175"/>
      <c r="O17" s="357">
        <f>SUM(O15:O16)</f>
        <v>153276.34485395014</v>
      </c>
    </row>
    <row r="18" spans="2:15" ht="14.5" x14ac:dyDescent="0.35">
      <c r="B18" s="162" t="s">
        <v>254</v>
      </c>
      <c r="C18" s="175"/>
      <c r="D18" s="175"/>
      <c r="E18" s="175"/>
      <c r="F18" s="184">
        <f>SUM('AAPL-3-Statements'!I150:I156)</f>
        <v>2135.7499999999991</v>
      </c>
      <c r="G18" s="184">
        <f>SUM('AAPL-3-Statements'!J150:J156)</f>
        <v>1815.3874999999998</v>
      </c>
      <c r="H18" s="184">
        <f>SUM('AAPL-3-Statements'!K150:K156)</f>
        <v>1374.3551250000005</v>
      </c>
      <c r="I18" s="184">
        <f>SUM('AAPL-3-Statements'!L150:L156)</f>
        <v>1248.164336250002</v>
      </c>
      <c r="J18" s="241">
        <f>SUM('AAPL-3-Statements'!M150:M156)</f>
        <v>1058.1659872874975</v>
      </c>
      <c r="K18" s="170"/>
      <c r="L18" s="149"/>
      <c r="M18" s="175"/>
      <c r="N18" s="175"/>
      <c r="O18" s="176"/>
    </row>
    <row r="19" spans="2:15" ht="14.5" x14ac:dyDescent="0.35">
      <c r="B19" s="162" t="s">
        <v>221</v>
      </c>
      <c r="C19" s="175"/>
      <c r="D19" s="175"/>
      <c r="E19" s="175"/>
      <c r="F19" s="231">
        <f>'AAPL-3-Statements'!I163</f>
        <v>-1430</v>
      </c>
      <c r="G19" s="231">
        <f>'AAPL-3-Statements'!J163</f>
        <v>-1673.1</v>
      </c>
      <c r="H19" s="231">
        <f>'AAPL-3-Statements'!K163</f>
        <v>-1857.1410000000001</v>
      </c>
      <c r="I19" s="231">
        <f>'AAPL-3-Statements'!L163</f>
        <v>-2024.2836900000002</v>
      </c>
      <c r="J19" s="242">
        <f>'AAPL-3-Statements'!M163</f>
        <v>-2165.9835483000002</v>
      </c>
      <c r="K19" s="170"/>
      <c r="L19" s="149" t="s">
        <v>234</v>
      </c>
      <c r="M19" s="175"/>
      <c r="N19" s="175"/>
      <c r="O19" s="189">
        <f>O15/O17</f>
        <v>0.63271402704156432</v>
      </c>
    </row>
    <row r="20" spans="2:15" ht="14.5" x14ac:dyDescent="0.35">
      <c r="B20" s="149"/>
      <c r="C20" s="175"/>
      <c r="D20" s="175"/>
      <c r="E20" s="175"/>
      <c r="F20" s="175"/>
      <c r="G20" s="175"/>
      <c r="H20" s="175"/>
      <c r="I20" s="175"/>
      <c r="J20" s="176"/>
      <c r="K20" s="170"/>
      <c r="L20" s="149"/>
      <c r="M20" s="175"/>
      <c r="N20" s="175"/>
      <c r="O20" s="176"/>
    </row>
    <row r="21" spans="2:15" ht="14.5" x14ac:dyDescent="0.35">
      <c r="B21" s="192" t="s">
        <v>222</v>
      </c>
      <c r="C21" s="193"/>
      <c r="D21" s="193"/>
      <c r="E21" s="193"/>
      <c r="F21" s="243">
        <f>F10+F12+F14+F15+F16+F18+F19</f>
        <v>12795.25</v>
      </c>
      <c r="G21" s="194">
        <f>G10+G12+G14+G15+G16+G18+G19</f>
        <v>14284.062499999998</v>
      </c>
      <c r="H21" s="194">
        <f>H10+H12+H14+H15+H16+H18+H19</f>
        <v>15210.663375000004</v>
      </c>
      <c r="I21" s="194">
        <f>I10+I12+I14+I15+I16+I18+I19</f>
        <v>16324.484328750004</v>
      </c>
      <c r="J21" s="195">
        <f>J10+J12+J14+J15+J16+J18+J19</f>
        <v>17188.655379262505</v>
      </c>
      <c r="K21" s="170"/>
      <c r="L21" s="149" t="s">
        <v>120</v>
      </c>
      <c r="M21" s="175"/>
      <c r="N21" s="175"/>
      <c r="O21" s="241">
        <f>O17</f>
        <v>153276.34485395014</v>
      </c>
    </row>
    <row r="22" spans="2:15" ht="14.5" x14ac:dyDescent="0.35">
      <c r="B22" s="196" t="s">
        <v>223</v>
      </c>
      <c r="C22" s="197"/>
      <c r="D22" s="197"/>
      <c r="E22" s="197"/>
      <c r="F22" s="244">
        <f>F21/((1+$O$9)^F25)</f>
        <v>12063.674183243244</v>
      </c>
      <c r="G22" s="198">
        <f>G21/((1+$O$9)^G25)</f>
        <v>11971.37987817811</v>
      </c>
      <c r="H22" s="198">
        <f>H21/((1+$O$9)^H25)</f>
        <v>11331.887971866032</v>
      </c>
      <c r="I22" s="198">
        <f>I21/((1+$O$9)^I25)</f>
        <v>10810.735341429281</v>
      </c>
      <c r="J22" s="199">
        <f>J21/((1+$O$9)^J25)</f>
        <v>10118.574076479119</v>
      </c>
      <c r="K22" s="170"/>
      <c r="L22" s="149" t="s">
        <v>235</v>
      </c>
      <c r="M22" s="175"/>
      <c r="N22" s="175"/>
      <c r="O22" s="241">
        <f>'AAPL-3-Statements'!E15-'AAPL-3-Statements'!E16-'AAPL-3-Statements'!E17-'AAPL-3-Statements'!E18-'AAPL-3-Statements'!E19</f>
        <v>35395</v>
      </c>
    </row>
    <row r="23" spans="2:15" ht="14.5" x14ac:dyDescent="0.35">
      <c r="B23" s="149"/>
      <c r="C23" s="175"/>
      <c r="D23" s="175"/>
      <c r="E23" s="175"/>
      <c r="F23" s="175"/>
      <c r="G23" s="200"/>
      <c r="H23" s="175"/>
      <c r="I23" s="175"/>
      <c r="J23" s="176"/>
      <c r="K23" s="170"/>
      <c r="L23" s="162" t="s">
        <v>236</v>
      </c>
      <c r="M23" s="175"/>
      <c r="N23" s="175"/>
      <c r="O23" s="357">
        <f>SUM(O21:O22)</f>
        <v>188671.34485395014</v>
      </c>
    </row>
    <row r="24" spans="2:15" ht="14.5" x14ac:dyDescent="0.35">
      <c r="B24" s="201" t="s">
        <v>224</v>
      </c>
      <c r="C24" s="175"/>
      <c r="D24" s="175"/>
      <c r="E24" s="175"/>
      <c r="F24" s="268">
        <v>1</v>
      </c>
      <c r="G24" s="202">
        <f t="shared" ref="G24:J25" si="0">F24+1</f>
        <v>2</v>
      </c>
      <c r="H24" s="202">
        <f t="shared" si="0"/>
        <v>3</v>
      </c>
      <c r="I24" s="202">
        <f t="shared" si="0"/>
        <v>4</v>
      </c>
      <c r="J24" s="203">
        <f t="shared" si="0"/>
        <v>5</v>
      </c>
      <c r="K24" s="170"/>
      <c r="L24" s="149"/>
      <c r="M24" s="175"/>
      <c r="N24" s="175"/>
      <c r="O24" s="176"/>
    </row>
    <row r="25" spans="2:15" ht="14.5" x14ac:dyDescent="0.35">
      <c r="B25" s="201" t="s">
        <v>225</v>
      </c>
      <c r="C25" s="175"/>
      <c r="D25" s="175"/>
      <c r="E25" s="175"/>
      <c r="F25" s="268">
        <v>0.5</v>
      </c>
      <c r="G25" s="202">
        <f t="shared" si="0"/>
        <v>1.5</v>
      </c>
      <c r="H25" s="202">
        <f t="shared" si="0"/>
        <v>2.5</v>
      </c>
      <c r="I25" s="202">
        <f t="shared" si="0"/>
        <v>3.5</v>
      </c>
      <c r="J25" s="203">
        <f t="shared" si="0"/>
        <v>4.5</v>
      </c>
      <c r="K25" s="204"/>
      <c r="L25" s="162" t="s">
        <v>237</v>
      </c>
      <c r="M25" s="175"/>
      <c r="N25" s="175"/>
      <c r="O25" s="210">
        <f>O23*Units/Diluted_Shares</f>
        <v>204.96044869445498</v>
      </c>
    </row>
    <row r="26" spans="2:15" ht="14.5" x14ac:dyDescent="0.35">
      <c r="B26" s="149"/>
      <c r="C26" s="175"/>
      <c r="D26" s="175"/>
      <c r="E26" s="175"/>
      <c r="F26" s="175"/>
      <c r="G26" s="185"/>
      <c r="H26" s="175"/>
      <c r="I26" s="175"/>
      <c r="J26" s="176"/>
      <c r="K26" s="170"/>
      <c r="L26" s="246"/>
      <c r="M26" s="246"/>
      <c r="N26" s="246"/>
      <c r="O26" s="246"/>
    </row>
    <row r="27" spans="2:15" ht="14.5" x14ac:dyDescent="0.35">
      <c r="B27" s="205" t="s">
        <v>226</v>
      </c>
      <c r="C27" s="206"/>
      <c r="D27" s="206"/>
      <c r="E27" s="206"/>
      <c r="F27" s="206"/>
      <c r="G27" s="207">
        <f>G21/F21-1</f>
        <v>0.11635665579023446</v>
      </c>
      <c r="H27" s="208">
        <f>H21/G21-1</f>
        <v>6.4869561793082786E-2</v>
      </c>
      <c r="I27" s="208">
        <f>I21/H21-1</f>
        <v>7.3226323289795392E-2</v>
      </c>
      <c r="J27" s="209">
        <f>J21/I21-1</f>
        <v>5.2937111709590701E-2</v>
      </c>
      <c r="K27" s="170"/>
      <c r="L27" s="184"/>
      <c r="M27" s="175"/>
      <c r="N27" s="175"/>
      <c r="O27" s="175"/>
    </row>
    <row r="28" spans="2:15" ht="14.5" x14ac:dyDescent="0.35"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84"/>
      <c r="M28" s="175"/>
      <c r="N28" s="175"/>
      <c r="O28" s="247"/>
    </row>
    <row r="29" spans="2:15" ht="14.5" x14ac:dyDescent="0.35">
      <c r="B29" s="147" t="str">
        <f>TEXT(Company_Name,"")&amp; " - Net Present Value Sensitivity - Terminal Growth Rates"</f>
        <v>Apple Inc. - Net Present Value Sensitivity - Terminal Growth Rates</v>
      </c>
      <c r="C29" s="171"/>
      <c r="D29" s="171"/>
      <c r="E29" s="171"/>
      <c r="F29" s="171"/>
      <c r="G29" s="171"/>
      <c r="H29" s="171"/>
      <c r="I29" s="171"/>
      <c r="J29" s="172"/>
      <c r="K29" s="170"/>
      <c r="L29" s="175"/>
      <c r="M29" s="175"/>
      <c r="N29" s="175"/>
      <c r="O29" s="222"/>
    </row>
    <row r="30" spans="2:15" ht="14.5" x14ac:dyDescent="0.35">
      <c r="B30" s="149"/>
      <c r="C30" s="175"/>
      <c r="D30" s="211" t="s">
        <v>238</v>
      </c>
      <c r="E30" s="211"/>
      <c r="F30" s="211"/>
      <c r="G30" s="211"/>
      <c r="H30" s="211"/>
      <c r="I30" s="211"/>
      <c r="J30" s="212"/>
      <c r="K30" s="170"/>
      <c r="L30" s="175"/>
      <c r="M30" s="175"/>
      <c r="N30" s="175"/>
      <c r="O30" s="175"/>
    </row>
    <row r="31" spans="2:15" ht="14.5" x14ac:dyDescent="0.35">
      <c r="B31" s="149"/>
      <c r="C31" s="213">
        <f>O25</f>
        <v>204.96044869445498</v>
      </c>
      <c r="D31" s="354">
        <v>0.1</v>
      </c>
      <c r="E31" s="214">
        <f t="shared" ref="E31:J31" si="1">D31+1%</f>
        <v>0.11</v>
      </c>
      <c r="F31" s="214">
        <f t="shared" si="1"/>
        <v>0.12</v>
      </c>
      <c r="G31" s="215">
        <f t="shared" si="1"/>
        <v>0.13</v>
      </c>
      <c r="H31" s="214">
        <f t="shared" si="1"/>
        <v>0.14000000000000001</v>
      </c>
      <c r="I31" s="214">
        <f t="shared" si="1"/>
        <v>0.15000000000000002</v>
      </c>
      <c r="J31" s="216">
        <f t="shared" si="1"/>
        <v>0.16000000000000003</v>
      </c>
      <c r="K31" s="170"/>
      <c r="L31" s="175"/>
      <c r="M31" s="248"/>
      <c r="N31" s="249"/>
      <c r="O31" s="248"/>
    </row>
    <row r="32" spans="2:15" ht="15" customHeight="1" x14ac:dyDescent="0.35">
      <c r="B32" s="496" t="s">
        <v>239</v>
      </c>
      <c r="C32" s="270">
        <v>0</v>
      </c>
      <c r="D32" s="217">
        <f t="dataTable" ref="D32:J37" dt2D="1" dtr="0" r1="O9" r2="O12" ca="1"/>
        <v>220.90081641642482</v>
      </c>
      <c r="E32" s="218">
        <v>214.27270299807606</v>
      </c>
      <c r="F32" s="218">
        <v>207.97205651980394</v>
      </c>
      <c r="G32" s="219">
        <v>201.97959221219185</v>
      </c>
      <c r="H32" s="218">
        <v>196.27732804523325</v>
      </c>
      <c r="I32" s="218">
        <v>190.84848594644518</v>
      </c>
      <c r="J32" s="220">
        <v>185.67740130157213</v>
      </c>
      <c r="K32" s="170"/>
      <c r="L32" s="175"/>
      <c r="M32" s="248"/>
      <c r="N32" s="248"/>
      <c r="O32" s="248"/>
    </row>
    <row r="33" spans="2:15" ht="14.5" x14ac:dyDescent="0.35">
      <c r="B33" s="497"/>
      <c r="C33" s="189">
        <f>C32+1%</f>
        <v>0.01</v>
      </c>
      <c r="D33" s="221">
        <v>220.90081641642482</v>
      </c>
      <c r="E33" s="153">
        <v>214.27270299807606</v>
      </c>
      <c r="F33" s="153">
        <v>207.97205651980394</v>
      </c>
      <c r="G33" s="222">
        <v>201.97959221219185</v>
      </c>
      <c r="H33" s="153">
        <v>196.27732804523325</v>
      </c>
      <c r="I33" s="153">
        <v>190.84848594644518</v>
      </c>
      <c r="J33" s="154">
        <v>185.67740130157213</v>
      </c>
      <c r="K33" s="170"/>
      <c r="L33" s="170"/>
      <c r="M33" s="170"/>
      <c r="N33" s="170"/>
      <c r="O33" s="170"/>
    </row>
    <row r="34" spans="2:15" ht="14.5" x14ac:dyDescent="0.35">
      <c r="B34" s="497"/>
      <c r="C34" s="189">
        <f>C33+1%</f>
        <v>0.02</v>
      </c>
      <c r="D34" s="221">
        <v>220.90081641642482</v>
      </c>
      <c r="E34" s="153">
        <v>214.27270299807606</v>
      </c>
      <c r="F34" s="153">
        <v>207.97205651980394</v>
      </c>
      <c r="G34" s="222">
        <v>201.97959221219185</v>
      </c>
      <c r="H34" s="153">
        <v>196.27732804523325</v>
      </c>
      <c r="I34" s="153">
        <v>190.84848594644518</v>
      </c>
      <c r="J34" s="154">
        <v>185.67740130157213</v>
      </c>
      <c r="K34" s="170"/>
      <c r="L34" s="175"/>
      <c r="M34" s="170"/>
      <c r="N34" s="175"/>
      <c r="O34" s="175"/>
    </row>
    <row r="35" spans="2:15" ht="14.5" x14ac:dyDescent="0.35">
      <c r="B35" s="497"/>
      <c r="C35" s="223">
        <f>C34+1%</f>
        <v>0.03</v>
      </c>
      <c r="D35" s="224">
        <v>220.90081641642482</v>
      </c>
      <c r="E35" s="222">
        <v>214.27270299807606</v>
      </c>
      <c r="F35" s="222">
        <v>207.97205651980394</v>
      </c>
      <c r="G35" s="222">
        <v>201.97959221219185</v>
      </c>
      <c r="H35" s="222">
        <v>196.27732804523325</v>
      </c>
      <c r="I35" s="222">
        <v>190.84848594644518</v>
      </c>
      <c r="J35" s="210">
        <v>185.67740130157213</v>
      </c>
      <c r="K35" s="170"/>
      <c r="L35" s="175"/>
      <c r="M35" s="170"/>
      <c r="N35" s="175"/>
      <c r="O35" s="175"/>
    </row>
    <row r="36" spans="2:15" ht="14.5" x14ac:dyDescent="0.35">
      <c r="B36" s="497"/>
      <c r="C36" s="189">
        <f>C35+1%</f>
        <v>0.04</v>
      </c>
      <c r="D36" s="221">
        <v>220.90081641642482</v>
      </c>
      <c r="E36" s="153">
        <v>214.27270299807606</v>
      </c>
      <c r="F36" s="153">
        <v>207.97205651980394</v>
      </c>
      <c r="G36" s="222">
        <v>201.97959221219185</v>
      </c>
      <c r="H36" s="153">
        <v>196.27732804523325</v>
      </c>
      <c r="I36" s="153">
        <v>190.84848594644518</v>
      </c>
      <c r="J36" s="154">
        <v>185.67740130157213</v>
      </c>
      <c r="K36" s="170"/>
      <c r="L36" s="175"/>
      <c r="M36" s="170"/>
      <c r="N36" s="175"/>
      <c r="O36" s="175"/>
    </row>
    <row r="37" spans="2:15" ht="14.5" x14ac:dyDescent="0.35">
      <c r="B37" s="498"/>
      <c r="C37" s="225">
        <f>C36+1%</f>
        <v>0.05</v>
      </c>
      <c r="D37" s="226">
        <v>220.90081641642482</v>
      </c>
      <c r="E37" s="164">
        <v>214.27270299807606</v>
      </c>
      <c r="F37" s="164">
        <v>207.97205651980394</v>
      </c>
      <c r="G37" s="227">
        <v>201.97959221219185</v>
      </c>
      <c r="H37" s="164">
        <v>196.27732804523325</v>
      </c>
      <c r="I37" s="164">
        <v>190.84848594644518</v>
      </c>
      <c r="J37" s="165">
        <v>185.67740130157213</v>
      </c>
      <c r="K37" s="170"/>
      <c r="L37" s="175"/>
      <c r="M37" s="175"/>
      <c r="N37" s="175"/>
      <c r="O37" s="175"/>
    </row>
    <row r="38" spans="2:15" ht="14.5" x14ac:dyDescent="0.35">
      <c r="B38" s="228"/>
      <c r="C38" s="170"/>
      <c r="D38" s="170"/>
      <c r="E38" s="170"/>
      <c r="F38" s="170"/>
      <c r="G38" s="170"/>
      <c r="H38" s="170"/>
      <c r="I38" s="170"/>
      <c r="J38" s="170"/>
      <c r="K38" s="170"/>
      <c r="L38" s="175"/>
      <c r="M38" s="175"/>
      <c r="N38" s="175"/>
      <c r="O38" s="175"/>
    </row>
    <row r="39" spans="2:15" ht="14.5" x14ac:dyDescent="0.35">
      <c r="B39" s="147" t="str">
        <f>TEXT(Company_Name,"")&amp; " - Net Present Value Sensitivity - Terminal EBITDA Multiples"</f>
        <v>Apple Inc. - Net Present Value Sensitivity - Terminal EBITDA Multiples</v>
      </c>
      <c r="C39" s="171"/>
      <c r="D39" s="171"/>
      <c r="E39" s="171"/>
      <c r="F39" s="171"/>
      <c r="G39" s="171"/>
      <c r="H39" s="171"/>
      <c r="I39" s="171"/>
      <c r="J39" s="172"/>
      <c r="K39" s="170"/>
      <c r="L39" s="175"/>
      <c r="M39" s="175"/>
      <c r="N39" s="175"/>
      <c r="O39" s="175"/>
    </row>
    <row r="40" spans="2:15" ht="14.5" x14ac:dyDescent="0.35">
      <c r="B40" s="149"/>
      <c r="C40" s="175"/>
      <c r="D40" s="211" t="str">
        <f>D30</f>
        <v>Discount Rate</v>
      </c>
      <c r="E40" s="211"/>
      <c r="F40" s="211"/>
      <c r="G40" s="211"/>
      <c r="H40" s="211"/>
      <c r="I40" s="211"/>
      <c r="J40" s="212"/>
      <c r="K40" s="170"/>
      <c r="L40" s="175"/>
      <c r="M40" s="175"/>
      <c r="N40" s="175"/>
      <c r="O40" s="175"/>
    </row>
    <row r="41" spans="2:15" ht="14.5" x14ac:dyDescent="0.35">
      <c r="B41" s="149"/>
      <c r="C41" s="213">
        <f>O25</f>
        <v>204.96044869445498</v>
      </c>
      <c r="D41" s="214">
        <f>D31</f>
        <v>0.1</v>
      </c>
      <c r="E41" s="214">
        <f t="shared" ref="E41:J41" si="2">E31</f>
        <v>0.11</v>
      </c>
      <c r="F41" s="214">
        <f t="shared" si="2"/>
        <v>0.12</v>
      </c>
      <c r="G41" s="215">
        <f t="shared" si="2"/>
        <v>0.13</v>
      </c>
      <c r="H41" s="214">
        <f t="shared" si="2"/>
        <v>0.14000000000000001</v>
      </c>
      <c r="I41" s="214">
        <f t="shared" si="2"/>
        <v>0.15000000000000002</v>
      </c>
      <c r="J41" s="216">
        <f t="shared" si="2"/>
        <v>0.16000000000000003</v>
      </c>
      <c r="K41" s="170"/>
      <c r="L41" s="175"/>
      <c r="M41" s="175"/>
      <c r="N41" s="175"/>
      <c r="O41" s="175"/>
    </row>
    <row r="42" spans="2:15" ht="15" customHeight="1" x14ac:dyDescent="0.35">
      <c r="B42" s="496" t="s">
        <v>240</v>
      </c>
      <c r="C42" s="269">
        <v>4</v>
      </c>
      <c r="D42" s="217">
        <f t="dataTable" ref="D42:J47" dt2D="1" dtr="0" r1="O9" r2="O11"/>
        <v>170.38838538486783</v>
      </c>
      <c r="E42" s="218">
        <v>165.99497735732206</v>
      </c>
      <c r="F42" s="218">
        <v>161.81144188069558</v>
      </c>
      <c r="G42" s="219">
        <v>157.82565061651485</v>
      </c>
      <c r="H42" s="218">
        <v>154.02628453270808</v>
      </c>
      <c r="I42" s="218">
        <v>150.40277306849174</v>
      </c>
      <c r="J42" s="220">
        <v>146.94523836690465</v>
      </c>
      <c r="K42" s="170"/>
      <c r="L42" s="175"/>
      <c r="M42" s="175"/>
      <c r="N42" s="175"/>
      <c r="O42" s="175"/>
    </row>
    <row r="43" spans="2:15" ht="14.5" x14ac:dyDescent="0.35">
      <c r="B43" s="497"/>
      <c r="C43" s="161">
        <f>C42+1</f>
        <v>5</v>
      </c>
      <c r="D43" s="221">
        <v>187.2258623953868</v>
      </c>
      <c r="E43" s="153">
        <v>182.08755257090672</v>
      </c>
      <c r="F43" s="153">
        <v>177.19831342706505</v>
      </c>
      <c r="G43" s="222">
        <v>172.54363114840717</v>
      </c>
      <c r="H43" s="153">
        <v>168.10996570354985</v>
      </c>
      <c r="I43" s="153">
        <v>163.88467736114288</v>
      </c>
      <c r="J43" s="154">
        <v>159.85595934512713</v>
      </c>
      <c r="K43" s="170"/>
      <c r="L43" s="175"/>
      <c r="M43" s="175"/>
      <c r="N43" s="175"/>
      <c r="O43" s="175"/>
    </row>
    <row r="44" spans="2:15" ht="14.5" x14ac:dyDescent="0.35">
      <c r="B44" s="497"/>
      <c r="C44" s="161">
        <f>C43+1</f>
        <v>6</v>
      </c>
      <c r="D44" s="221">
        <v>204.06333940590582</v>
      </c>
      <c r="E44" s="153">
        <v>198.18012778449139</v>
      </c>
      <c r="F44" s="153">
        <v>192.58518497343451</v>
      </c>
      <c r="G44" s="222">
        <v>187.26161168029952</v>
      </c>
      <c r="H44" s="153">
        <v>182.19364687439153</v>
      </c>
      <c r="I44" s="153">
        <v>177.36658165379401</v>
      </c>
      <c r="J44" s="154">
        <v>172.76668032334962</v>
      </c>
      <c r="K44" s="170"/>
      <c r="L44" s="175"/>
      <c r="M44" s="175"/>
      <c r="N44" s="175"/>
      <c r="O44" s="175"/>
    </row>
    <row r="45" spans="2:15" ht="14.5" x14ac:dyDescent="0.35">
      <c r="B45" s="497"/>
      <c r="C45" s="229">
        <f>C44+1</f>
        <v>7</v>
      </c>
      <c r="D45" s="224">
        <v>220.90081641642482</v>
      </c>
      <c r="E45" s="222">
        <v>214.27270299807606</v>
      </c>
      <c r="F45" s="222">
        <v>207.97205651980394</v>
      </c>
      <c r="G45" s="222">
        <v>201.97959221219185</v>
      </c>
      <c r="H45" s="222">
        <v>196.27732804523325</v>
      </c>
      <c r="I45" s="222">
        <v>190.84848594644518</v>
      </c>
      <c r="J45" s="210">
        <v>185.67740130157213</v>
      </c>
      <c r="K45" s="170"/>
      <c r="L45" s="175"/>
      <c r="M45" s="175"/>
      <c r="N45" s="175"/>
      <c r="O45" s="175"/>
    </row>
    <row r="46" spans="2:15" ht="14.5" x14ac:dyDescent="0.35">
      <c r="B46" s="497"/>
      <c r="C46" s="161">
        <f>C45+1</f>
        <v>8</v>
      </c>
      <c r="D46" s="221">
        <v>237.73829342694381</v>
      </c>
      <c r="E46" s="153">
        <v>230.36527821166069</v>
      </c>
      <c r="F46" s="153">
        <v>223.35892806617346</v>
      </c>
      <c r="G46" s="222">
        <v>216.6975727440842</v>
      </c>
      <c r="H46" s="153">
        <v>210.36100921607499</v>
      </c>
      <c r="I46" s="153">
        <v>204.33039023909629</v>
      </c>
      <c r="J46" s="154">
        <v>198.58812227979465</v>
      </c>
      <c r="K46" s="170"/>
      <c r="L46" s="175"/>
      <c r="M46" s="175"/>
      <c r="N46" s="175"/>
      <c r="O46" s="175"/>
    </row>
    <row r="47" spans="2:15" ht="14.5" x14ac:dyDescent="0.35">
      <c r="B47" s="498"/>
      <c r="C47" s="230">
        <f>C46+1</f>
        <v>9</v>
      </c>
      <c r="D47" s="226">
        <v>254.57577043746284</v>
      </c>
      <c r="E47" s="164">
        <v>246.45785342524533</v>
      </c>
      <c r="F47" s="164">
        <v>238.74579961254295</v>
      </c>
      <c r="G47" s="227">
        <v>231.41555327597652</v>
      </c>
      <c r="H47" s="164">
        <v>224.44469038691668</v>
      </c>
      <c r="I47" s="164">
        <v>217.81229453174743</v>
      </c>
      <c r="J47" s="165">
        <v>211.4988432580171</v>
      </c>
      <c r="K47" s="170"/>
      <c r="L47" s="175"/>
      <c r="M47" s="175"/>
      <c r="N47" s="175"/>
      <c r="O47" s="175"/>
    </row>
    <row r="48" spans="2:15" x14ac:dyDescent="0.25">
      <c r="L48" s="145"/>
      <c r="M48" s="145"/>
      <c r="N48" s="145"/>
      <c r="O48" s="145"/>
    </row>
    <row r="49" spans="12:15" x14ac:dyDescent="0.25">
      <c r="L49" s="145"/>
      <c r="M49" s="145"/>
      <c r="N49" s="145"/>
      <c r="O49" s="145"/>
    </row>
    <row r="50" spans="12:15" x14ac:dyDescent="0.25">
      <c r="L50" s="145"/>
      <c r="M50" s="145"/>
      <c r="N50" s="145"/>
      <c r="O50" s="145"/>
    </row>
    <row r="51" spans="12:15" x14ac:dyDescent="0.25">
      <c r="L51" s="145"/>
      <c r="M51" s="145"/>
      <c r="N51" s="145"/>
      <c r="O51" s="145"/>
    </row>
    <row r="52" spans="12:15" x14ac:dyDescent="0.25">
      <c r="L52" s="145"/>
      <c r="M52" s="145"/>
      <c r="N52" s="145"/>
      <c r="O52" s="145"/>
    </row>
    <row r="53" spans="12:15" x14ac:dyDescent="0.25">
      <c r="L53" s="145"/>
      <c r="M53" s="145"/>
      <c r="N53" s="145"/>
      <c r="O53" s="145"/>
    </row>
    <row r="54" spans="12:15" x14ac:dyDescent="0.25">
      <c r="L54" s="145"/>
      <c r="M54" s="145"/>
      <c r="N54" s="145"/>
      <c r="O54" s="145"/>
    </row>
    <row r="55" spans="12:15" x14ac:dyDescent="0.25">
      <c r="L55" s="145"/>
      <c r="M55" s="145"/>
      <c r="N55" s="145"/>
      <c r="O55" s="145"/>
    </row>
    <row r="56" spans="12:15" x14ac:dyDescent="0.25">
      <c r="L56" s="145"/>
      <c r="M56" s="145"/>
      <c r="N56" s="145"/>
      <c r="O56" s="145"/>
    </row>
  </sheetData>
  <mergeCells count="2">
    <mergeCell ref="B32:B37"/>
    <mergeCell ref="B42:B47"/>
  </mergeCells>
  <dataValidations count="2">
    <dataValidation type="whole" showInputMessage="1" showErrorMessage="1" sqref="O6" xr:uid="{40A8A471-2C52-48D4-ABFA-272F5DE34003}">
      <formula1>0</formula1>
      <formula2>1</formula2>
    </dataValidation>
    <dataValidation type="whole" allowBlank="1" showInputMessage="1" showErrorMessage="1" sqref="O8" xr:uid="{A061B15B-74FD-4B92-9A27-B3A64A485AD6}">
      <formula1>0</formula1>
      <formula2>1</formula2>
    </dataValidation>
  </dataValidations>
  <pageMargins left="0.75" right="0.75" top="1" bottom="1" header="0.5" footer="0.5"/>
  <pageSetup orientation="portrait" horizontalDpi="200" verticalDpi="2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EE63-830D-471C-B7CA-29DDC23465BC}">
  <sheetPr>
    <tabColor theme="4" tint="-0.249977111117893"/>
  </sheetPr>
  <dimension ref="B2:P34"/>
  <sheetViews>
    <sheetView topLeftCell="A5" workbookViewId="0">
      <selection activeCell="N166" sqref="N166"/>
    </sheetView>
  </sheetViews>
  <sheetFormatPr defaultColWidth="9.1796875" defaultRowHeight="12.5" x14ac:dyDescent="0.25"/>
  <cols>
    <col min="1" max="1" width="2.6328125" style="168" customWidth="1"/>
    <col min="2" max="2" width="27.453125" style="168" bestFit="1" customWidth="1"/>
    <col min="3" max="3" width="9.6328125" style="168" bestFit="1" customWidth="1"/>
    <col min="4" max="4" width="9.36328125" style="168" bestFit="1" customWidth="1"/>
    <col min="5" max="5" width="10" style="168" customWidth="1"/>
    <col min="6" max="6" width="9.1796875" style="168"/>
    <col min="7" max="7" width="9.6328125" style="168" bestFit="1" customWidth="1"/>
    <col min="8" max="16384" width="9.1796875" style="168"/>
  </cols>
  <sheetData>
    <row r="2" spans="2:12" ht="14.5" x14ac:dyDescent="0.35">
      <c r="B2" s="34" t="str">
        <f>"WACC Analysis - "&amp;TEXT(Company_Name,"")</f>
        <v>WACC Analysis - Apple Inc.</v>
      </c>
      <c r="C2" s="170"/>
      <c r="D2" s="170"/>
      <c r="E2" s="170"/>
      <c r="F2" s="170"/>
      <c r="G2" s="170"/>
      <c r="H2" s="170"/>
      <c r="I2" s="170"/>
      <c r="J2" s="170"/>
    </row>
    <row r="3" spans="2:12" ht="14.5" x14ac:dyDescent="0.35">
      <c r="B3" s="143" t="str">
        <f>'AAPL-3-Statements'!B3</f>
        <v>($ in Millions, Except Per Share Amounts in Dollars and Share Counts in Thousands)</v>
      </c>
      <c r="C3" s="170"/>
      <c r="D3" s="170"/>
      <c r="E3" s="170"/>
      <c r="F3" s="170"/>
      <c r="G3" s="170"/>
      <c r="H3" s="170"/>
      <c r="I3" s="170"/>
      <c r="J3" s="170"/>
    </row>
    <row r="4" spans="2:12" ht="14.5" x14ac:dyDescent="0.35">
      <c r="B4" s="170"/>
      <c r="C4" s="170"/>
      <c r="D4" s="170"/>
      <c r="E4" s="170"/>
      <c r="F4" s="170"/>
      <c r="G4" s="170"/>
      <c r="H4" s="170"/>
      <c r="I4" s="170"/>
      <c r="J4" s="170"/>
    </row>
    <row r="5" spans="2:12" ht="14.5" x14ac:dyDescent="0.35">
      <c r="B5" s="147" t="s">
        <v>241</v>
      </c>
      <c r="C5" s="171"/>
      <c r="D5" s="171"/>
      <c r="E5" s="172"/>
      <c r="F5" s="170"/>
      <c r="G5" s="170"/>
      <c r="H5" s="170"/>
      <c r="I5" s="170"/>
      <c r="J5" s="170"/>
    </row>
    <row r="6" spans="2:12" ht="14.5" x14ac:dyDescent="0.35">
      <c r="B6" s="149" t="s">
        <v>242</v>
      </c>
      <c r="C6" s="175"/>
      <c r="D6" s="175"/>
      <c r="E6" s="355">
        <v>4.3799999999999999E-2</v>
      </c>
      <c r="F6" s="170"/>
      <c r="G6" s="170"/>
      <c r="H6" s="170"/>
      <c r="I6" s="170"/>
      <c r="J6" s="170"/>
    </row>
    <row r="7" spans="2:12" ht="14.5" x14ac:dyDescent="0.35">
      <c r="B7" s="149" t="s">
        <v>243</v>
      </c>
      <c r="C7" s="175"/>
      <c r="D7" s="175"/>
      <c r="E7" s="355">
        <v>7.0000000000000007E-2</v>
      </c>
      <c r="F7" s="170"/>
      <c r="G7" s="170"/>
      <c r="H7" s="170"/>
      <c r="I7" s="170"/>
      <c r="J7" s="170"/>
    </row>
    <row r="8" spans="2:12" ht="14.5" x14ac:dyDescent="0.35">
      <c r="B8" s="163" t="s">
        <v>244</v>
      </c>
      <c r="C8" s="206"/>
      <c r="D8" s="206"/>
      <c r="E8" s="356">
        <f>'AAPL-3-Statements'!I47</f>
        <v>0.09</v>
      </c>
      <c r="F8" s="170"/>
      <c r="G8" s="170"/>
      <c r="H8" s="170"/>
      <c r="I8" s="170"/>
      <c r="J8" s="170"/>
    </row>
    <row r="9" spans="2:12" ht="14.5" x14ac:dyDescent="0.35">
      <c r="B9" s="170"/>
      <c r="C9" s="170"/>
      <c r="D9" s="170"/>
      <c r="E9" s="170"/>
      <c r="F9" s="170"/>
      <c r="G9" s="170"/>
      <c r="H9" s="170"/>
      <c r="I9" s="170"/>
      <c r="J9" s="170"/>
    </row>
    <row r="10" spans="2:12" ht="14.5" x14ac:dyDescent="0.35">
      <c r="B10" s="147" t="s">
        <v>245</v>
      </c>
      <c r="C10" s="171"/>
      <c r="D10" s="171"/>
      <c r="E10" s="171"/>
      <c r="F10" s="171"/>
      <c r="G10" s="172"/>
      <c r="H10" s="170"/>
      <c r="I10" s="170"/>
      <c r="J10" s="358"/>
      <c r="L10" s="359"/>
    </row>
    <row r="11" spans="2:12" ht="14.5" x14ac:dyDescent="0.35">
      <c r="B11" s="173"/>
      <c r="C11" s="174" t="s">
        <v>246</v>
      </c>
      <c r="D11" s="174"/>
      <c r="E11" s="174" t="s">
        <v>171</v>
      </c>
      <c r="F11" s="174"/>
      <c r="G11" s="259" t="s">
        <v>247</v>
      </c>
      <c r="H11" s="170"/>
      <c r="I11" s="170"/>
      <c r="J11" s="358"/>
    </row>
    <row r="12" spans="2:12" ht="14.5" x14ac:dyDescent="0.35">
      <c r="B12" s="177" t="s">
        <v>131</v>
      </c>
      <c r="C12" s="179" t="s">
        <v>248</v>
      </c>
      <c r="D12" s="179" t="s">
        <v>184</v>
      </c>
      <c r="E12" s="179" t="s">
        <v>182</v>
      </c>
      <c r="F12" s="179" t="s">
        <v>249</v>
      </c>
      <c r="G12" s="180" t="s">
        <v>248</v>
      </c>
      <c r="H12" s="170"/>
      <c r="I12" s="170"/>
      <c r="J12" s="170"/>
    </row>
    <row r="13" spans="2:12" ht="14.5" x14ac:dyDescent="0.35">
      <c r="B13" s="149" t="str">
        <f>'Public Comps'!B8</f>
        <v>Hewlett-Packard Company</v>
      </c>
      <c r="C13" s="360">
        <v>1.04</v>
      </c>
      <c r="D13" s="331">
        <f>'Public Comps'!G8</f>
        <v>15830</v>
      </c>
      <c r="E13" s="331">
        <f>'Public Comps'!E8</f>
        <v>114779.15803026002</v>
      </c>
      <c r="F13" s="333">
        <v>0.2</v>
      </c>
      <c r="G13" s="158">
        <f>C13/(1+(1-F13)*(D13/E13))</f>
        <v>0.93665541717921985</v>
      </c>
      <c r="H13" s="170"/>
      <c r="I13" s="358"/>
      <c r="J13" s="170"/>
    </row>
    <row r="14" spans="2:12" ht="14.5" x14ac:dyDescent="0.35">
      <c r="B14" s="149" t="str">
        <f>'Public Comps'!B9</f>
        <v>Dell Inc.</v>
      </c>
      <c r="C14" s="360">
        <v>1.31</v>
      </c>
      <c r="D14" s="332">
        <f>'Public Comps'!G9</f>
        <v>3793</v>
      </c>
      <c r="E14" s="332">
        <f>'Public Comps'!E9</f>
        <v>25240.867031099999</v>
      </c>
      <c r="F14" s="333">
        <v>0.27</v>
      </c>
      <c r="G14" s="158">
        <f>C14/(1+(1-F14)*(D14/E14))</f>
        <v>1.1805006296208649</v>
      </c>
      <c r="H14" s="170"/>
      <c r="I14" s="170"/>
      <c r="J14" s="170"/>
    </row>
    <row r="15" spans="2:12" ht="14.5" x14ac:dyDescent="0.35">
      <c r="B15" s="149" t="str">
        <f>'Public Comps'!B10</f>
        <v>Cisco Systems, Inc.</v>
      </c>
      <c r="C15" s="360">
        <v>1.23</v>
      </c>
      <c r="D15" s="332">
        <f>'Public Comps'!G10</f>
        <v>10273</v>
      </c>
      <c r="E15" s="332">
        <f>'Public Comps'!E10</f>
        <v>131739.04050008999</v>
      </c>
      <c r="F15" s="333">
        <v>0.22</v>
      </c>
      <c r="G15" s="158">
        <f>C15/(1+(1-F15)*(D15/E15))</f>
        <v>1.1594756599174374</v>
      </c>
      <c r="H15" s="170"/>
      <c r="I15" s="170"/>
      <c r="J15" s="170"/>
    </row>
    <row r="16" spans="2:12" ht="14.5" x14ac:dyDescent="0.35">
      <c r="B16" s="149" t="str">
        <f>'Public Comps'!B11</f>
        <v>Intel Corporation</v>
      </c>
      <c r="C16" s="360">
        <v>1.17</v>
      </c>
      <c r="D16" s="332">
        <f>'Public Comps'!G11</f>
        <v>2224</v>
      </c>
      <c r="E16" s="332">
        <f>'Public Comps'!E11</f>
        <v>107224.37899999999</v>
      </c>
      <c r="F16" s="333">
        <v>0.33</v>
      </c>
      <c r="G16" s="158">
        <f>C16/(1+(1-F16)*(D16/E16))</f>
        <v>1.1539635535508668</v>
      </c>
      <c r="H16" s="170"/>
      <c r="I16" s="170"/>
      <c r="J16" s="170"/>
    </row>
    <row r="17" spans="2:16" ht="14.5" x14ac:dyDescent="0.35">
      <c r="B17" s="149" t="str">
        <f>'Public Comps'!B12</f>
        <v>Motorola, Inc.</v>
      </c>
      <c r="C17" s="360">
        <v>1.87</v>
      </c>
      <c r="D17" s="332">
        <f>'Public Comps'!G12</f>
        <v>3925</v>
      </c>
      <c r="E17" s="332">
        <f>'Public Comps'!E12</f>
        <v>14239.396941849998</v>
      </c>
      <c r="F17" s="333">
        <v>0.34</v>
      </c>
      <c r="G17" s="158">
        <f>C17/(1+(1-F17)*(D17/E17))</f>
        <v>1.5821649041145285</v>
      </c>
      <c r="H17" s="170"/>
      <c r="I17" s="170"/>
      <c r="J17" s="170"/>
    </row>
    <row r="18" spans="2:16" ht="14.5" x14ac:dyDescent="0.35">
      <c r="B18" s="149"/>
      <c r="C18" s="175"/>
      <c r="D18" s="175"/>
      <c r="E18" s="175"/>
      <c r="F18" s="175"/>
      <c r="G18" s="176"/>
      <c r="H18" s="170"/>
      <c r="I18" s="170"/>
      <c r="J18" s="170"/>
      <c r="P18" s="362"/>
    </row>
    <row r="19" spans="2:16" ht="14.5" x14ac:dyDescent="0.35">
      <c r="B19" s="250" t="s">
        <v>147</v>
      </c>
      <c r="C19" s="361">
        <f>MEDIAN(C13:C17)</f>
        <v>1.23</v>
      </c>
      <c r="D19" s="251"/>
      <c r="E19" s="251"/>
      <c r="F19" s="251"/>
      <c r="G19" s="252">
        <f>MEDIAN(G13:G17)</f>
        <v>1.1594756599174374</v>
      </c>
      <c r="H19" s="170"/>
      <c r="I19" s="170"/>
      <c r="J19" s="170"/>
    </row>
    <row r="20" spans="2:16" ht="14.5" x14ac:dyDescent="0.35">
      <c r="B20" s="253"/>
      <c r="C20" s="253"/>
      <c r="D20" s="253"/>
      <c r="E20" s="253"/>
      <c r="F20" s="253"/>
      <c r="G20" s="254"/>
      <c r="H20" s="170"/>
      <c r="I20" s="170"/>
      <c r="J20" s="170"/>
    </row>
    <row r="21" spans="2:16" ht="14.5" x14ac:dyDescent="0.35">
      <c r="B21" s="255" t="str">
        <f>Company_Name</f>
        <v>Apple Inc.</v>
      </c>
      <c r="C21" s="256">
        <v>1.57</v>
      </c>
      <c r="D21" s="257"/>
      <c r="E21" s="257"/>
      <c r="F21" s="258"/>
      <c r="G21" s="330"/>
      <c r="H21" s="170"/>
      <c r="I21" s="170"/>
      <c r="J21" s="170"/>
    </row>
    <row r="22" spans="2:16" ht="14.5" x14ac:dyDescent="0.35">
      <c r="B22" s="253"/>
      <c r="C22" s="253"/>
      <c r="D22" s="253"/>
      <c r="E22" s="253"/>
      <c r="F22" s="253"/>
      <c r="G22" s="254"/>
      <c r="H22" s="170"/>
      <c r="I22" s="170"/>
      <c r="J22" s="170"/>
    </row>
    <row r="23" spans="2:16" ht="14.5" x14ac:dyDescent="0.35">
      <c r="B23" s="147" t="str">
        <f>TEXT(Company_Name,"")&amp; " - Levered Beta &amp; WACC Calculation"</f>
        <v>Apple Inc. - Levered Beta &amp; WACC Calculation</v>
      </c>
      <c r="C23" s="171"/>
      <c r="D23" s="171"/>
      <c r="E23" s="171"/>
      <c r="F23" s="171"/>
      <c r="G23" s="171"/>
      <c r="H23" s="171"/>
      <c r="I23" s="171"/>
      <c r="J23" s="172"/>
    </row>
    <row r="24" spans="2:16" ht="14.5" x14ac:dyDescent="0.35">
      <c r="B24" s="173"/>
      <c r="C24" s="174" t="s">
        <v>247</v>
      </c>
      <c r="D24" s="174"/>
      <c r="E24" s="174" t="s">
        <v>171</v>
      </c>
      <c r="F24" s="174"/>
      <c r="G24" s="174" t="s">
        <v>246</v>
      </c>
      <c r="H24" s="174"/>
      <c r="I24" s="174"/>
      <c r="J24" s="259"/>
    </row>
    <row r="25" spans="2:16" ht="14.5" x14ac:dyDescent="0.35">
      <c r="B25" s="177"/>
      <c r="C25" s="179" t="s">
        <v>248</v>
      </c>
      <c r="D25" s="179" t="s">
        <v>184</v>
      </c>
      <c r="E25" s="179" t="s">
        <v>182</v>
      </c>
      <c r="F25" s="179" t="s">
        <v>249</v>
      </c>
      <c r="G25" s="179" t="s">
        <v>248</v>
      </c>
      <c r="H25" s="179"/>
      <c r="I25" s="179"/>
      <c r="J25" s="180"/>
    </row>
    <row r="26" spans="2:16" ht="14.5" x14ac:dyDescent="0.35">
      <c r="B26" s="149"/>
      <c r="C26" s="181"/>
      <c r="D26" s="181"/>
      <c r="E26" s="181"/>
      <c r="F26" s="181"/>
      <c r="G26" s="181"/>
      <c r="H26" s="175"/>
      <c r="I26" s="175"/>
      <c r="J26" s="176"/>
    </row>
    <row r="27" spans="2:16" ht="14.5" x14ac:dyDescent="0.35">
      <c r="B27" s="255" t="str">
        <f>Company_Name</f>
        <v>Apple Inc.</v>
      </c>
      <c r="C27" s="256">
        <f>G19</f>
        <v>1.1594756599174374</v>
      </c>
      <c r="D27" s="312">
        <v>0</v>
      </c>
      <c r="E27" s="257">
        <f>Equity_Value</f>
        <v>176796.15127437998</v>
      </c>
      <c r="F27" s="258">
        <f>Tax_Rate</f>
        <v>0.3</v>
      </c>
      <c r="G27" s="256">
        <f>C27*(1+(1-F27)*(D27/E27))</f>
        <v>1.1594756599174374</v>
      </c>
      <c r="H27" s="260"/>
      <c r="I27" s="260"/>
      <c r="J27" s="371"/>
    </row>
    <row r="28" spans="2:16" ht="14.5" x14ac:dyDescent="0.35">
      <c r="B28" s="149"/>
      <c r="C28" s="175"/>
      <c r="D28" s="175"/>
      <c r="E28" s="175"/>
      <c r="F28" s="175"/>
      <c r="G28" s="175"/>
      <c r="H28" s="175"/>
      <c r="I28" s="175"/>
      <c r="J28" s="176"/>
    </row>
    <row r="29" spans="2:16" ht="14.5" x14ac:dyDescent="0.35">
      <c r="B29" s="261" t="s">
        <v>250</v>
      </c>
      <c r="C29" s="262"/>
      <c r="D29" s="262"/>
      <c r="E29" s="262"/>
      <c r="F29" s="262"/>
      <c r="G29" s="263">
        <f>E6+E7*G27</f>
        <v>0.12496329619422061</v>
      </c>
      <c r="H29" s="262"/>
      <c r="I29" s="262"/>
      <c r="J29" s="372"/>
    </row>
    <row r="30" spans="2:16" ht="14.5" x14ac:dyDescent="0.35">
      <c r="B30" s="264" t="s">
        <v>251</v>
      </c>
      <c r="C30" s="265"/>
      <c r="D30" s="265"/>
      <c r="E30" s="265"/>
      <c r="F30" s="265"/>
      <c r="G30" s="266">
        <f>E6+E7*C21</f>
        <v>0.1537</v>
      </c>
      <c r="H30" s="265"/>
      <c r="I30" s="265"/>
      <c r="J30" s="373"/>
    </row>
    <row r="31" spans="2:16" ht="14.5" x14ac:dyDescent="0.35">
      <c r="B31" s="149"/>
      <c r="C31" s="175"/>
      <c r="D31" s="175"/>
      <c r="E31" s="175"/>
      <c r="F31" s="175"/>
      <c r="G31" s="175"/>
      <c r="H31" s="175"/>
      <c r="I31" s="175"/>
      <c r="J31" s="176"/>
    </row>
    <row r="32" spans="2:16" ht="14.5" x14ac:dyDescent="0.35">
      <c r="B32" s="149" t="s">
        <v>252</v>
      </c>
      <c r="C32" s="175"/>
      <c r="D32" s="175"/>
      <c r="E32" s="175"/>
      <c r="F32" s="175"/>
      <c r="G32" s="175"/>
      <c r="H32" s="175"/>
      <c r="I32" s="175"/>
      <c r="J32" s="176"/>
    </row>
    <row r="33" spans="2:10" ht="14.5" x14ac:dyDescent="0.35">
      <c r="B33" s="149"/>
      <c r="C33" s="175"/>
      <c r="D33" s="175"/>
      <c r="E33" s="175"/>
      <c r="F33" s="175"/>
      <c r="G33" s="175"/>
      <c r="H33" s="175"/>
      <c r="I33" s="175"/>
      <c r="J33" s="176"/>
    </row>
    <row r="34" spans="2:10" ht="14.5" x14ac:dyDescent="0.35">
      <c r="B34" s="255" t="s">
        <v>253</v>
      </c>
      <c r="C34" s="260"/>
      <c r="D34" s="260"/>
      <c r="E34" s="260"/>
      <c r="F34" s="260"/>
      <c r="G34" s="267">
        <f>G29*(E27/(E27+D27))+E8*(D27/(D27+E27))*(1-F27)</f>
        <v>0.12496329619422061</v>
      </c>
      <c r="H34" s="260"/>
      <c r="I34" s="260"/>
      <c r="J34" s="371"/>
    </row>
  </sheetData>
  <pageMargins left="0.75" right="0.75" top="1" bottom="1" header="0.5" footer="0.5"/>
  <pageSetup orientation="portrait" horizontalDpi="200" verticalDpi="200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3F50-FBCE-41DB-A868-69CF41BFF62C}">
  <dimension ref="B2:R124"/>
  <sheetViews>
    <sheetView tabSelected="1" topLeftCell="A2" workbookViewId="0">
      <selection activeCell="G27" sqref="G27"/>
    </sheetView>
  </sheetViews>
  <sheetFormatPr defaultColWidth="8.81640625" defaultRowHeight="14.5" x14ac:dyDescent="0.35"/>
  <cols>
    <col min="1" max="1" width="2.6328125" customWidth="1"/>
    <col min="6" max="6" width="9.36328125" bestFit="1" customWidth="1"/>
  </cols>
  <sheetData>
    <row r="2" spans="2:18" x14ac:dyDescent="0.35">
      <c r="B2" s="34" t="str">
        <f>"Merger Model - "&amp;TEXT(Company_Name,"")&amp;" and "&amp;Seller_Name</f>
        <v>Merger Model - Apple Inc. and Research in Motion Limited</v>
      </c>
    </row>
    <row r="3" spans="2:18" x14ac:dyDescent="0.35">
      <c r="B3" s="402" t="str">
        <f>'AAPL-3-Statements'!B3</f>
        <v>($ in Millions, Except Per Share Amounts in Dollars and Share Counts in Thousands)</v>
      </c>
    </row>
    <row r="5" spans="2:18" x14ac:dyDescent="0.35">
      <c r="B5" s="272" t="s">
        <v>260</v>
      </c>
      <c r="C5" s="374"/>
      <c r="D5" s="374"/>
      <c r="E5" s="374"/>
      <c r="F5" s="374"/>
      <c r="G5" s="374"/>
      <c r="H5" s="374"/>
      <c r="I5" s="374"/>
      <c r="J5" s="374"/>
      <c r="K5" s="374"/>
      <c r="L5" s="375"/>
    </row>
    <row r="6" spans="2:18" x14ac:dyDescent="0.35">
      <c r="B6" s="1"/>
      <c r="C6" s="22"/>
      <c r="D6" s="22"/>
      <c r="E6" s="22"/>
      <c r="F6" s="22"/>
      <c r="G6" s="22"/>
      <c r="H6" s="22"/>
      <c r="I6" s="22"/>
      <c r="J6" s="22"/>
      <c r="K6" s="22"/>
      <c r="L6" s="21"/>
    </row>
    <row r="7" spans="2:18" x14ac:dyDescent="0.35">
      <c r="B7" s="11" t="s">
        <v>261</v>
      </c>
      <c r="C7" s="22"/>
      <c r="D7" s="22"/>
      <c r="E7" s="22"/>
      <c r="F7" s="133">
        <v>75</v>
      </c>
      <c r="H7" s="22" t="s">
        <v>262</v>
      </c>
      <c r="I7" s="22"/>
      <c r="J7" s="22"/>
      <c r="K7" s="22"/>
      <c r="L7" s="391">
        <f>'Merger-Shares-BS'!J15</f>
        <v>43048.922100000003</v>
      </c>
      <c r="R7" s="113"/>
    </row>
    <row r="8" spans="2:18" x14ac:dyDescent="0.35">
      <c r="B8" s="1" t="s">
        <v>263</v>
      </c>
      <c r="C8" s="22"/>
      <c r="D8" s="22"/>
      <c r="E8" s="22"/>
      <c r="F8" s="417">
        <f>1/3</f>
        <v>0.33333333333333331</v>
      </c>
      <c r="H8" s="22" t="s">
        <v>283</v>
      </c>
      <c r="I8" s="22"/>
      <c r="J8" s="22"/>
      <c r="K8" s="22"/>
      <c r="L8" s="241">
        <f>F8*L7</f>
        <v>14349.6407</v>
      </c>
    </row>
    <row r="9" spans="2:18" x14ac:dyDescent="0.35">
      <c r="B9" s="1" t="s">
        <v>264</v>
      </c>
      <c r="C9" s="22"/>
      <c r="D9" s="22"/>
      <c r="E9" s="22"/>
      <c r="F9" s="417">
        <f>1/3</f>
        <v>0.33333333333333331</v>
      </c>
      <c r="H9" s="22" t="s">
        <v>284</v>
      </c>
      <c r="I9" s="22"/>
      <c r="J9" s="22"/>
      <c r="K9" s="22"/>
      <c r="L9" s="241">
        <f>F9*L7</f>
        <v>14349.6407</v>
      </c>
      <c r="R9" s="113"/>
    </row>
    <row r="10" spans="2:18" x14ac:dyDescent="0.35">
      <c r="B10" s="1" t="s">
        <v>265</v>
      </c>
      <c r="C10" s="22"/>
      <c r="D10" s="22"/>
      <c r="E10" s="22"/>
      <c r="F10" s="417">
        <f>1/3</f>
        <v>0.33333333333333331</v>
      </c>
      <c r="H10" s="22" t="s">
        <v>267</v>
      </c>
      <c r="I10" s="22"/>
      <c r="J10" s="22"/>
      <c r="K10" s="22"/>
      <c r="L10" s="416">
        <f>F10*L7/F34*Units</f>
        <v>74714.363740497764</v>
      </c>
      <c r="N10" s="118"/>
    </row>
    <row r="11" spans="2:18" x14ac:dyDescent="0.35">
      <c r="B11" s="1" t="s">
        <v>266</v>
      </c>
      <c r="C11" s="22"/>
      <c r="D11" s="22"/>
      <c r="E11" s="22"/>
      <c r="F11" s="419">
        <f>'AAPL-3-Statements'!I46</f>
        <v>0.01</v>
      </c>
      <c r="H11" s="381" t="s">
        <v>76</v>
      </c>
      <c r="I11" s="22"/>
      <c r="J11" s="22"/>
      <c r="K11" s="22"/>
      <c r="L11" s="420">
        <f>'AAPL-3-Statements'!I47</f>
        <v>0.09</v>
      </c>
      <c r="N11" s="118"/>
    </row>
    <row r="12" spans="2:18" x14ac:dyDescent="0.35">
      <c r="B12" s="1"/>
      <c r="C12" s="22"/>
      <c r="D12" s="22"/>
      <c r="E12" s="22"/>
      <c r="F12" s="22"/>
      <c r="H12" s="22"/>
      <c r="I12" s="22"/>
      <c r="J12" s="22"/>
      <c r="K12" s="22"/>
      <c r="L12" s="21"/>
    </row>
    <row r="13" spans="2:18" x14ac:dyDescent="0.35">
      <c r="B13" s="1" t="s">
        <v>299</v>
      </c>
      <c r="C13" s="22"/>
      <c r="D13" s="22"/>
      <c r="E13" s="22"/>
      <c r="F13" s="417">
        <v>0.1</v>
      </c>
      <c r="H13" s="381" t="s">
        <v>300</v>
      </c>
      <c r="I13" s="22"/>
      <c r="J13" s="22"/>
      <c r="K13" s="22"/>
      <c r="L13" s="418">
        <v>0.5</v>
      </c>
    </row>
    <row r="14" spans="2:18" x14ac:dyDescent="0.35">
      <c r="B14" s="65" t="s">
        <v>303</v>
      </c>
      <c r="C14" s="23"/>
      <c r="D14" s="23"/>
      <c r="E14" s="23"/>
      <c r="F14" s="423">
        <v>0.1</v>
      </c>
      <c r="G14" s="23"/>
      <c r="H14" s="23"/>
      <c r="I14" s="23"/>
      <c r="J14" s="23"/>
      <c r="K14" s="23"/>
      <c r="L14" s="378"/>
    </row>
    <row r="16" spans="2:18" x14ac:dyDescent="0.35">
      <c r="B16" s="272" t="s">
        <v>305</v>
      </c>
      <c r="C16" s="374"/>
      <c r="D16" s="374"/>
      <c r="E16" s="374"/>
      <c r="F16" s="374"/>
      <c r="G16" s="374"/>
      <c r="H16" s="374"/>
      <c r="I16" s="374"/>
      <c r="J16" s="374"/>
      <c r="K16" s="374"/>
      <c r="L16" s="375"/>
    </row>
    <row r="17" spans="2:12" x14ac:dyDescent="0.35">
      <c r="B17" s="376"/>
      <c r="C17" s="55"/>
      <c r="D17" s="55"/>
      <c r="E17" s="55"/>
      <c r="F17" s="55"/>
      <c r="G17" s="55"/>
      <c r="H17" s="55"/>
      <c r="I17" s="55"/>
      <c r="J17" s="55"/>
      <c r="K17" s="55"/>
      <c r="L17" s="379"/>
    </row>
    <row r="18" spans="2:12" x14ac:dyDescent="0.35">
      <c r="B18" s="3" t="s">
        <v>306</v>
      </c>
      <c r="C18" s="55"/>
      <c r="D18" s="55"/>
      <c r="E18" s="55"/>
      <c r="F18" s="55"/>
      <c r="G18" s="55"/>
      <c r="H18" s="66" t="s">
        <v>315</v>
      </c>
      <c r="I18" s="55"/>
      <c r="J18" s="55"/>
      <c r="K18" s="55"/>
      <c r="L18" s="379"/>
    </row>
    <row r="19" spans="2:12" x14ac:dyDescent="0.35">
      <c r="B19" s="10" t="s">
        <v>262</v>
      </c>
      <c r="C19" s="55"/>
      <c r="D19" s="55"/>
      <c r="E19" s="55"/>
      <c r="F19" s="184">
        <f>L7</f>
        <v>43048.922100000003</v>
      </c>
      <c r="G19" s="55"/>
      <c r="H19" s="22" t="s">
        <v>316</v>
      </c>
      <c r="I19" s="55"/>
      <c r="J19" s="55"/>
      <c r="K19" s="55"/>
      <c r="L19" s="380">
        <v>0.1</v>
      </c>
    </row>
    <row r="20" spans="2:12" x14ac:dyDescent="0.35">
      <c r="B20" s="10" t="s">
        <v>307</v>
      </c>
      <c r="C20" s="55"/>
      <c r="D20" s="55"/>
      <c r="E20" s="55"/>
      <c r="F20" s="184">
        <f>-'Merger-Shares-BS'!J62</f>
        <v>-6986.62</v>
      </c>
      <c r="G20" s="55"/>
      <c r="H20" s="381" t="s">
        <v>317</v>
      </c>
      <c r="I20" s="55"/>
      <c r="J20" s="55"/>
      <c r="K20" s="55"/>
      <c r="L20" s="241">
        <f>L19*'Merger-Shares-BS'!J36</f>
        <v>173.74030000000002</v>
      </c>
    </row>
    <row r="21" spans="2:12" x14ac:dyDescent="0.35">
      <c r="B21" s="382" t="s">
        <v>308</v>
      </c>
      <c r="C21" s="55"/>
      <c r="D21" s="55"/>
      <c r="E21" s="55"/>
      <c r="F21" s="231">
        <f>'Merger-Shares-BS'!J37</f>
        <v>146.55699999999999</v>
      </c>
      <c r="G21" s="55"/>
      <c r="H21" s="381" t="s">
        <v>318</v>
      </c>
      <c r="I21" s="55"/>
      <c r="J21" s="55"/>
      <c r="K21" s="55"/>
      <c r="L21" s="383">
        <v>8</v>
      </c>
    </row>
    <row r="22" spans="2:12" x14ac:dyDescent="0.35">
      <c r="B22" s="13" t="s">
        <v>309</v>
      </c>
      <c r="C22" s="55"/>
      <c r="D22" s="55"/>
      <c r="E22" s="55"/>
      <c r="F22" s="421">
        <f>F19+F20+F21</f>
        <v>36208.859100000001</v>
      </c>
      <c r="G22" s="55"/>
      <c r="H22" s="381"/>
      <c r="I22" s="143"/>
      <c r="J22" s="143"/>
      <c r="K22" s="143"/>
      <c r="L22" s="383"/>
    </row>
    <row r="23" spans="2:12" x14ac:dyDescent="0.35">
      <c r="B23" s="376"/>
      <c r="C23" s="143"/>
      <c r="D23" s="143"/>
      <c r="E23" s="143"/>
      <c r="F23" s="143"/>
      <c r="G23" s="55"/>
      <c r="H23" s="66" t="s">
        <v>319</v>
      </c>
      <c r="I23" s="55"/>
      <c r="J23" s="55"/>
      <c r="K23" s="55"/>
      <c r="L23" s="379"/>
    </row>
    <row r="24" spans="2:12" x14ac:dyDescent="0.35">
      <c r="B24" s="10" t="s">
        <v>310</v>
      </c>
      <c r="C24" s="55"/>
      <c r="D24" s="55"/>
      <c r="E24" s="55"/>
      <c r="F24" s="184">
        <f>-L20</f>
        <v>-173.74030000000002</v>
      </c>
      <c r="G24" s="55"/>
      <c r="H24" t="s">
        <v>320</v>
      </c>
      <c r="I24" s="55"/>
      <c r="J24" s="55"/>
      <c r="K24" s="55"/>
      <c r="L24" s="241">
        <f>F22</f>
        <v>36208.859100000001</v>
      </c>
    </row>
    <row r="25" spans="2:12" x14ac:dyDescent="0.35">
      <c r="B25" s="10" t="s">
        <v>311</v>
      </c>
      <c r="C25" s="55"/>
      <c r="D25" s="55"/>
      <c r="E25" s="55"/>
      <c r="F25" s="184">
        <f>-L26</f>
        <v>-7241.7718200000008</v>
      </c>
      <c r="G25" s="55"/>
      <c r="H25" s="384" t="s">
        <v>321</v>
      </c>
      <c r="I25" s="55"/>
      <c r="J25" s="55"/>
      <c r="K25" s="55"/>
      <c r="L25" s="380">
        <v>0.2</v>
      </c>
    </row>
    <row r="26" spans="2:12" x14ac:dyDescent="0.35">
      <c r="B26" s="10" t="s">
        <v>312</v>
      </c>
      <c r="F26" s="113">
        <f>-'Merger-Shares-BS'!J52</f>
        <v>-43.265000000000001</v>
      </c>
      <c r="G26" s="55"/>
      <c r="H26" s="381" t="s">
        <v>322</v>
      </c>
      <c r="I26" s="55"/>
      <c r="J26" s="55"/>
      <c r="K26" s="55"/>
      <c r="L26" s="241">
        <f>L25*L24</f>
        <v>7241.7718200000008</v>
      </c>
    </row>
    <row r="27" spans="2:12" x14ac:dyDescent="0.35">
      <c r="B27" s="10" t="s">
        <v>313</v>
      </c>
      <c r="C27" s="55"/>
      <c r="D27" s="55"/>
      <c r="E27" s="55"/>
      <c r="F27" s="184">
        <f>L29</f>
        <v>2224.6536360000005</v>
      </c>
      <c r="G27" s="55"/>
      <c r="H27" s="381" t="s">
        <v>323</v>
      </c>
      <c r="I27" s="55"/>
      <c r="J27" s="55"/>
      <c r="K27" s="55"/>
      <c r="L27" s="383">
        <v>5</v>
      </c>
    </row>
    <row r="28" spans="2:12" x14ac:dyDescent="0.35">
      <c r="B28" s="13" t="s">
        <v>314</v>
      </c>
      <c r="C28" s="55"/>
      <c r="D28" s="55"/>
      <c r="E28" s="55"/>
      <c r="F28" s="421">
        <f>F22+F24+F25+F26+F27</f>
        <v>30974.735616000002</v>
      </c>
      <c r="G28" s="55"/>
      <c r="H28" s="381"/>
      <c r="I28" s="55"/>
      <c r="J28" s="55"/>
      <c r="K28" s="55"/>
      <c r="L28" s="383"/>
    </row>
    <row r="29" spans="2:12" x14ac:dyDescent="0.35">
      <c r="B29" s="65"/>
      <c r="C29" s="23"/>
      <c r="D29" s="23"/>
      <c r="E29" s="23"/>
      <c r="F29" s="23"/>
      <c r="G29" s="40"/>
      <c r="H29" s="385" t="s">
        <v>324</v>
      </c>
      <c r="I29" s="40"/>
      <c r="J29" s="40"/>
      <c r="K29" s="40"/>
      <c r="L29" s="422">
        <f>(L26+L20)*Tax_Rate</f>
        <v>2224.6536360000005</v>
      </c>
    </row>
    <row r="30" spans="2:12" x14ac:dyDescent="0.35">
      <c r="B30" s="385"/>
      <c r="C30" s="55"/>
      <c r="D30" s="55"/>
      <c r="E30" s="55"/>
      <c r="F30" s="185"/>
      <c r="G30" s="55"/>
      <c r="H30" s="55"/>
      <c r="I30" s="55"/>
      <c r="J30" s="55"/>
      <c r="K30" s="55"/>
      <c r="L30" s="55"/>
    </row>
    <row r="31" spans="2:12" x14ac:dyDescent="0.35">
      <c r="B31" s="272" t="s">
        <v>268</v>
      </c>
      <c r="C31" s="374"/>
      <c r="D31" s="374"/>
      <c r="E31" s="374"/>
      <c r="F31" s="375"/>
      <c r="H31" s="272" t="s">
        <v>269</v>
      </c>
      <c r="I31" s="374"/>
      <c r="J31" s="374"/>
      <c r="K31" s="374"/>
      <c r="L31" s="375"/>
    </row>
    <row r="32" spans="2:12" x14ac:dyDescent="0.35">
      <c r="B32" s="376"/>
      <c r="C32" s="55"/>
      <c r="D32" s="55"/>
      <c r="E32" s="55"/>
      <c r="F32" s="377"/>
      <c r="H32" s="376"/>
      <c r="I32" s="55"/>
      <c r="J32" s="55"/>
      <c r="K32" s="55"/>
      <c r="L32" s="377"/>
    </row>
    <row r="33" spans="2:15" x14ac:dyDescent="0.35">
      <c r="B33" s="1" t="s">
        <v>275</v>
      </c>
      <c r="C33" s="22"/>
      <c r="D33" s="22"/>
      <c r="E33" s="22"/>
      <c r="F33" s="413" t="str">
        <f>Company_Name</f>
        <v>Apple Inc.</v>
      </c>
      <c r="H33" s="1" t="s">
        <v>276</v>
      </c>
      <c r="I33" s="55"/>
      <c r="J33" s="55"/>
      <c r="K33" s="55"/>
      <c r="L33" s="413" t="str">
        <f>Seller_Name</f>
        <v>Research in Motion Limited</v>
      </c>
    </row>
    <row r="34" spans="2:15" x14ac:dyDescent="0.35">
      <c r="B34" s="1" t="s">
        <v>115</v>
      </c>
      <c r="C34" s="55"/>
      <c r="D34" s="55"/>
      <c r="E34" s="55"/>
      <c r="F34" s="389">
        <f>Share_Price</f>
        <v>192.06</v>
      </c>
      <c r="H34" s="1" t="s">
        <v>115</v>
      </c>
      <c r="I34" s="55"/>
      <c r="J34" s="55"/>
      <c r="K34" s="55"/>
      <c r="L34" s="389">
        <f>Seller_Share_Price</f>
        <v>62.91</v>
      </c>
      <c r="N34" s="118"/>
    </row>
    <row r="35" spans="2:15" x14ac:dyDescent="0.35">
      <c r="B35" s="1" t="s">
        <v>12</v>
      </c>
      <c r="C35" s="55"/>
      <c r="D35" s="55"/>
      <c r="E35" s="55"/>
      <c r="F35" s="414">
        <f>Diluted_Shares</f>
        <v>920525.62363001145</v>
      </c>
      <c r="H35" s="1" t="s">
        <v>12</v>
      </c>
      <c r="I35" s="55"/>
      <c r="J35" s="55"/>
      <c r="K35" s="55"/>
      <c r="L35" s="390">
        <f>'Merger-Shares-BS'!E14</f>
        <v>572950.86313781596</v>
      </c>
    </row>
    <row r="36" spans="2:15" x14ac:dyDescent="0.35">
      <c r="B36" s="1" t="s">
        <v>113</v>
      </c>
      <c r="C36" s="55"/>
      <c r="D36" s="55"/>
      <c r="E36" s="55"/>
      <c r="F36" s="415">
        <f>Equity_Value</f>
        <v>176796.15127437998</v>
      </c>
      <c r="H36" s="1" t="s">
        <v>113</v>
      </c>
      <c r="I36" s="55"/>
      <c r="J36" s="55"/>
      <c r="K36" s="55"/>
      <c r="L36" s="391">
        <f>'Merger-Shares-BS'!E15</f>
        <v>36044.338800000005</v>
      </c>
    </row>
    <row r="37" spans="2:15" x14ac:dyDescent="0.35">
      <c r="B37" s="1" t="s">
        <v>120</v>
      </c>
      <c r="C37" s="55"/>
      <c r="D37" s="55"/>
      <c r="E37" s="55"/>
      <c r="F37" s="415">
        <f>Enterprise_Value</f>
        <v>141401.15127437998</v>
      </c>
      <c r="H37" s="1" t="s">
        <v>120</v>
      </c>
      <c r="I37" s="55"/>
      <c r="J37" s="55"/>
      <c r="K37" s="55"/>
      <c r="L37" s="391">
        <f>'Merger-Shares-BS'!E21</f>
        <v>33546.591800000002</v>
      </c>
    </row>
    <row r="38" spans="2:15" x14ac:dyDescent="0.35">
      <c r="B38" s="65" t="s">
        <v>163</v>
      </c>
      <c r="C38" s="40"/>
      <c r="D38" s="40"/>
      <c r="E38" s="40"/>
      <c r="F38" s="427">
        <f>Tax_Rate</f>
        <v>0.3</v>
      </c>
      <c r="H38" s="65" t="s">
        <v>163</v>
      </c>
      <c r="I38" s="40"/>
      <c r="J38" s="40"/>
      <c r="K38" s="40"/>
      <c r="L38" s="428">
        <f>'Merger-Shares-BS'!J9</f>
        <v>0.28000000000000003</v>
      </c>
      <c r="O38" s="109"/>
    </row>
    <row r="40" spans="2:15" x14ac:dyDescent="0.35">
      <c r="B40" s="272" t="s">
        <v>288</v>
      </c>
      <c r="C40" s="374"/>
      <c r="D40" s="374"/>
      <c r="E40" s="374"/>
      <c r="F40" s="375"/>
      <c r="H40" s="272" t="s">
        <v>289</v>
      </c>
      <c r="I40" s="374"/>
      <c r="J40" s="374"/>
      <c r="K40" s="374"/>
      <c r="L40" s="375"/>
    </row>
    <row r="41" spans="2:15" x14ac:dyDescent="0.35">
      <c r="B41" s="1"/>
      <c r="C41" s="22"/>
      <c r="D41" s="22"/>
      <c r="E41" s="22"/>
      <c r="F41" s="21"/>
      <c r="H41" s="1"/>
      <c r="I41" s="22"/>
      <c r="J41" s="22"/>
      <c r="K41" s="22"/>
      <c r="L41" s="21"/>
    </row>
    <row r="42" spans="2:15" x14ac:dyDescent="0.35">
      <c r="B42" s="1"/>
      <c r="C42" s="22"/>
      <c r="D42" s="22"/>
      <c r="E42" s="129" t="str">
        <f>'AAPL-3-Statements'!I96</f>
        <v>FY 2010E</v>
      </c>
      <c r="F42" s="388" t="str">
        <f>'AAPL-3-Statements'!J96</f>
        <v>FY 2011E</v>
      </c>
      <c r="H42" s="1"/>
      <c r="I42" s="22"/>
      <c r="J42" s="22"/>
      <c r="K42" s="129" t="str">
        <f>E42</f>
        <v>FY 2010E</v>
      </c>
      <c r="L42" s="388" t="str">
        <f>F42</f>
        <v>FY 2011E</v>
      </c>
    </row>
    <row r="43" spans="2:15" x14ac:dyDescent="0.35">
      <c r="B43" s="3" t="s">
        <v>70</v>
      </c>
      <c r="C43" s="22"/>
      <c r="D43" s="22"/>
      <c r="E43" s="41">
        <f>'AAPL-3-Statements'!I66</f>
        <v>53631.25</v>
      </c>
      <c r="F43" s="393">
        <f>'AAPL-3-Statements'!J66</f>
        <v>62748.562499999993</v>
      </c>
      <c r="H43" s="3" t="s">
        <v>70</v>
      </c>
      <c r="I43" s="22"/>
      <c r="J43" s="22"/>
      <c r="K43" s="62">
        <v>17231</v>
      </c>
      <c r="L43" s="457">
        <v>20868</v>
      </c>
    </row>
    <row r="44" spans="2:15" x14ac:dyDescent="0.35">
      <c r="B44" s="1" t="s">
        <v>71</v>
      </c>
      <c r="C44" s="22"/>
      <c r="D44" s="22"/>
      <c r="E44" s="33">
        <f>'AAPL-3-Statements'!I67</f>
        <v>31655.416666666664</v>
      </c>
      <c r="F44" s="391">
        <f>'AAPL-3-Statements'!J67</f>
        <v>37036.837499999994</v>
      </c>
      <c r="H44" s="1" t="s">
        <v>71</v>
      </c>
      <c r="I44" s="22"/>
      <c r="J44" s="22"/>
      <c r="K44" s="59">
        <v>9755</v>
      </c>
      <c r="L44" s="58">
        <v>11868.5</v>
      </c>
    </row>
    <row r="45" spans="2:15" x14ac:dyDescent="0.35">
      <c r="B45" s="12" t="s">
        <v>0</v>
      </c>
      <c r="C45" s="22"/>
      <c r="D45" s="22"/>
      <c r="E45" s="28">
        <f>E43-E44</f>
        <v>21975.833333333336</v>
      </c>
      <c r="F45" s="16">
        <f>F43-F44</f>
        <v>25711.724999999999</v>
      </c>
      <c r="H45" s="12" t="s">
        <v>0</v>
      </c>
      <c r="I45" s="22"/>
      <c r="J45" s="22"/>
      <c r="K45" s="28">
        <f>K43-K44</f>
        <v>7476</v>
      </c>
      <c r="L45" s="16">
        <f>L43-L44</f>
        <v>8999.5</v>
      </c>
    </row>
    <row r="46" spans="2:15" x14ac:dyDescent="0.35">
      <c r="B46" s="1"/>
      <c r="C46" s="22"/>
      <c r="D46" s="22"/>
      <c r="E46" s="22"/>
      <c r="F46" s="21"/>
      <c r="H46" s="1"/>
      <c r="I46" s="22"/>
      <c r="J46" s="22"/>
      <c r="K46" s="22"/>
      <c r="L46" s="21"/>
    </row>
    <row r="47" spans="2:15" x14ac:dyDescent="0.35">
      <c r="B47" s="13" t="s">
        <v>1</v>
      </c>
      <c r="C47" s="22"/>
      <c r="D47" s="22"/>
      <c r="E47" s="41">
        <f>'AAPL-3-Statements'!I72</f>
        <v>5495.8333333333339</v>
      </c>
      <c r="F47" s="77">
        <f>'AAPL-3-Statements'!J72</f>
        <v>6430.125</v>
      </c>
      <c r="H47" s="13" t="s">
        <v>1</v>
      </c>
      <c r="I47" s="22"/>
      <c r="J47" s="22"/>
      <c r="K47" s="62">
        <v>2697.5319999999997</v>
      </c>
      <c r="L47" s="57">
        <v>3258.96</v>
      </c>
    </row>
    <row r="48" spans="2:15" x14ac:dyDescent="0.35">
      <c r="B48" s="13"/>
      <c r="C48" s="22"/>
      <c r="D48" s="22"/>
      <c r="E48" s="22"/>
      <c r="F48" s="21"/>
      <c r="H48" s="13"/>
      <c r="I48" s="22"/>
      <c r="J48" s="22"/>
      <c r="K48" s="22"/>
      <c r="L48" s="21"/>
    </row>
    <row r="49" spans="2:12" x14ac:dyDescent="0.35">
      <c r="B49" s="10" t="s">
        <v>290</v>
      </c>
      <c r="C49" s="22"/>
      <c r="D49" s="22"/>
      <c r="E49" s="33">
        <f>'AAPL-3-Statements'!I74</f>
        <v>917.49999999999989</v>
      </c>
      <c r="F49" s="391">
        <f>'AAPL-3-Statements'!J74</f>
        <v>1073.4749999999997</v>
      </c>
      <c r="H49" s="10" t="s">
        <v>290</v>
      </c>
      <c r="I49" s="22"/>
      <c r="J49" s="22"/>
      <c r="K49" s="59">
        <v>430.77500000000003</v>
      </c>
      <c r="L49" s="58">
        <v>563.43600000000004</v>
      </c>
    </row>
    <row r="50" spans="2:12" x14ac:dyDescent="0.35">
      <c r="B50" s="10" t="s">
        <v>96</v>
      </c>
      <c r="C50" s="22"/>
      <c r="D50" s="22"/>
      <c r="E50" s="33">
        <f>'AAPL-3-Statements'!I75</f>
        <v>40</v>
      </c>
      <c r="F50" s="391">
        <f>'AAPL-3-Statements'!J75</f>
        <v>37</v>
      </c>
      <c r="H50" s="10" t="s">
        <v>96</v>
      </c>
      <c r="I50" s="22"/>
      <c r="J50" s="22"/>
      <c r="K50" s="59">
        <v>359</v>
      </c>
      <c r="L50" s="58">
        <v>433</v>
      </c>
    </row>
    <row r="51" spans="2:12" x14ac:dyDescent="0.35">
      <c r="B51" s="107" t="s">
        <v>44</v>
      </c>
      <c r="C51" s="22"/>
      <c r="D51" s="22"/>
      <c r="E51" s="33">
        <f>'AAPL-3-Statements'!I76</f>
        <v>887.5</v>
      </c>
      <c r="F51" s="391">
        <f>'AAPL-3-Statements'!J76</f>
        <v>1038.3749999999998</v>
      </c>
      <c r="H51" s="107" t="s">
        <v>44</v>
      </c>
      <c r="I51" s="22"/>
      <c r="J51" s="22"/>
      <c r="K51" s="59">
        <v>51.692999999999998</v>
      </c>
      <c r="L51" s="58">
        <v>62.603999999999999</v>
      </c>
    </row>
    <row r="52" spans="2:12" x14ac:dyDescent="0.35">
      <c r="B52" s="1"/>
      <c r="C52" s="22"/>
      <c r="D52" s="22"/>
      <c r="E52" s="22"/>
      <c r="F52" s="21"/>
      <c r="H52" s="1"/>
      <c r="I52" s="22"/>
      <c r="J52" s="22"/>
      <c r="K52" s="22"/>
      <c r="L52" s="21"/>
    </row>
    <row r="53" spans="2:12" x14ac:dyDescent="0.35">
      <c r="B53" s="13" t="s">
        <v>3</v>
      </c>
      <c r="C53" s="22"/>
      <c r="D53" s="22"/>
      <c r="E53" s="28">
        <f>E45-E47-E49-E50-E51</f>
        <v>14635</v>
      </c>
      <c r="F53" s="16">
        <f>F45-F47-F49-F50-F51</f>
        <v>17132.75</v>
      </c>
      <c r="H53" s="13" t="s">
        <v>3</v>
      </c>
      <c r="I53" s="22"/>
      <c r="J53" s="22"/>
      <c r="K53" s="28">
        <f>K45-K47-K49-K50-K51</f>
        <v>3937.0000000000009</v>
      </c>
      <c r="L53" s="16">
        <f>L45-L47-L49-L50-L51</f>
        <v>4681.5</v>
      </c>
    </row>
    <row r="54" spans="2:12" x14ac:dyDescent="0.35">
      <c r="B54" s="10" t="s">
        <v>291</v>
      </c>
      <c r="C54" s="22"/>
      <c r="D54" s="22"/>
      <c r="E54" s="69">
        <f ca="1">SUM('AAPL-3-Statements'!I79:I81)</f>
        <v>379.2536377320622</v>
      </c>
      <c r="F54" s="85">
        <f ca="1">SUM('AAPL-3-Statements'!J79:J81)</f>
        <v>477.64936072666785</v>
      </c>
      <c r="H54" s="10" t="s">
        <v>291</v>
      </c>
      <c r="I54" s="22"/>
      <c r="J54" s="22"/>
      <c r="K54" s="59">
        <v>25</v>
      </c>
      <c r="L54" s="58">
        <v>32.5</v>
      </c>
    </row>
    <row r="55" spans="2:12" x14ac:dyDescent="0.35">
      <c r="B55" s="13" t="s">
        <v>4</v>
      </c>
      <c r="C55" s="22"/>
      <c r="D55" s="22"/>
      <c r="E55" s="28">
        <f ca="1">E53+E54</f>
        <v>15014.253637732063</v>
      </c>
      <c r="F55" s="16">
        <f ca="1">F53+F54</f>
        <v>17610.399360726668</v>
      </c>
      <c r="H55" s="13" t="s">
        <v>4</v>
      </c>
      <c r="I55" s="22"/>
      <c r="J55" s="22"/>
      <c r="K55" s="28">
        <f>K53+K54</f>
        <v>3962.0000000000009</v>
      </c>
      <c r="L55" s="16">
        <f>L53+L54</f>
        <v>4714</v>
      </c>
    </row>
    <row r="56" spans="2:12" x14ac:dyDescent="0.35">
      <c r="B56" s="11" t="s">
        <v>5</v>
      </c>
      <c r="C56" s="22"/>
      <c r="D56" s="22"/>
      <c r="E56" s="69">
        <f ca="1">E55*$F$38</f>
        <v>4504.2760913196189</v>
      </c>
      <c r="F56" s="85">
        <f ca="1">F55*$F$38</f>
        <v>5283.1198082179999</v>
      </c>
      <c r="H56" s="11" t="s">
        <v>5</v>
      </c>
      <c r="I56" s="22"/>
      <c r="J56" s="22"/>
      <c r="K56" s="59">
        <v>1148</v>
      </c>
      <c r="L56" s="58">
        <v>1343</v>
      </c>
    </row>
    <row r="57" spans="2:12" x14ac:dyDescent="0.35">
      <c r="B57" s="1"/>
      <c r="C57" s="22"/>
      <c r="D57" s="22"/>
      <c r="E57" s="22"/>
      <c r="F57" s="21"/>
      <c r="H57" s="1"/>
      <c r="I57" s="22"/>
      <c r="J57" s="22"/>
      <c r="K57" s="22"/>
      <c r="L57" s="21"/>
    </row>
    <row r="58" spans="2:12" x14ac:dyDescent="0.35">
      <c r="B58" s="13" t="s">
        <v>10</v>
      </c>
      <c r="C58" s="22"/>
      <c r="D58" s="22"/>
      <c r="E58" s="28">
        <f ca="1">E55-E56</f>
        <v>10509.977546412443</v>
      </c>
      <c r="F58" s="16">
        <f ca="1">F55-F56</f>
        <v>12327.279552508668</v>
      </c>
      <c r="H58" s="13" t="s">
        <v>10</v>
      </c>
      <c r="I58" s="22"/>
      <c r="J58" s="22"/>
      <c r="K58" s="28">
        <f>K55-K56</f>
        <v>2814.0000000000009</v>
      </c>
      <c r="L58" s="16">
        <f>L55-L56</f>
        <v>3371</v>
      </c>
    </row>
    <row r="59" spans="2:12" x14ac:dyDescent="0.35">
      <c r="B59" s="10"/>
      <c r="C59" s="22"/>
      <c r="D59" s="22"/>
      <c r="E59" s="22"/>
      <c r="F59" s="21"/>
      <c r="H59" s="10"/>
      <c r="I59" s="22"/>
      <c r="J59" s="22"/>
      <c r="K59" s="22"/>
      <c r="L59" s="21"/>
    </row>
    <row r="60" spans="2:12" x14ac:dyDescent="0.35">
      <c r="B60" s="13" t="s">
        <v>114</v>
      </c>
      <c r="C60" s="22"/>
      <c r="D60" s="22"/>
      <c r="E60" s="63">
        <f ca="1">E58*Units/E61</f>
        <v>11.587562964275218</v>
      </c>
      <c r="F60" s="17">
        <f ca="1">F58*Units/F61</f>
        <v>13.59119249894837</v>
      </c>
      <c r="H60" s="13" t="s">
        <v>114</v>
      </c>
      <c r="I60" s="22"/>
      <c r="J60" s="22"/>
      <c r="K60" s="63">
        <f>K58*Units/K61</f>
        <v>5.0250000000000012</v>
      </c>
      <c r="L60" s="17">
        <f>L58*Units/L61</f>
        <v>6.0196428571428573</v>
      </c>
    </row>
    <row r="61" spans="2:12" x14ac:dyDescent="0.35">
      <c r="B61" s="386" t="s">
        <v>12</v>
      </c>
      <c r="C61" s="23"/>
      <c r="D61" s="23"/>
      <c r="E61" s="392">
        <f>'AAPL-3-Statements'!I88</f>
        <v>907005</v>
      </c>
      <c r="F61" s="394">
        <f>'AAPL-3-Statements'!J88</f>
        <v>907005</v>
      </c>
      <c r="H61" s="386" t="s">
        <v>12</v>
      </c>
      <c r="I61" s="23"/>
      <c r="J61" s="23"/>
      <c r="K61" s="64">
        <v>560000</v>
      </c>
      <c r="L61" s="424">
        <v>560000</v>
      </c>
    </row>
    <row r="63" spans="2:12" x14ac:dyDescent="0.35">
      <c r="B63" s="272" t="s">
        <v>292</v>
      </c>
      <c r="C63" s="374"/>
      <c r="D63" s="374"/>
      <c r="E63" s="374"/>
      <c r="F63" s="375"/>
    </row>
    <row r="64" spans="2:12" x14ac:dyDescent="0.35">
      <c r="B64" s="1"/>
      <c r="C64" s="22"/>
      <c r="D64" s="22"/>
      <c r="E64" s="22"/>
      <c r="F64" s="21"/>
    </row>
    <row r="65" spans="2:6" x14ac:dyDescent="0.35">
      <c r="B65" s="1"/>
      <c r="C65" s="22"/>
      <c r="D65" s="22"/>
      <c r="E65" s="129" t="str">
        <f>E42</f>
        <v>FY 2010E</v>
      </c>
      <c r="F65" s="388" t="str">
        <f>F42</f>
        <v>FY 2011E</v>
      </c>
    </row>
    <row r="66" spans="2:6" x14ac:dyDescent="0.35">
      <c r="B66" s="3" t="s">
        <v>293</v>
      </c>
      <c r="C66" s="22"/>
      <c r="D66" s="22"/>
      <c r="E66" s="19">
        <f>E43+K43</f>
        <v>70862.25</v>
      </c>
      <c r="F66" s="79">
        <f>F43+L43</f>
        <v>83616.5625</v>
      </c>
    </row>
    <row r="67" spans="2:6" x14ac:dyDescent="0.35">
      <c r="B67" s="458" t="s">
        <v>301</v>
      </c>
      <c r="C67" s="401"/>
      <c r="D67" s="401"/>
      <c r="E67" s="460">
        <f>K43*$F$13</f>
        <v>1723.1000000000001</v>
      </c>
      <c r="F67" s="461">
        <f>L43*$F$13</f>
        <v>2086.8000000000002</v>
      </c>
    </row>
    <row r="68" spans="2:6" x14ac:dyDescent="0.35">
      <c r="B68" s="1" t="s">
        <v>71</v>
      </c>
      <c r="C68" s="22"/>
      <c r="D68" s="22"/>
      <c r="E68" s="20">
        <f>E44+K44</f>
        <v>41410.416666666664</v>
      </c>
      <c r="F68" s="78">
        <f>F44+L44</f>
        <v>48905.337499999994</v>
      </c>
    </row>
    <row r="69" spans="2:6" x14ac:dyDescent="0.35">
      <c r="B69" s="459" t="s">
        <v>302</v>
      </c>
      <c r="C69" s="401"/>
      <c r="D69" s="401"/>
      <c r="E69" s="460">
        <f>E67*$L$13</f>
        <v>861.55000000000007</v>
      </c>
      <c r="F69" s="461">
        <f>F67*$L$13</f>
        <v>1043.4000000000001</v>
      </c>
    </row>
    <row r="70" spans="2:6" x14ac:dyDescent="0.35">
      <c r="B70" s="12" t="s">
        <v>0</v>
      </c>
      <c r="C70" s="22"/>
      <c r="D70" s="22"/>
      <c r="E70" s="19">
        <f>E66+E67-E68-E69</f>
        <v>30313.383333333342</v>
      </c>
      <c r="F70" s="80">
        <f>F66+F67-F68-F69</f>
        <v>35754.625000000007</v>
      </c>
    </row>
    <row r="71" spans="2:6" x14ac:dyDescent="0.35">
      <c r="B71" s="1"/>
      <c r="C71" s="22"/>
      <c r="D71" s="22"/>
      <c r="E71" s="22"/>
      <c r="F71" s="21"/>
    </row>
    <row r="72" spans="2:6" x14ac:dyDescent="0.35">
      <c r="B72" s="13" t="s">
        <v>1</v>
      </c>
      <c r="C72" s="22"/>
      <c r="D72" s="22"/>
      <c r="E72" s="19">
        <f>E47+K47</f>
        <v>8193.3653333333332</v>
      </c>
      <c r="F72" s="80">
        <f>F47+L47</f>
        <v>9689.0849999999991</v>
      </c>
    </row>
    <row r="73" spans="2:6" x14ac:dyDescent="0.35">
      <c r="B73" s="458" t="s">
        <v>304</v>
      </c>
      <c r="C73" s="401"/>
      <c r="D73" s="401"/>
      <c r="E73" s="460">
        <f>K47*$F$14</f>
        <v>269.75319999999999</v>
      </c>
      <c r="F73" s="461">
        <f>L47*$F$14</f>
        <v>325.89600000000002</v>
      </c>
    </row>
    <row r="74" spans="2:6" x14ac:dyDescent="0.35">
      <c r="B74" s="13"/>
      <c r="C74" s="22"/>
      <c r="D74" s="22"/>
      <c r="E74" s="425"/>
      <c r="F74" s="426"/>
    </row>
    <row r="75" spans="2:6" x14ac:dyDescent="0.35">
      <c r="B75" s="10" t="s">
        <v>290</v>
      </c>
      <c r="C75" s="22"/>
      <c r="D75" s="22"/>
      <c r="E75" s="20">
        <f>E49+K49</f>
        <v>1348.2749999999999</v>
      </c>
      <c r="F75" s="78">
        <f>F49+L49</f>
        <v>1636.9109999999996</v>
      </c>
    </row>
    <row r="76" spans="2:6" x14ac:dyDescent="0.35">
      <c r="B76" s="462" t="s">
        <v>325</v>
      </c>
      <c r="C76" s="401"/>
      <c r="D76" s="401"/>
      <c r="E76" s="460">
        <f>$L$20/$L$21</f>
        <v>21.717537500000002</v>
      </c>
      <c r="F76" s="461">
        <f>$L$20/$L$21</f>
        <v>21.717537500000002</v>
      </c>
    </row>
    <row r="77" spans="2:6" x14ac:dyDescent="0.35">
      <c r="B77" s="10" t="s">
        <v>96</v>
      </c>
      <c r="C77" s="22"/>
      <c r="D77" s="22"/>
      <c r="E77" s="20">
        <f>E50+K50</f>
        <v>399</v>
      </c>
      <c r="F77" s="78">
        <f>F50+L50</f>
        <v>470</v>
      </c>
    </row>
    <row r="78" spans="2:6" x14ac:dyDescent="0.35">
      <c r="B78" s="462" t="s">
        <v>326</v>
      </c>
      <c r="C78" s="401"/>
      <c r="D78" s="401"/>
      <c r="E78" s="460">
        <f>$L$26/$L$27</f>
        <v>1448.3543640000003</v>
      </c>
      <c r="F78" s="461">
        <f>$L$26/$L$27</f>
        <v>1448.3543640000003</v>
      </c>
    </row>
    <row r="79" spans="2:6" x14ac:dyDescent="0.35">
      <c r="B79" s="107" t="s">
        <v>44</v>
      </c>
      <c r="C79" s="22"/>
      <c r="D79" s="22"/>
      <c r="E79" s="20">
        <f>E51+K51</f>
        <v>939.19299999999998</v>
      </c>
      <c r="F79" s="78">
        <f>F51+L51</f>
        <v>1100.9789999999998</v>
      </c>
    </row>
    <row r="80" spans="2:6" x14ac:dyDescent="0.35">
      <c r="B80" s="1"/>
      <c r="C80" s="22"/>
      <c r="D80" s="22"/>
      <c r="E80" s="22"/>
      <c r="F80" s="21"/>
    </row>
    <row r="81" spans="2:12" x14ac:dyDescent="0.35">
      <c r="B81" s="13" t="s">
        <v>3</v>
      </c>
      <c r="C81" s="22"/>
      <c r="D81" s="22"/>
      <c r="E81" s="28">
        <f>E70-E72+E73-E75-E76-E77-E78-E79</f>
        <v>18233.23129850001</v>
      </c>
      <c r="F81" s="16">
        <f>F70-F72+F73-F75-F76-F77-F78-F79</f>
        <v>21713.47409850001</v>
      </c>
    </row>
    <row r="82" spans="2:12" x14ac:dyDescent="0.35">
      <c r="B82" s="10" t="s">
        <v>294</v>
      </c>
      <c r="C82" s="22"/>
      <c r="D82" s="22"/>
      <c r="E82" s="69">
        <f ca="1">E54+K54</f>
        <v>404.2536377320622</v>
      </c>
      <c r="F82" s="85">
        <f ca="1">F54+L54</f>
        <v>510.14936072666785</v>
      </c>
    </row>
    <row r="83" spans="2:12" x14ac:dyDescent="0.35">
      <c r="B83" s="395" t="s">
        <v>295</v>
      </c>
      <c r="C83" s="31"/>
      <c r="D83" s="31"/>
      <c r="E83" s="396">
        <f>-$L$8*$F$11</f>
        <v>-143.496407</v>
      </c>
      <c r="F83" s="397">
        <f>-$L$8*$F$11</f>
        <v>-143.496407</v>
      </c>
    </row>
    <row r="84" spans="2:12" x14ac:dyDescent="0.35">
      <c r="B84" s="398" t="s">
        <v>296</v>
      </c>
      <c r="C84" s="23"/>
      <c r="D84" s="23"/>
      <c r="E84" s="399">
        <f>-$L$9*$L$11</f>
        <v>-1291.4676629999999</v>
      </c>
      <c r="F84" s="400">
        <f>-$L$9*$L$11</f>
        <v>-1291.4676629999999</v>
      </c>
    </row>
    <row r="85" spans="2:12" x14ac:dyDescent="0.35">
      <c r="B85" s="13" t="s">
        <v>4</v>
      </c>
      <c r="C85" s="22"/>
      <c r="D85" s="22"/>
      <c r="E85" s="28">
        <f ca="1">E81+E82+E83+E84</f>
        <v>17202.520866232073</v>
      </c>
      <c r="F85" s="16">
        <f ca="1">F81+F82+F83+F84</f>
        <v>20788.659389226679</v>
      </c>
    </row>
    <row r="86" spans="2:12" x14ac:dyDescent="0.35">
      <c r="B86" s="11" t="s">
        <v>5</v>
      </c>
      <c r="C86" s="22"/>
      <c r="D86" s="22"/>
      <c r="E86" s="69">
        <f ca="1">E85*$F$38</f>
        <v>5160.7562598696213</v>
      </c>
      <c r="F86" s="85">
        <f ca="1">F85*$F$38</f>
        <v>6236.5978167680032</v>
      </c>
    </row>
    <row r="87" spans="2:12" x14ac:dyDescent="0.35">
      <c r="B87" s="1"/>
      <c r="C87" s="22"/>
      <c r="D87" s="22"/>
      <c r="E87" s="22"/>
      <c r="F87" s="21"/>
    </row>
    <row r="88" spans="2:12" x14ac:dyDescent="0.35">
      <c r="B88" s="13" t="s">
        <v>10</v>
      </c>
      <c r="C88" s="22"/>
      <c r="D88" s="22"/>
      <c r="E88" s="28">
        <f ca="1">E85-E86</f>
        <v>12041.764606362452</v>
      </c>
      <c r="F88" s="16">
        <f ca="1">F85-F86</f>
        <v>14552.061572458675</v>
      </c>
    </row>
    <row r="89" spans="2:12" x14ac:dyDescent="0.35">
      <c r="B89" s="10"/>
      <c r="C89" s="22"/>
      <c r="D89" s="22"/>
      <c r="E89" s="22"/>
      <c r="F89" s="21"/>
    </row>
    <row r="90" spans="2:12" x14ac:dyDescent="0.35">
      <c r="B90" s="13" t="s">
        <v>114</v>
      </c>
      <c r="C90" s="22"/>
      <c r="D90" s="22"/>
      <c r="E90" s="63">
        <f ca="1">E88*Units/E91</f>
        <v>12.265994795581424</v>
      </c>
      <c r="F90" s="17">
        <f ca="1">F88*Units/F91</f>
        <v>14.823036103732479</v>
      </c>
    </row>
    <row r="91" spans="2:12" x14ac:dyDescent="0.35">
      <c r="B91" s="454" t="s">
        <v>12</v>
      </c>
      <c r="C91" s="401"/>
      <c r="D91" s="401"/>
      <c r="E91" s="455">
        <f>E61+$L$10</f>
        <v>981719.36374049773</v>
      </c>
      <c r="F91" s="456">
        <f>F61+$L$10</f>
        <v>981719.36374049773</v>
      </c>
    </row>
    <row r="92" spans="2:12" x14ac:dyDescent="0.35">
      <c r="B92" s="51"/>
      <c r="C92" s="22"/>
      <c r="D92" s="22"/>
      <c r="E92" s="122"/>
      <c r="F92" s="124"/>
    </row>
    <row r="93" spans="2:12" x14ac:dyDescent="0.35">
      <c r="B93" s="13" t="s">
        <v>297</v>
      </c>
      <c r="C93" s="22"/>
      <c r="D93" s="22"/>
      <c r="E93" s="63">
        <f ca="1">E90-E60</f>
        <v>0.67843183130620588</v>
      </c>
      <c r="F93" s="17">
        <f ca="1">F90-F60</f>
        <v>1.2318436047841086</v>
      </c>
    </row>
    <row r="94" spans="2:12" x14ac:dyDescent="0.35">
      <c r="B94" s="451" t="s">
        <v>298</v>
      </c>
      <c r="C94" s="23"/>
      <c r="D94" s="23"/>
      <c r="E94" s="452">
        <f ca="1">E93/E60</f>
        <v>5.8548275715767865E-2</v>
      </c>
      <c r="F94" s="453">
        <f ca="1">F93/F60</f>
        <v>9.0635432091733192E-2</v>
      </c>
    </row>
    <row r="96" spans="2:12" x14ac:dyDescent="0.35">
      <c r="B96" s="34" t="s">
        <v>327</v>
      </c>
      <c r="C96" s="143"/>
      <c r="D96" s="143"/>
      <c r="E96" s="143"/>
      <c r="F96" s="143"/>
      <c r="G96" s="143"/>
      <c r="H96" s="143"/>
      <c r="I96" s="143"/>
      <c r="J96" s="143"/>
      <c r="K96" s="143"/>
      <c r="L96" s="143"/>
    </row>
    <row r="97" spans="2:12" x14ac:dyDescent="0.35">
      <c r="B97" s="143"/>
      <c r="C97" s="143"/>
      <c r="D97" s="143"/>
      <c r="E97" s="143"/>
      <c r="F97" s="143"/>
      <c r="G97" s="143"/>
      <c r="H97" s="143"/>
      <c r="I97" s="143"/>
      <c r="J97" s="143"/>
      <c r="K97" s="143"/>
      <c r="L97" s="143"/>
    </row>
    <row r="98" spans="2:12" x14ac:dyDescent="0.35">
      <c r="B98" s="430"/>
      <c r="C98" s="431"/>
      <c r="D98" s="432" t="s">
        <v>330</v>
      </c>
      <c r="E98" s="432"/>
      <c r="F98" s="432"/>
      <c r="G98" s="432"/>
      <c r="H98" s="432"/>
      <c r="I98" s="432"/>
      <c r="J98" s="432"/>
      <c r="K98" s="432"/>
      <c r="L98" s="433"/>
    </row>
    <row r="99" spans="2:12" x14ac:dyDescent="0.35">
      <c r="B99" s="434"/>
      <c r="C99" s="435">
        <f ca="1">E94</f>
        <v>5.8548275715767865E-2</v>
      </c>
      <c r="D99" s="436">
        <v>0</v>
      </c>
      <c r="E99" s="436">
        <f>D99+2%</f>
        <v>0.02</v>
      </c>
      <c r="F99" s="436">
        <f t="shared" ref="F99:L99" si="0">E99+2%</f>
        <v>0.04</v>
      </c>
      <c r="G99" s="436">
        <f t="shared" si="0"/>
        <v>0.06</v>
      </c>
      <c r="H99" s="436">
        <f t="shared" si="0"/>
        <v>0.08</v>
      </c>
      <c r="I99" s="436">
        <f t="shared" si="0"/>
        <v>0.1</v>
      </c>
      <c r="J99" s="436">
        <f t="shared" si="0"/>
        <v>0.12000000000000001</v>
      </c>
      <c r="K99" s="436">
        <f t="shared" si="0"/>
        <v>0.14000000000000001</v>
      </c>
      <c r="L99" s="437">
        <f t="shared" si="0"/>
        <v>0.16</v>
      </c>
    </row>
    <row r="100" spans="2:12" x14ac:dyDescent="0.35">
      <c r="B100" s="499" t="s">
        <v>329</v>
      </c>
      <c r="C100" s="438">
        <f t="shared" ref="C100:C107" si="1">C101+5</f>
        <v>110</v>
      </c>
      <c r="D100" s="439">
        <f t="dataTable" ref="D100:L109" dt2D="1" dtr="0" r1="F14" r2="F7" ca="1"/>
        <v>-8.2449079283508434E-2</v>
      </c>
      <c r="E100" s="440">
        <v>-7.9244148350117241E-2</v>
      </c>
      <c r="F100" s="440">
        <v>-7.6039217416726035E-2</v>
      </c>
      <c r="G100" s="440">
        <v>-7.2834286483334676E-2</v>
      </c>
      <c r="H100" s="440">
        <v>-6.9629355549943775E-2</v>
      </c>
      <c r="I100" s="440">
        <v>-6.6424424616552569E-2</v>
      </c>
      <c r="J100" s="440">
        <v>-6.321949368316121E-2</v>
      </c>
      <c r="K100" s="440">
        <v>-6.001456274977001E-2</v>
      </c>
      <c r="L100" s="441">
        <v>-5.6809631816378964E-2</v>
      </c>
    </row>
    <row r="101" spans="2:12" x14ac:dyDescent="0.35">
      <c r="B101" s="499"/>
      <c r="C101" s="438">
        <f t="shared" si="1"/>
        <v>105</v>
      </c>
      <c r="D101" s="442">
        <v>-6.5207693650563558E-2</v>
      </c>
      <c r="E101" s="443">
        <v>-6.1986838607903848E-2</v>
      </c>
      <c r="F101" s="443">
        <v>-5.8765983565243984E-2</v>
      </c>
      <c r="G101" s="443">
        <v>-5.5545128522583823E-2</v>
      </c>
      <c r="H101" s="443">
        <v>-5.2324273479923807E-2</v>
      </c>
      <c r="I101" s="443">
        <v>-4.9103418437263943E-2</v>
      </c>
      <c r="J101" s="443">
        <v>-4.5882563394604239E-2</v>
      </c>
      <c r="K101" s="443">
        <v>-4.2661708351944071E-2</v>
      </c>
      <c r="L101" s="444">
        <v>-3.9440853309283902E-2</v>
      </c>
    </row>
    <row r="102" spans="2:12" x14ac:dyDescent="0.35">
      <c r="B102" s="499"/>
      <c r="C102" s="438">
        <f t="shared" si="1"/>
        <v>100</v>
      </c>
      <c r="D102" s="442">
        <v>-4.7794120421977795E-2</v>
      </c>
      <c r="E102" s="443">
        <v>-4.4557182237930308E-2</v>
      </c>
      <c r="F102" s="443">
        <v>-4.1320244053882967E-2</v>
      </c>
      <c r="G102" s="443">
        <v>-3.808330586983532E-2</v>
      </c>
      <c r="H102" s="443">
        <v>-3.4846367685787832E-2</v>
      </c>
      <c r="I102" s="443">
        <v>-3.1609429501740338E-2</v>
      </c>
      <c r="J102" s="443">
        <v>-2.8372491317692847E-2</v>
      </c>
      <c r="K102" s="443">
        <v>-2.5135553133645204E-2</v>
      </c>
      <c r="L102" s="444">
        <v>-2.189861494959771E-2</v>
      </c>
    </row>
    <row r="103" spans="2:12" x14ac:dyDescent="0.35">
      <c r="B103" s="499"/>
      <c r="C103" s="438">
        <f t="shared" si="1"/>
        <v>95</v>
      </c>
      <c r="D103" s="442">
        <v>-3.0205767228436414E-2</v>
      </c>
      <c r="E103" s="443">
        <v>-2.6952584476575406E-2</v>
      </c>
      <c r="F103" s="443">
        <v>-2.3699401724714554E-2</v>
      </c>
      <c r="G103" s="443">
        <v>-2.0446218972853397E-2</v>
      </c>
      <c r="H103" s="443">
        <v>-1.7193036220992393E-2</v>
      </c>
      <c r="I103" s="443">
        <v>-1.3939853469131539E-2</v>
      </c>
      <c r="J103" s="443">
        <v>-1.0686670717270533E-2</v>
      </c>
      <c r="K103" s="443">
        <v>-7.4334879654095291E-3</v>
      </c>
      <c r="L103" s="444">
        <v>-4.1803052135486775E-3</v>
      </c>
    </row>
    <row r="104" spans="2:12" x14ac:dyDescent="0.35">
      <c r="B104" s="499"/>
      <c r="C104" s="438">
        <f t="shared" si="1"/>
        <v>90</v>
      </c>
      <c r="D104" s="442">
        <v>-1.2439989398947417E-2</v>
      </c>
      <c r="E104" s="443">
        <v>-9.1703982102341926E-3</v>
      </c>
      <c r="F104" s="443">
        <v>-5.900807021521277E-3</v>
      </c>
      <c r="G104" s="443">
        <v>-2.6312158328079E-3</v>
      </c>
      <c r="H104" s="443">
        <v>6.3837535590516976E-4</v>
      </c>
      <c r="I104" s="443">
        <v>3.9079665446179329E-3</v>
      </c>
      <c r="J104" s="443">
        <v>7.1775577333313099E-3</v>
      </c>
      <c r="K104" s="443">
        <v>1.044714892204438E-2</v>
      </c>
      <c r="L104" s="444">
        <v>1.371674011075745E-2</v>
      </c>
    </row>
    <row r="105" spans="2:12" x14ac:dyDescent="0.35">
      <c r="B105" s="499"/>
      <c r="C105" s="438">
        <f t="shared" si="1"/>
        <v>85</v>
      </c>
      <c r="D105" s="442">
        <v>5.5059113648427537E-3</v>
      </c>
      <c r="E105" s="443">
        <v>8.7920773515895688E-3</v>
      </c>
      <c r="F105" s="443">
        <v>1.2078243338336386E-2</v>
      </c>
      <c r="G105" s="443">
        <v>1.5364409325083508E-2</v>
      </c>
      <c r="H105" s="443">
        <v>1.8650575311830477E-2</v>
      </c>
      <c r="I105" s="443">
        <v>2.1936741298577447E-2</v>
      </c>
      <c r="J105" s="443">
        <v>2.522290728532426E-2</v>
      </c>
      <c r="K105" s="443">
        <v>2.8509073272071382E-2</v>
      </c>
      <c r="L105" s="444">
        <v>3.1795239258818199E-2</v>
      </c>
    </row>
    <row r="106" spans="2:12" x14ac:dyDescent="0.35">
      <c r="B106" s="499"/>
      <c r="C106" s="438">
        <f t="shared" si="1"/>
        <v>80</v>
      </c>
      <c r="D106" s="442">
        <v>2.36346883548622E-2</v>
      </c>
      <c r="E106" s="443">
        <v>2.6937598043759527E-2</v>
      </c>
      <c r="F106" s="443">
        <v>3.0240507732656699E-2</v>
      </c>
      <c r="G106" s="443">
        <v>3.3543417421554332E-2</v>
      </c>
      <c r="H106" s="443">
        <v>3.6846327110451813E-2</v>
      </c>
      <c r="I106" s="443">
        <v>4.0149236799348988E-2</v>
      </c>
      <c r="J106" s="443">
        <v>4.3452146488246315E-2</v>
      </c>
      <c r="K106" s="443">
        <v>4.6755056177143796E-2</v>
      </c>
      <c r="L106" s="444">
        <v>5.0057965866040971E-2</v>
      </c>
    </row>
    <row r="107" spans="2:12" x14ac:dyDescent="0.35">
      <c r="B107" s="499"/>
      <c r="C107" s="438">
        <f t="shared" si="1"/>
        <v>75</v>
      </c>
      <c r="D107" s="442">
        <v>4.1949151264808554E-2</v>
      </c>
      <c r="E107" s="443">
        <v>4.5268976155000321E-2</v>
      </c>
      <c r="F107" s="443">
        <v>4.8588801045192094E-2</v>
      </c>
      <c r="G107" s="443">
        <v>5.1908625935384173E-2</v>
      </c>
      <c r="H107" s="443">
        <v>5.5228450825575787E-2</v>
      </c>
      <c r="I107" s="443">
        <v>5.8548275715767865E-2</v>
      </c>
      <c r="J107" s="443">
        <v>6.1868100605959639E-2</v>
      </c>
      <c r="K107" s="443">
        <v>6.5187925496151558E-2</v>
      </c>
      <c r="L107" s="444">
        <v>6.8507750386343338E-2</v>
      </c>
    </row>
    <row r="108" spans="2:12" x14ac:dyDescent="0.35">
      <c r="B108" s="499"/>
      <c r="C108" s="438">
        <f>C109+5</f>
        <v>70</v>
      </c>
      <c r="D108" s="442">
        <v>6.0452167641835086E-2</v>
      </c>
      <c r="E108" s="443">
        <v>6.3789081880926149E-2</v>
      </c>
      <c r="F108" s="443">
        <v>6.7125996120017364E-2</v>
      </c>
      <c r="G108" s="443">
        <v>7.046291035910858E-2</v>
      </c>
      <c r="H108" s="443">
        <v>7.3799824598199948E-2</v>
      </c>
      <c r="I108" s="443">
        <v>7.7136738837291163E-2</v>
      </c>
      <c r="J108" s="443">
        <v>8.0473653076382226E-2</v>
      </c>
      <c r="K108" s="443">
        <v>8.3810567315473761E-2</v>
      </c>
      <c r="L108" s="444">
        <v>8.7147481554564823E-2</v>
      </c>
    </row>
    <row r="109" spans="2:12" x14ac:dyDescent="0.35">
      <c r="B109" s="500"/>
      <c r="C109" s="445">
        <v>65</v>
      </c>
      <c r="D109" s="446">
        <v>7.9146664383307377E-2</v>
      </c>
      <c r="E109" s="447">
        <v>8.2500844822179384E-2</v>
      </c>
      <c r="F109" s="447">
        <v>8.5855025261051238E-2</v>
      </c>
      <c r="G109" s="447">
        <v>8.9209205699923549E-2</v>
      </c>
      <c r="H109" s="447">
        <v>9.2563386138795709E-2</v>
      </c>
      <c r="I109" s="447">
        <v>9.591756657766741E-2</v>
      </c>
      <c r="J109" s="447">
        <v>9.927174701653943E-2</v>
      </c>
      <c r="K109" s="447">
        <v>0.10262592745541159</v>
      </c>
      <c r="L109" s="448">
        <v>0.10598010789428375</v>
      </c>
    </row>
    <row r="111" spans="2:12" x14ac:dyDescent="0.35">
      <c r="B111" s="34" t="s">
        <v>328</v>
      </c>
    </row>
    <row r="113" spans="2:12" x14ac:dyDescent="0.35">
      <c r="B113" s="430"/>
      <c r="C113" s="431"/>
      <c r="D113" s="432" t="s">
        <v>331</v>
      </c>
      <c r="E113" s="432"/>
      <c r="F113" s="432"/>
      <c r="G113" s="432"/>
      <c r="H113" s="432"/>
      <c r="I113" s="432"/>
      <c r="J113" s="432"/>
      <c r="K113" s="432"/>
      <c r="L113" s="433"/>
    </row>
    <row r="114" spans="2:12" x14ac:dyDescent="0.35">
      <c r="B114" s="434"/>
      <c r="C114" s="435">
        <f ca="1">E94</f>
        <v>5.8548275715767865E-2</v>
      </c>
      <c r="D114" s="436">
        <f>D99</f>
        <v>0</v>
      </c>
      <c r="E114" s="436">
        <f t="shared" ref="E114:L114" si="2">E99</f>
        <v>0.02</v>
      </c>
      <c r="F114" s="436">
        <f t="shared" si="2"/>
        <v>0.04</v>
      </c>
      <c r="G114" s="436">
        <f t="shared" si="2"/>
        <v>0.06</v>
      </c>
      <c r="H114" s="436">
        <f t="shared" si="2"/>
        <v>0.08</v>
      </c>
      <c r="I114" s="436">
        <f t="shared" si="2"/>
        <v>0.1</v>
      </c>
      <c r="J114" s="436">
        <f t="shared" si="2"/>
        <v>0.12000000000000001</v>
      </c>
      <c r="K114" s="436">
        <f t="shared" si="2"/>
        <v>0.14000000000000001</v>
      </c>
      <c r="L114" s="437">
        <f t="shared" si="2"/>
        <v>0.16</v>
      </c>
    </row>
    <row r="115" spans="2:12" x14ac:dyDescent="0.35">
      <c r="B115" s="499" t="s">
        <v>329</v>
      </c>
      <c r="C115" s="438">
        <f>C100</f>
        <v>110</v>
      </c>
      <c r="D115" s="439">
        <f t="dataTable" ref="D115:L124" dt2D="1" dtr="0" r1="F13" r2="F7" ca="1"/>
        <v>-0.11760469320397243</v>
      </c>
      <c r="E115" s="440">
        <v>-0.10736863948648874</v>
      </c>
      <c r="F115" s="440">
        <v>-9.7132585769004118E-2</v>
      </c>
      <c r="G115" s="440">
        <v>-8.6896532051520883E-2</v>
      </c>
      <c r="H115" s="440">
        <v>-7.6660478334037191E-2</v>
      </c>
      <c r="I115" s="440">
        <v>-6.6424424616552569E-2</v>
      </c>
      <c r="J115" s="440">
        <v>-5.6188370899069341E-2</v>
      </c>
      <c r="K115" s="440">
        <v>-4.5952317181585642E-2</v>
      </c>
      <c r="L115" s="441">
        <v>-3.5716263464101027E-2</v>
      </c>
    </row>
    <row r="116" spans="2:12" x14ac:dyDescent="0.35">
      <c r="B116" s="499"/>
      <c r="C116" s="438">
        <f t="shared" ref="C116:C124" si="3">C101</f>
        <v>105</v>
      </c>
      <c r="D116" s="442">
        <v>-0.10053798273536532</v>
      </c>
      <c r="E116" s="443">
        <v>-9.0251069875745327E-2</v>
      </c>
      <c r="F116" s="443">
        <v>-7.9964157016124554E-2</v>
      </c>
      <c r="G116" s="443">
        <v>-6.9677244156504864E-2</v>
      </c>
      <c r="H116" s="443">
        <v>-5.9390331296884862E-2</v>
      </c>
      <c r="I116" s="443">
        <v>-4.9103418437263943E-2</v>
      </c>
      <c r="J116" s="443">
        <v>-3.8816505577644406E-2</v>
      </c>
      <c r="K116" s="443">
        <v>-2.8529592718024407E-2</v>
      </c>
      <c r="L116" s="444">
        <v>-1.8242679858403488E-2</v>
      </c>
    </row>
    <row r="117" spans="2:12" x14ac:dyDescent="0.35">
      <c r="B117" s="499"/>
      <c r="C117" s="438">
        <f t="shared" si="3"/>
        <v>100</v>
      </c>
      <c r="D117" s="442">
        <v>-8.3300829130478177E-2</v>
      </c>
      <c r="E117" s="443">
        <v>-7.2962549204730803E-2</v>
      </c>
      <c r="F117" s="443">
        <v>-6.2624269278982805E-2</v>
      </c>
      <c r="G117" s="443">
        <v>-5.2285989353235876E-2</v>
      </c>
      <c r="H117" s="443">
        <v>-4.1947709427488641E-2</v>
      </c>
      <c r="I117" s="443">
        <v>-3.1609429501740338E-2</v>
      </c>
      <c r="J117" s="443">
        <v>-2.127114957599326E-2</v>
      </c>
      <c r="K117" s="443">
        <v>-1.0932869650246028E-2</v>
      </c>
      <c r="L117" s="444">
        <v>-5.9458972449787735E-4</v>
      </c>
    </row>
    <row r="118" spans="2:12" x14ac:dyDescent="0.35">
      <c r="B118" s="499"/>
      <c r="C118" s="438">
        <f t="shared" si="3"/>
        <v>95</v>
      </c>
      <c r="D118" s="442">
        <v>-6.5890666283694055E-2</v>
      </c>
      <c r="E118" s="443">
        <v>-5.5500503720781795E-2</v>
      </c>
      <c r="F118" s="443">
        <v>-4.5110341157868619E-2</v>
      </c>
      <c r="G118" s="443">
        <v>-3.4720178594956977E-2</v>
      </c>
      <c r="H118" s="443">
        <v>-2.4330016032044717E-2</v>
      </c>
      <c r="I118" s="443">
        <v>-1.3939853469131539E-2</v>
      </c>
      <c r="J118" s="443">
        <v>-3.549690906219895E-3</v>
      </c>
      <c r="K118" s="443">
        <v>6.8404716566923627E-3</v>
      </c>
      <c r="L118" s="444">
        <v>1.723063421960554E-2</v>
      </c>
    </row>
    <row r="119" spans="2:12" x14ac:dyDescent="0.35">
      <c r="B119" s="499"/>
      <c r="C119" s="438">
        <f t="shared" si="3"/>
        <v>90</v>
      </c>
      <c r="D119" s="442">
        <v>-4.830487631759494E-2</v>
      </c>
      <c r="E119" s="443">
        <v>-3.7862307745152396E-2</v>
      </c>
      <c r="F119" s="443">
        <v>-2.7419739172709394E-2</v>
      </c>
      <c r="G119" s="443">
        <v>-1.6977170600267308E-2</v>
      </c>
      <c r="H119" s="443">
        <v>-6.5346020278252244E-3</v>
      </c>
      <c r="I119" s="443">
        <v>3.9079665446179329E-3</v>
      </c>
      <c r="J119" s="443">
        <v>1.4350535117059865E-2</v>
      </c>
      <c r="K119" s="443">
        <v>2.4793103689502254E-2</v>
      </c>
      <c r="L119" s="444">
        <v>3.5235672261945412E-2</v>
      </c>
    </row>
    <row r="120" spans="2:12" x14ac:dyDescent="0.35">
      <c r="B120" s="499"/>
      <c r="C120" s="438">
        <f t="shared" si="3"/>
        <v>85</v>
      </c>
      <c r="D120" s="442">
        <v>-3.0540788270707817E-2</v>
      </c>
      <c r="E120" s="443">
        <v>-2.0045282356851008E-2</v>
      </c>
      <c r="F120" s="443">
        <v>-9.5497764429934365E-3</v>
      </c>
      <c r="G120" s="443">
        <v>9.4572947086275783E-4</v>
      </c>
      <c r="H120" s="443">
        <v>1.1441235384719719E-2</v>
      </c>
      <c r="I120" s="443">
        <v>2.1936741298577447E-2</v>
      </c>
      <c r="J120" s="443">
        <v>3.243224721243379E-2</v>
      </c>
      <c r="K120" s="443">
        <v>4.2927753126290602E-2</v>
      </c>
      <c r="L120" s="444">
        <v>5.342325904014817E-2</v>
      </c>
    </row>
    <row r="121" spans="2:12" x14ac:dyDescent="0.35">
      <c r="B121" s="499"/>
      <c r="C121" s="438">
        <f t="shared" si="3"/>
        <v>80</v>
      </c>
      <c r="D121" s="442">
        <v>-1.2595676745134662E-2</v>
      </c>
      <c r="E121" s="443">
        <v>-2.0466940362382081E-3</v>
      </c>
      <c r="F121" s="443">
        <v>8.502288672659012E-3</v>
      </c>
      <c r="G121" s="443">
        <v>1.9051271381555161E-2</v>
      </c>
      <c r="H121" s="443">
        <v>2.9600254090451614E-2</v>
      </c>
      <c r="I121" s="443">
        <v>4.0149236799348988E-2</v>
      </c>
      <c r="J121" s="443">
        <v>5.0698219508244831E-2</v>
      </c>
      <c r="K121" s="443">
        <v>6.1247202217141437E-2</v>
      </c>
      <c r="L121" s="444">
        <v>7.1796184926038967E-2</v>
      </c>
    </row>
    <row r="122" spans="2:12" x14ac:dyDescent="0.35">
      <c r="B122" s="499"/>
      <c r="C122" s="438">
        <f t="shared" si="3"/>
        <v>75</v>
      </c>
      <c r="D122" s="442">
        <v>5.5332394873776267E-3</v>
      </c>
      <c r="E122" s="443">
        <v>1.613624673305546E-2</v>
      </c>
      <c r="F122" s="443">
        <v>2.673925397873406E-2</v>
      </c>
      <c r="G122" s="443">
        <v>3.7342261224411435E-2</v>
      </c>
      <c r="H122" s="443">
        <v>4.7945268470089265E-2</v>
      </c>
      <c r="I122" s="443">
        <v>5.8548275715767865E-2</v>
      </c>
      <c r="J122" s="443">
        <v>6.9151282961444932E-2</v>
      </c>
      <c r="K122" s="443">
        <v>7.9754290207122769E-2</v>
      </c>
      <c r="L122" s="444">
        <v>9.0357297452801522E-2</v>
      </c>
    </row>
    <row r="123" spans="2:12" x14ac:dyDescent="0.35">
      <c r="B123" s="499"/>
      <c r="C123" s="438">
        <f t="shared" si="3"/>
        <v>70</v>
      </c>
      <c r="D123" s="442">
        <v>2.3848798922415582E-2</v>
      </c>
      <c r="E123" s="443">
        <v>3.450638690539036E-2</v>
      </c>
      <c r="F123" s="443">
        <v>4.5163974888366064E-2</v>
      </c>
      <c r="G123" s="443">
        <v>5.582156287134038E-2</v>
      </c>
      <c r="H123" s="443">
        <v>6.6479150854315466E-2</v>
      </c>
      <c r="I123" s="443">
        <v>7.7136738837291163E-2</v>
      </c>
      <c r="J123" s="443">
        <v>8.7794326820265639E-2</v>
      </c>
      <c r="K123" s="443">
        <v>9.845191480324042E-2</v>
      </c>
      <c r="L123" s="444">
        <v>0.10910950278621612</v>
      </c>
    </row>
    <row r="124" spans="2:12" x14ac:dyDescent="0.35">
      <c r="B124" s="500"/>
      <c r="C124" s="445">
        <f t="shared" si="3"/>
        <v>65</v>
      </c>
      <c r="D124" s="446">
        <v>4.2353898804491218E-2</v>
      </c>
      <c r="E124" s="447">
        <v>5.3066632359126217E-2</v>
      </c>
      <c r="F124" s="447">
        <v>6.3779365913762126E-2</v>
      </c>
      <c r="G124" s="447">
        <v>7.4492099468396508E-2</v>
      </c>
      <c r="H124" s="447">
        <v>8.5204833023031501E-2</v>
      </c>
      <c r="I124" s="447">
        <v>9.591756657766741E-2</v>
      </c>
      <c r="J124" s="447">
        <v>0.1066303001323021</v>
      </c>
      <c r="K124" s="447">
        <v>0.11734303368693726</v>
      </c>
      <c r="L124" s="448">
        <v>0.128055767241573</v>
      </c>
    </row>
  </sheetData>
  <mergeCells count="2">
    <mergeCell ref="B100:B109"/>
    <mergeCell ref="B115:B124"/>
  </mergeCells>
  <pageMargins left="0.75" right="0.75" top="1" bottom="1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8009-01F5-4F95-9B57-D8001E58FD12}">
  <dimension ref="B2:O66"/>
  <sheetViews>
    <sheetView workbookViewId="0">
      <selection activeCell="E178" sqref="E178"/>
    </sheetView>
  </sheetViews>
  <sheetFormatPr defaultColWidth="8.81640625" defaultRowHeight="14.5" x14ac:dyDescent="0.35"/>
  <cols>
    <col min="1" max="1" width="2.6328125" customWidth="1"/>
    <col min="12" max="12" width="9.1796875" customWidth="1"/>
  </cols>
  <sheetData>
    <row r="2" spans="2:15" x14ac:dyDescent="0.35">
      <c r="B2" s="34" t="str">
        <f>"Merger Model - Seller Diluted Share Count &amp; Combined Balance Sheets"</f>
        <v>Merger Model - Seller Diluted Share Count &amp; Combined Balance Sheets</v>
      </c>
    </row>
    <row r="3" spans="2:15" x14ac:dyDescent="0.35">
      <c r="B3" t="str">
        <f>'AAPL-3-Statements'!B3</f>
        <v>($ in Millions, Except Per Share Amounts in Dollars and Share Counts in Thousands)</v>
      </c>
    </row>
    <row r="5" spans="2:15" x14ac:dyDescent="0.35">
      <c r="B5" s="272" t="s">
        <v>285</v>
      </c>
      <c r="C5" s="37"/>
      <c r="D5" s="37"/>
      <c r="E5" s="37"/>
      <c r="F5" s="37"/>
      <c r="G5" s="38"/>
      <c r="H5" s="38"/>
      <c r="I5" s="38"/>
      <c r="J5" s="38"/>
      <c r="K5" s="38"/>
      <c r="L5" s="38"/>
      <c r="M5" s="38"/>
      <c r="N5" s="38"/>
      <c r="O5" s="39"/>
    </row>
    <row r="6" spans="2:15" x14ac:dyDescent="0.35">
      <c r="B6" s="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1"/>
    </row>
    <row r="7" spans="2:15" x14ac:dyDescent="0.35">
      <c r="B7" s="3" t="s">
        <v>66</v>
      </c>
      <c r="C7" s="22"/>
      <c r="E7" s="119" t="s">
        <v>277</v>
      </c>
      <c r="F7" s="22"/>
      <c r="L7" s="66" t="s">
        <v>279</v>
      </c>
      <c r="M7" s="22"/>
      <c r="N7" s="22"/>
      <c r="O7" s="21"/>
    </row>
    <row r="8" spans="2:15" x14ac:dyDescent="0.35">
      <c r="B8" s="3" t="s">
        <v>115</v>
      </c>
      <c r="C8" s="22"/>
      <c r="D8" s="72"/>
      <c r="E8" s="133">
        <v>62.91</v>
      </c>
      <c r="F8" s="22"/>
      <c r="G8" s="22"/>
      <c r="H8" s="22"/>
      <c r="I8" s="22"/>
      <c r="J8" s="22"/>
      <c r="K8" s="22"/>
      <c r="L8" s="22"/>
      <c r="M8" s="22"/>
      <c r="N8" s="22"/>
      <c r="O8" s="21"/>
    </row>
    <row r="9" spans="2:15" x14ac:dyDescent="0.35">
      <c r="B9" s="3" t="s">
        <v>278</v>
      </c>
      <c r="C9" s="22"/>
      <c r="D9" s="72"/>
      <c r="E9" s="406">
        <f>Purchase_Price</f>
        <v>75</v>
      </c>
      <c r="F9" s="22"/>
      <c r="G9" s="66" t="s">
        <v>163</v>
      </c>
      <c r="H9" s="22"/>
      <c r="I9" s="22"/>
      <c r="J9" s="403">
        <v>0.28000000000000003</v>
      </c>
      <c r="K9" s="22"/>
      <c r="L9" s="127"/>
      <c r="M9" s="127"/>
      <c r="N9" s="127" t="s">
        <v>128</v>
      </c>
      <c r="O9" s="387"/>
    </row>
    <row r="10" spans="2:15" x14ac:dyDescent="0.35">
      <c r="B10" s="1"/>
      <c r="C10" s="22"/>
      <c r="D10" s="22"/>
      <c r="E10" s="22"/>
      <c r="F10" s="22"/>
      <c r="G10" s="22"/>
      <c r="H10" s="22"/>
      <c r="I10" s="22"/>
      <c r="J10" s="22"/>
      <c r="K10" s="22"/>
      <c r="L10" s="128" t="s">
        <v>131</v>
      </c>
      <c r="M10" s="129" t="s">
        <v>127</v>
      </c>
      <c r="N10" s="129" t="s">
        <v>129</v>
      </c>
      <c r="O10" s="404" t="s">
        <v>130</v>
      </c>
    </row>
    <row r="11" spans="2:15" x14ac:dyDescent="0.35">
      <c r="B11" s="407" t="s">
        <v>281</v>
      </c>
      <c r="C11" s="408"/>
      <c r="D11" s="408"/>
      <c r="E11" s="408"/>
      <c r="F11" s="22"/>
      <c r="G11" s="410" t="s">
        <v>287</v>
      </c>
      <c r="H11" s="408"/>
      <c r="I11" s="408"/>
      <c r="J11" s="408"/>
      <c r="K11" s="22"/>
      <c r="L11" s="130" t="s">
        <v>132</v>
      </c>
      <c r="M11" s="121">
        <v>10470</v>
      </c>
      <c r="N11" s="133">
        <v>38.57</v>
      </c>
      <c r="O11" s="124">
        <f>IF(N11&gt;Seller_Share_Price,0,M11-M11*N11/Seller_Share_Price)</f>
        <v>4050.8631378159271</v>
      </c>
    </row>
    <row r="12" spans="2:15" x14ac:dyDescent="0.35">
      <c r="B12" s="3" t="s">
        <v>109</v>
      </c>
      <c r="C12" s="22"/>
      <c r="D12" s="22"/>
      <c r="E12" s="121">
        <v>568900</v>
      </c>
      <c r="F12" s="22"/>
      <c r="G12" s="66" t="s">
        <v>109</v>
      </c>
      <c r="J12" s="122">
        <f>E12</f>
        <v>568900</v>
      </c>
      <c r="K12" s="22"/>
      <c r="L12" s="130" t="s">
        <v>133</v>
      </c>
      <c r="M12" s="121"/>
      <c r="N12" s="133"/>
      <c r="O12" s="124"/>
    </row>
    <row r="13" spans="2:15" x14ac:dyDescent="0.35">
      <c r="B13" s="3" t="s">
        <v>110</v>
      </c>
      <c r="C13" s="22"/>
      <c r="D13" s="22"/>
      <c r="E13" s="20">
        <f>E12/Units*Seller_Share_Price</f>
        <v>35789.498999999996</v>
      </c>
      <c r="F13" s="22"/>
      <c r="G13" s="66" t="s">
        <v>110</v>
      </c>
      <c r="J13" s="20">
        <f>J12/Units*E9</f>
        <v>42667.5</v>
      </c>
      <c r="K13" s="22"/>
      <c r="L13" s="132" t="s">
        <v>135</v>
      </c>
      <c r="M13" s="31"/>
      <c r="N13" s="31"/>
      <c r="O13" s="405">
        <f>SUM(O11:O12)</f>
        <v>4050.8631378159271</v>
      </c>
    </row>
    <row r="14" spans="2:15" x14ac:dyDescent="0.35">
      <c r="B14" s="3" t="s">
        <v>12</v>
      </c>
      <c r="C14" s="22"/>
      <c r="D14" s="22"/>
      <c r="E14" s="122">
        <f>E12+O13</f>
        <v>572950.86313781596</v>
      </c>
      <c r="F14" s="22"/>
      <c r="G14" s="66" t="s">
        <v>12</v>
      </c>
      <c r="J14" s="122">
        <f>J12+O21</f>
        <v>573985.62800000003</v>
      </c>
      <c r="K14" s="22"/>
      <c r="O14" s="21"/>
    </row>
    <row r="15" spans="2:15" x14ac:dyDescent="0.35">
      <c r="B15" s="3" t="s">
        <v>113</v>
      </c>
      <c r="C15" s="22"/>
      <c r="D15" s="22"/>
      <c r="E15" s="20">
        <f>E14/Units*Seller_Share_Price</f>
        <v>36044.338800000005</v>
      </c>
      <c r="F15" s="22"/>
      <c r="G15" s="66" t="s">
        <v>113</v>
      </c>
      <c r="J15" s="20">
        <f>J14/Units*E9</f>
        <v>43048.922100000003</v>
      </c>
      <c r="K15" s="22"/>
      <c r="L15" s="66" t="s">
        <v>280</v>
      </c>
      <c r="M15" s="22"/>
      <c r="N15" s="22"/>
      <c r="O15" s="21"/>
    </row>
    <row r="16" spans="2:15" x14ac:dyDescent="0.35">
      <c r="B16" s="10" t="s">
        <v>140</v>
      </c>
      <c r="C16" s="22"/>
      <c r="D16" s="22"/>
      <c r="E16" s="70">
        <f>J27+J35</f>
        <v>2497.7470000000003</v>
      </c>
      <c r="F16" s="22"/>
      <c r="G16" s="409" t="s">
        <v>140</v>
      </c>
      <c r="J16" s="70">
        <f>E16</f>
        <v>2497.7470000000003</v>
      </c>
      <c r="K16" s="22"/>
      <c r="L16" s="22"/>
      <c r="M16" s="22"/>
      <c r="N16" s="22"/>
      <c r="O16" s="21"/>
    </row>
    <row r="17" spans="2:15" x14ac:dyDescent="0.35">
      <c r="B17" s="10" t="s">
        <v>117</v>
      </c>
      <c r="C17" s="22"/>
      <c r="D17" s="22"/>
      <c r="E17" s="59">
        <v>0</v>
      </c>
      <c r="F17" s="22"/>
      <c r="G17" s="409" t="s">
        <v>117</v>
      </c>
      <c r="J17" s="70">
        <f>E17</f>
        <v>0</v>
      </c>
      <c r="K17" s="22"/>
      <c r="L17" s="127"/>
      <c r="M17" s="127"/>
      <c r="N17" s="127" t="s">
        <v>128</v>
      </c>
      <c r="O17" s="387"/>
    </row>
    <row r="18" spans="2:15" x14ac:dyDescent="0.35">
      <c r="B18" s="10" t="s">
        <v>118</v>
      </c>
      <c r="C18" s="22"/>
      <c r="D18" s="22"/>
      <c r="E18" s="59">
        <v>0</v>
      </c>
      <c r="F18" s="22"/>
      <c r="G18" s="409" t="s">
        <v>118</v>
      </c>
      <c r="H18" s="121"/>
      <c r="I18" s="133"/>
      <c r="J18" s="20">
        <f>E18</f>
        <v>0</v>
      </c>
      <c r="K18" s="22"/>
      <c r="L18" s="128" t="s">
        <v>131</v>
      </c>
      <c r="M18" s="129" t="s">
        <v>127</v>
      </c>
      <c r="N18" s="129" t="s">
        <v>129</v>
      </c>
      <c r="O18" s="404" t="s">
        <v>130</v>
      </c>
    </row>
    <row r="19" spans="2:15" x14ac:dyDescent="0.35">
      <c r="B19" s="10" t="s">
        <v>119</v>
      </c>
      <c r="C19" s="22"/>
      <c r="D19" s="22"/>
      <c r="E19" s="59">
        <v>0</v>
      </c>
      <c r="F19" s="22"/>
      <c r="G19" s="409" t="s">
        <v>119</v>
      </c>
      <c r="H19" s="121"/>
      <c r="I19" s="133"/>
      <c r="J19" s="20">
        <f>E19</f>
        <v>0</v>
      </c>
      <c r="K19" s="22"/>
      <c r="L19" s="130" t="s">
        <v>132</v>
      </c>
      <c r="M19" s="121">
        <v>10470</v>
      </c>
      <c r="N19" s="133">
        <v>38.57</v>
      </c>
      <c r="O19" s="124">
        <f>IF(N19&gt;E9,0,M19-M19*N19/E9)</f>
        <v>5085.6279999999997</v>
      </c>
    </row>
    <row r="20" spans="2:15" x14ac:dyDescent="0.35">
      <c r="B20" s="10" t="s">
        <v>139</v>
      </c>
      <c r="C20" s="22"/>
      <c r="D20" s="22"/>
      <c r="E20" s="59">
        <v>0</v>
      </c>
      <c r="F20" s="22"/>
      <c r="G20" s="409" t="s">
        <v>139</v>
      </c>
      <c r="J20" s="20">
        <f>E20</f>
        <v>0</v>
      </c>
      <c r="K20" s="22"/>
      <c r="L20" s="130" t="s">
        <v>133</v>
      </c>
      <c r="M20" s="121"/>
      <c r="N20" s="133"/>
      <c r="O20" s="124"/>
    </row>
    <row r="21" spans="2:15" x14ac:dyDescent="0.35">
      <c r="B21" s="6" t="s">
        <v>120</v>
      </c>
      <c r="C21" s="23"/>
      <c r="D21" s="23"/>
      <c r="E21" s="449">
        <f>E15-E16+E17+E18+E19+E20</f>
        <v>33546.591800000002</v>
      </c>
      <c r="F21" s="23"/>
      <c r="G21" s="450" t="s">
        <v>120</v>
      </c>
      <c r="H21" s="23"/>
      <c r="I21" s="23"/>
      <c r="J21" s="449">
        <f>J15-J16+J17+J18+J19+J20</f>
        <v>40551.1751</v>
      </c>
      <c r="K21" s="23"/>
      <c r="L21" s="411" t="s">
        <v>135</v>
      </c>
      <c r="M21" s="401"/>
      <c r="N21" s="401"/>
      <c r="O21" s="412">
        <f>SUM(O19:O20)</f>
        <v>5085.6279999999997</v>
      </c>
    </row>
    <row r="23" spans="2:15" x14ac:dyDescent="0.35">
      <c r="B23" s="272" t="s">
        <v>270</v>
      </c>
      <c r="C23" s="37"/>
      <c r="D23" s="37"/>
      <c r="E23" s="37"/>
      <c r="F23" s="37"/>
      <c r="G23" s="38"/>
      <c r="H23" s="38"/>
      <c r="I23" s="38"/>
      <c r="J23" s="38"/>
      <c r="K23" s="38"/>
      <c r="L23" s="38"/>
      <c r="M23" s="38"/>
      <c r="N23" s="38"/>
      <c r="O23" s="39"/>
    </row>
    <row r="24" spans="2:15" x14ac:dyDescent="0.35">
      <c r="B24" s="1"/>
      <c r="C24" s="22"/>
      <c r="D24" s="22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135"/>
    </row>
    <row r="25" spans="2:15" x14ac:dyDescent="0.35">
      <c r="B25" s="32" t="s">
        <v>26</v>
      </c>
      <c r="C25" s="5"/>
      <c r="D25" s="5"/>
      <c r="E25" s="60"/>
      <c r="F25" s="60"/>
      <c r="G25" s="60"/>
      <c r="H25" s="127" t="s">
        <v>271</v>
      </c>
      <c r="I25" s="22"/>
      <c r="J25" s="127" t="s">
        <v>272</v>
      </c>
      <c r="L25" s="127" t="s">
        <v>274</v>
      </c>
      <c r="N25" s="127" t="s">
        <v>273</v>
      </c>
      <c r="O25" s="21"/>
    </row>
    <row r="26" spans="2:15" x14ac:dyDescent="0.35">
      <c r="B26" s="3" t="s">
        <v>6</v>
      </c>
      <c r="C26" s="41"/>
      <c r="D26" s="41"/>
      <c r="E26" s="41"/>
      <c r="G26" s="41"/>
      <c r="H26" s="41"/>
      <c r="I26" s="22"/>
      <c r="O26" s="21"/>
    </row>
    <row r="27" spans="2:15" x14ac:dyDescent="0.35">
      <c r="B27" s="10" t="s">
        <v>286</v>
      </c>
      <c r="C27" s="33"/>
      <c r="D27" s="33"/>
      <c r="E27" s="59"/>
      <c r="G27" s="20"/>
      <c r="H27" s="33">
        <f>'AAPL-3-Statements'!H99+'AAPL-3-Statements'!H100</f>
        <v>32841</v>
      </c>
      <c r="I27" s="20"/>
      <c r="J27" s="20">
        <f>1083.251+580.921</f>
        <v>1664.172</v>
      </c>
      <c r="K27" s="20"/>
      <c r="L27" s="33">
        <f>-'Merger-Model'!L8</f>
        <v>-14349.6407</v>
      </c>
      <c r="M27" s="20"/>
      <c r="N27" s="20">
        <f>H27+J27+L27</f>
        <v>20155.531299999999</v>
      </c>
      <c r="O27" s="78"/>
    </row>
    <row r="28" spans="2:15" x14ac:dyDescent="0.35">
      <c r="B28" s="10" t="s">
        <v>21</v>
      </c>
      <c r="C28" s="22"/>
      <c r="D28" s="22"/>
      <c r="E28" s="59"/>
      <c r="G28" s="59"/>
      <c r="H28" s="33">
        <f>'AAPL-3-Statements'!H101</f>
        <v>3361</v>
      </c>
      <c r="I28" s="20"/>
      <c r="J28" s="20">
        <f>2365.106+248.162</f>
        <v>2613.268</v>
      </c>
      <c r="K28" s="20"/>
      <c r="L28" s="429">
        <v>0</v>
      </c>
      <c r="M28" s="20"/>
      <c r="N28" s="20">
        <f>H28+J28+L28</f>
        <v>5974.268</v>
      </c>
      <c r="O28" s="78"/>
    </row>
    <row r="29" spans="2:15" x14ac:dyDescent="0.35">
      <c r="B29" s="10" t="s">
        <v>14</v>
      </c>
      <c r="C29" s="33"/>
      <c r="D29" s="33"/>
      <c r="E29" s="59"/>
      <c r="G29" s="59"/>
      <c r="H29" s="33">
        <f>'AAPL-3-Statements'!H102</f>
        <v>455</v>
      </c>
      <c r="I29" s="20"/>
      <c r="J29" s="59">
        <v>572.76099999999997</v>
      </c>
      <c r="K29" s="20"/>
      <c r="L29" s="429">
        <v>0</v>
      </c>
      <c r="M29" s="20"/>
      <c r="N29" s="20">
        <f>H29+J29+L29</f>
        <v>1027.761</v>
      </c>
      <c r="O29" s="78"/>
    </row>
    <row r="30" spans="2:15" x14ac:dyDescent="0.35">
      <c r="B30" s="10" t="s">
        <v>22</v>
      </c>
      <c r="C30" s="33"/>
      <c r="D30" s="33"/>
      <c r="E30" s="59"/>
      <c r="G30" s="59"/>
      <c r="H30" s="33">
        <f>'AAPL-3-Statements'!H103</f>
        <v>4</v>
      </c>
      <c r="I30" s="20"/>
      <c r="J30" s="59">
        <v>175.56800000000001</v>
      </c>
      <c r="K30" s="20"/>
      <c r="L30" s="429">
        <v>0</v>
      </c>
      <c r="M30" s="20"/>
      <c r="N30" s="20">
        <f>H30+J30+L30</f>
        <v>179.56800000000001</v>
      </c>
      <c r="O30" s="78"/>
    </row>
    <row r="31" spans="2:15" x14ac:dyDescent="0.35">
      <c r="B31" s="10" t="s">
        <v>15</v>
      </c>
      <c r="C31" s="28"/>
      <c r="D31" s="19"/>
      <c r="E31" s="59"/>
      <c r="G31" s="59"/>
      <c r="H31" s="33">
        <f>'AAPL-3-Statements'!H104</f>
        <v>3140</v>
      </c>
      <c r="I31" s="20"/>
      <c r="J31" s="59">
        <v>189.67599999999999</v>
      </c>
      <c r="K31" s="20"/>
      <c r="L31" s="429">
        <v>0</v>
      </c>
      <c r="M31" s="20"/>
      <c r="N31" s="20">
        <f>H31+J31+L31</f>
        <v>3329.6759999999999</v>
      </c>
      <c r="O31" s="78"/>
    </row>
    <row r="32" spans="2:15" x14ac:dyDescent="0.35">
      <c r="B32" s="4" t="s">
        <v>7</v>
      </c>
      <c r="C32" s="9"/>
      <c r="D32" s="43"/>
      <c r="E32" s="24"/>
      <c r="F32" s="31"/>
      <c r="G32" s="24"/>
      <c r="H32" s="24">
        <f>SUM(H27:H31)</f>
        <v>39801</v>
      </c>
      <c r="I32" s="24"/>
      <c r="J32" s="24">
        <f>SUM(J27:J31)</f>
        <v>5215.4450000000015</v>
      </c>
      <c r="K32" s="24"/>
      <c r="L32" s="421">
        <f>SUM(L27:L31)</f>
        <v>-14349.6407</v>
      </c>
      <c r="M32" s="24"/>
      <c r="N32" s="24">
        <f>SUM(N27:N31)</f>
        <v>30666.804299999996</v>
      </c>
      <c r="O32" s="79"/>
    </row>
    <row r="33" spans="2:15" x14ac:dyDescent="0.35">
      <c r="B33" s="1"/>
      <c r="C33" s="28"/>
      <c r="D33" s="19"/>
      <c r="E33" s="19"/>
      <c r="G33" s="19"/>
      <c r="H33" s="19"/>
      <c r="I33" s="19"/>
      <c r="J33" s="19"/>
      <c r="K33" s="19"/>
      <c r="L33" s="19"/>
      <c r="M33" s="19"/>
      <c r="N33" s="19"/>
      <c r="O33" s="80"/>
    </row>
    <row r="34" spans="2:15" x14ac:dyDescent="0.35">
      <c r="B34" s="3" t="s">
        <v>25</v>
      </c>
      <c r="C34" s="28"/>
      <c r="D34" s="19"/>
      <c r="E34" s="19"/>
      <c r="G34" s="19"/>
      <c r="H34" s="19"/>
      <c r="I34" s="19"/>
      <c r="J34" s="19"/>
      <c r="K34" s="19"/>
      <c r="L34" s="19"/>
      <c r="M34" s="19"/>
      <c r="N34" s="19"/>
      <c r="O34" s="80"/>
    </row>
    <row r="35" spans="2:15" x14ac:dyDescent="0.35">
      <c r="B35" s="10" t="s">
        <v>23</v>
      </c>
      <c r="C35" s="27"/>
      <c r="D35" s="20"/>
      <c r="E35" s="59"/>
      <c r="G35" s="59"/>
      <c r="H35" s="33">
        <f>'AAPL-3-Statements'!H108</f>
        <v>2554</v>
      </c>
      <c r="I35" s="20"/>
      <c r="J35" s="59">
        <v>833.57500000000005</v>
      </c>
      <c r="K35" s="20"/>
      <c r="L35" s="429">
        <v>0</v>
      </c>
      <c r="M35" s="20"/>
      <c r="N35" s="20">
        <f>H35+J35+L35</f>
        <v>3387.5749999999998</v>
      </c>
      <c r="O35" s="78"/>
    </row>
    <row r="36" spans="2:15" x14ac:dyDescent="0.35">
      <c r="B36" s="10" t="s">
        <v>97</v>
      </c>
      <c r="C36" s="28"/>
      <c r="D36" s="19"/>
      <c r="E36" s="59"/>
      <c r="G36" s="59"/>
      <c r="H36" s="33">
        <f>'AAPL-3-Statements'!H109</f>
        <v>2839</v>
      </c>
      <c r="I36" s="20"/>
      <c r="J36" s="59">
        <v>1737.403</v>
      </c>
      <c r="K36" s="20"/>
      <c r="L36" s="33">
        <f>'Merger-Model'!L20</f>
        <v>173.74030000000002</v>
      </c>
      <c r="M36" s="20"/>
      <c r="N36" s="20">
        <f>H36+J36+L36</f>
        <v>4750.1433000000006</v>
      </c>
      <c r="O36" s="78"/>
    </row>
    <row r="37" spans="2:15" x14ac:dyDescent="0.35">
      <c r="B37" s="10" t="s">
        <v>8</v>
      </c>
      <c r="C37" s="26"/>
      <c r="D37" s="25"/>
      <c r="E37" s="59"/>
      <c r="G37" s="59"/>
      <c r="H37" s="33">
        <f>'AAPL-3-Statements'!H110</f>
        <v>207</v>
      </c>
      <c r="I37" s="20"/>
      <c r="J37" s="59">
        <v>146.55699999999999</v>
      </c>
      <c r="K37" s="20"/>
      <c r="L37" s="20">
        <f>-'Merger-Model'!F21+'Merger-Model'!F28</f>
        <v>30828.178616000001</v>
      </c>
      <c r="M37" s="20"/>
      <c r="N37" s="20">
        <f>H37+J37+L37</f>
        <v>31181.735616000002</v>
      </c>
      <c r="O37" s="78"/>
    </row>
    <row r="38" spans="2:15" x14ac:dyDescent="0.35">
      <c r="B38" s="44" t="s">
        <v>106</v>
      </c>
      <c r="C38" s="18"/>
      <c r="D38" s="15"/>
      <c r="E38" s="59"/>
      <c r="G38" s="59"/>
      <c r="H38" s="33">
        <f>'AAPL-3-Statements'!H111</f>
        <v>354</v>
      </c>
      <c r="I38" s="20"/>
      <c r="J38" s="59">
        <v>1291.454</v>
      </c>
      <c r="K38" s="20"/>
      <c r="L38" s="33">
        <f>'Merger-Model'!L26</f>
        <v>7241.7718200000008</v>
      </c>
      <c r="M38" s="20"/>
      <c r="N38" s="20">
        <f>H38+J38+L38</f>
        <v>8887.2258200000015</v>
      </c>
      <c r="O38" s="78"/>
    </row>
    <row r="39" spans="2:15" x14ac:dyDescent="0.35">
      <c r="B39" s="44" t="s">
        <v>24</v>
      </c>
      <c r="C39" s="18"/>
      <c r="D39" s="15"/>
      <c r="E39" s="59"/>
      <c r="G39" s="59"/>
      <c r="H39" s="33">
        <f>'AAPL-3-Statements'!H112</f>
        <v>2011</v>
      </c>
      <c r="I39" s="20"/>
      <c r="J39" s="59">
        <v>0</v>
      </c>
      <c r="K39" s="20"/>
      <c r="L39" s="429">
        <v>0</v>
      </c>
      <c r="M39" s="20"/>
      <c r="N39" s="20">
        <f>H39+J39+L39</f>
        <v>2011</v>
      </c>
      <c r="O39" s="78"/>
    </row>
    <row r="40" spans="2:15" x14ac:dyDescent="0.35">
      <c r="B40" s="4" t="s">
        <v>9</v>
      </c>
      <c r="C40" s="9"/>
      <c r="D40" s="43"/>
      <c r="E40" s="24"/>
      <c r="F40" s="31"/>
      <c r="G40" s="24"/>
      <c r="H40" s="24">
        <f>SUM(H35:H39)+H32</f>
        <v>47766</v>
      </c>
      <c r="I40" s="24"/>
      <c r="J40" s="24">
        <f>SUM(J35:J39)+J32</f>
        <v>9224.4340000000011</v>
      </c>
      <c r="K40" s="24"/>
      <c r="L40" s="24">
        <f>SUM(L35:L39)+L32</f>
        <v>23894.050036000004</v>
      </c>
      <c r="M40" s="24"/>
      <c r="N40" s="24">
        <f>SUM(N35:N39)+N32</f>
        <v>80884.484035999994</v>
      </c>
      <c r="O40" s="79"/>
    </row>
    <row r="41" spans="2:15" x14ac:dyDescent="0.35">
      <c r="B41" s="30"/>
      <c r="C41" s="18"/>
      <c r="D41" s="15"/>
      <c r="E41" s="15"/>
      <c r="G41" s="15"/>
      <c r="H41" s="15"/>
      <c r="I41" s="15"/>
      <c r="J41" s="15"/>
      <c r="K41" s="15"/>
      <c r="L41" s="15"/>
      <c r="M41" s="15"/>
      <c r="N41" s="15"/>
      <c r="O41" s="81"/>
    </row>
    <row r="42" spans="2:15" x14ac:dyDescent="0.35">
      <c r="B42" s="45" t="s">
        <v>27</v>
      </c>
      <c r="C42" s="46"/>
      <c r="D42" s="47"/>
      <c r="E42" s="47"/>
      <c r="G42" s="61"/>
      <c r="H42" s="61"/>
      <c r="I42" s="61"/>
      <c r="J42" s="61"/>
      <c r="K42" s="61"/>
      <c r="L42" s="61"/>
      <c r="M42" s="61"/>
      <c r="N42" s="61"/>
      <c r="O42" s="82"/>
    </row>
    <row r="43" spans="2:15" x14ac:dyDescent="0.35">
      <c r="B43" s="3" t="s">
        <v>28</v>
      </c>
      <c r="C43" s="28"/>
      <c r="D43" s="19"/>
      <c r="E43" s="19"/>
      <c r="G43" s="19"/>
      <c r="H43" s="19"/>
      <c r="I43" s="19"/>
      <c r="J43" s="19"/>
      <c r="K43" s="19"/>
      <c r="L43" s="19"/>
      <c r="M43" s="19"/>
      <c r="N43" s="19"/>
      <c r="O43" s="80"/>
    </row>
    <row r="44" spans="2:15" x14ac:dyDescent="0.35">
      <c r="B44" s="10" t="s">
        <v>29</v>
      </c>
      <c r="C44" s="28"/>
      <c r="D44" s="19"/>
      <c r="E44" s="59"/>
      <c r="G44" s="59"/>
      <c r="H44" s="33">
        <f>'AAPL-3-Statements'!H117</f>
        <v>5601</v>
      </c>
      <c r="I44" s="20"/>
      <c r="J44" s="59">
        <v>496.005</v>
      </c>
      <c r="K44" s="20"/>
      <c r="L44" s="429">
        <v>0</v>
      </c>
      <c r="M44" s="20"/>
      <c r="N44" s="20">
        <f>H44+J44+L44</f>
        <v>6097.0050000000001</v>
      </c>
      <c r="O44" s="78"/>
    </row>
    <row r="45" spans="2:15" x14ac:dyDescent="0.35">
      <c r="B45" s="10" t="s">
        <v>30</v>
      </c>
      <c r="C45" s="28"/>
      <c r="D45" s="19"/>
      <c r="E45" s="59"/>
      <c r="G45" s="59"/>
      <c r="H45" s="33">
        <f>'AAPL-3-Statements'!H118</f>
        <v>3852</v>
      </c>
      <c r="I45" s="20"/>
      <c r="J45" s="59">
        <v>1603.8420000000001</v>
      </c>
      <c r="K45" s="20"/>
      <c r="L45" s="429">
        <v>0</v>
      </c>
      <c r="M45" s="20"/>
      <c r="N45" s="20">
        <f>H45+J45+L45</f>
        <v>5455.8420000000006</v>
      </c>
      <c r="O45" s="78"/>
    </row>
    <row r="46" spans="2:15" x14ac:dyDescent="0.35">
      <c r="B46" s="10" t="s">
        <v>31</v>
      </c>
      <c r="C46" s="22"/>
      <c r="D46" s="22"/>
      <c r="E46" s="59"/>
      <c r="G46" s="59"/>
      <c r="H46" s="33">
        <f>'AAPL-3-Statements'!H119</f>
        <v>2053</v>
      </c>
      <c r="I46" s="20"/>
      <c r="J46" s="59">
        <v>66.912000000000006</v>
      </c>
      <c r="K46" s="20"/>
      <c r="L46" s="429">
        <v>0</v>
      </c>
      <c r="M46" s="20"/>
      <c r="N46" s="20">
        <f>H46+J46+L46</f>
        <v>2119.9119999999998</v>
      </c>
      <c r="O46" s="78"/>
    </row>
    <row r="47" spans="2:15" x14ac:dyDescent="0.35">
      <c r="B47" s="4" t="s">
        <v>32</v>
      </c>
      <c r="C47" s="31"/>
      <c r="D47" s="31"/>
      <c r="E47" s="24"/>
      <c r="F47" s="31"/>
      <c r="G47" s="24"/>
      <c r="H47" s="24">
        <f>SUM(H44:H46)</f>
        <v>11506</v>
      </c>
      <c r="I47" s="24"/>
      <c r="J47" s="24">
        <f>SUM(J44:J46)</f>
        <v>2166.759</v>
      </c>
      <c r="K47" s="24"/>
      <c r="L47" s="24">
        <f>SUM(L44:L46)</f>
        <v>0</v>
      </c>
      <c r="M47" s="24"/>
      <c r="N47" s="24">
        <f>SUM(N44:N46)</f>
        <v>13672.759000000002</v>
      </c>
      <c r="O47" s="79"/>
    </row>
    <row r="48" spans="2:15" x14ac:dyDescent="0.35">
      <c r="B48" s="1"/>
      <c r="C48" s="22"/>
      <c r="D48" s="22"/>
      <c r="E48" s="22"/>
      <c r="G48" s="22"/>
      <c r="H48" s="22"/>
      <c r="I48" s="22"/>
      <c r="J48" s="22"/>
      <c r="K48" s="22"/>
      <c r="L48" s="22"/>
      <c r="M48" s="22"/>
      <c r="N48" s="22"/>
      <c r="O48" s="21"/>
    </row>
    <row r="49" spans="2:15" x14ac:dyDescent="0.35">
      <c r="B49" s="3" t="s">
        <v>33</v>
      </c>
      <c r="C49" s="22"/>
      <c r="D49" s="22"/>
      <c r="E49" s="22"/>
      <c r="G49" s="22"/>
      <c r="H49" s="22"/>
      <c r="I49" s="22"/>
      <c r="J49" s="22"/>
      <c r="K49" s="22"/>
      <c r="L49" s="22"/>
      <c r="M49" s="22"/>
      <c r="N49" s="22"/>
      <c r="O49" s="21"/>
    </row>
    <row r="50" spans="2:15" x14ac:dyDescent="0.35">
      <c r="B50" s="10" t="s">
        <v>31</v>
      </c>
      <c r="C50" s="22"/>
      <c r="D50" s="22"/>
      <c r="E50" s="59"/>
      <c r="G50" s="59"/>
      <c r="H50" s="33">
        <f>'AAPL-3-Statements'!H123</f>
        <v>853</v>
      </c>
      <c r="I50" s="20"/>
      <c r="J50" s="59">
        <v>0</v>
      </c>
      <c r="K50" s="20"/>
      <c r="L50" s="429">
        <v>0</v>
      </c>
      <c r="M50" s="20"/>
      <c r="N50" s="20">
        <f>H50+J50+L50</f>
        <v>853</v>
      </c>
      <c r="O50" s="78"/>
    </row>
    <row r="51" spans="2:15" x14ac:dyDescent="0.35">
      <c r="B51" s="10" t="s">
        <v>94</v>
      </c>
      <c r="C51" s="22"/>
      <c r="D51" s="22"/>
      <c r="E51" s="59"/>
      <c r="G51" s="59"/>
      <c r="H51" s="33">
        <f>'AAPL-3-Statements'!H124</f>
        <v>0</v>
      </c>
      <c r="I51" s="20"/>
      <c r="J51" s="59">
        <v>0</v>
      </c>
      <c r="K51" s="20"/>
      <c r="L51" s="33">
        <f>'Merger-Model'!L9</f>
        <v>14349.6407</v>
      </c>
      <c r="M51" s="20"/>
      <c r="N51" s="20">
        <f>H51+J51+L51</f>
        <v>14349.6407</v>
      </c>
      <c r="O51" s="78"/>
    </row>
    <row r="52" spans="2:15" x14ac:dyDescent="0.35">
      <c r="B52" s="10" t="s">
        <v>282</v>
      </c>
      <c r="C52" s="22"/>
      <c r="D52" s="22"/>
      <c r="E52" s="59"/>
      <c r="G52" s="59"/>
      <c r="H52" s="59">
        <v>0</v>
      </c>
      <c r="I52" s="20"/>
      <c r="J52" s="59">
        <v>43.265000000000001</v>
      </c>
      <c r="K52" s="20"/>
      <c r="L52" s="20">
        <f>'Merger-Model'!F26+'Merger-Model'!F27</f>
        <v>2181.3886360000006</v>
      </c>
      <c r="M52" s="20"/>
      <c r="N52" s="20">
        <f>H52+J52+L52</f>
        <v>2224.6536360000005</v>
      </c>
      <c r="O52" s="78"/>
    </row>
    <row r="53" spans="2:15" x14ac:dyDescent="0.35">
      <c r="B53" s="10" t="s">
        <v>34</v>
      </c>
      <c r="C53" s="22"/>
      <c r="D53" s="22"/>
      <c r="E53" s="59"/>
      <c r="G53" s="59"/>
      <c r="H53" s="33">
        <f>'AAPL-3-Statements'!H125</f>
        <v>3502</v>
      </c>
      <c r="I53" s="20"/>
      <c r="J53" s="59">
        <v>27.79</v>
      </c>
      <c r="K53" s="20"/>
      <c r="L53" s="429">
        <v>0</v>
      </c>
      <c r="M53" s="20"/>
      <c r="N53" s="20">
        <f>H53+J53+L53</f>
        <v>3529.79</v>
      </c>
      <c r="O53" s="78"/>
    </row>
    <row r="54" spans="2:15" x14ac:dyDescent="0.35">
      <c r="B54" s="4" t="s">
        <v>35</v>
      </c>
      <c r="C54" s="31"/>
      <c r="D54" s="31"/>
      <c r="E54" s="24"/>
      <c r="F54" s="31"/>
      <c r="G54" s="24"/>
      <c r="H54" s="24">
        <f>SUM(H50:H53)+H47</f>
        <v>15861</v>
      </c>
      <c r="I54" s="24"/>
      <c r="J54" s="24">
        <f>SUM(J50:J53)+J47</f>
        <v>2237.8139999999999</v>
      </c>
      <c r="K54" s="24"/>
      <c r="L54" s="24">
        <f>SUM(L50:L53)+L47</f>
        <v>16531.029336</v>
      </c>
      <c r="M54" s="24"/>
      <c r="N54" s="24">
        <f>SUM(N50:N53)+N47</f>
        <v>34629.843336000005</v>
      </c>
      <c r="O54" s="79"/>
    </row>
    <row r="55" spans="2:15" x14ac:dyDescent="0.35">
      <c r="B55" s="1"/>
      <c r="C55" s="22"/>
      <c r="D55" s="22"/>
      <c r="E55" s="22"/>
      <c r="G55" s="22"/>
      <c r="H55" s="22"/>
      <c r="I55" s="22"/>
      <c r="J55" s="22"/>
      <c r="K55" s="22"/>
      <c r="L55" s="22"/>
      <c r="M55" s="22"/>
      <c r="N55" s="22"/>
      <c r="O55" s="21"/>
    </row>
    <row r="56" spans="2:15" x14ac:dyDescent="0.35">
      <c r="B56" s="3" t="s">
        <v>36</v>
      </c>
      <c r="C56" s="22"/>
      <c r="D56" s="22"/>
      <c r="E56" s="22"/>
      <c r="G56" s="22"/>
      <c r="H56" s="22"/>
      <c r="I56" s="22"/>
      <c r="J56" s="22"/>
      <c r="K56" s="22"/>
      <c r="L56" s="22"/>
      <c r="M56" s="22"/>
      <c r="N56" s="22"/>
      <c r="O56" s="21"/>
    </row>
    <row r="57" spans="2:15" x14ac:dyDescent="0.35">
      <c r="B57" s="10" t="s">
        <v>37</v>
      </c>
      <c r="C57" s="22"/>
      <c r="D57" s="22"/>
      <c r="E57" s="59"/>
      <c r="G57" s="59"/>
      <c r="H57" s="33">
        <f>'AAPL-3-Statements'!H129</f>
        <v>7177</v>
      </c>
      <c r="I57" s="20"/>
      <c r="J57" s="59">
        <v>2236.19</v>
      </c>
      <c r="K57" s="20"/>
      <c r="L57" s="20">
        <f>-J57</f>
        <v>-2236.19</v>
      </c>
      <c r="M57" s="20"/>
      <c r="N57" s="20">
        <f>H57+J57+L57</f>
        <v>7177</v>
      </c>
      <c r="O57" s="78"/>
    </row>
    <row r="58" spans="2:15" x14ac:dyDescent="0.35">
      <c r="B58" s="10" t="s">
        <v>38</v>
      </c>
      <c r="C58" s="22"/>
      <c r="D58" s="22"/>
      <c r="E58" s="59"/>
      <c r="G58" s="59"/>
      <c r="H58" s="33">
        <f>'AAPL-3-Statements'!H130</f>
        <v>1185</v>
      </c>
      <c r="I58" s="20"/>
      <c r="J58" s="59">
        <v>139.113</v>
      </c>
      <c r="K58" s="20"/>
      <c r="L58" s="20">
        <f>-J58+'Merger-Model'!F10*'Merger-Model'!L7</f>
        <v>14210.527700000001</v>
      </c>
      <c r="M58" s="20"/>
      <c r="N58" s="20">
        <f>H58+J58+L58</f>
        <v>15534.6407</v>
      </c>
      <c r="O58" s="78"/>
    </row>
    <row r="59" spans="2:15" x14ac:dyDescent="0.35">
      <c r="B59" s="10" t="s">
        <v>39</v>
      </c>
      <c r="C59" s="22"/>
      <c r="D59" s="22"/>
      <c r="E59" s="59"/>
      <c r="G59" s="59"/>
      <c r="H59" s="33">
        <f>'AAPL-3-Statements'!H131</f>
        <v>0</v>
      </c>
      <c r="I59" s="20"/>
      <c r="J59" s="59">
        <v>-45.081000000000003</v>
      </c>
      <c r="K59" s="20"/>
      <c r="L59" s="20">
        <f>-J59</f>
        <v>45.081000000000003</v>
      </c>
      <c r="M59" s="20"/>
      <c r="N59" s="20">
        <f>H59+J59+L59</f>
        <v>0</v>
      </c>
      <c r="O59" s="78"/>
    </row>
    <row r="60" spans="2:15" x14ac:dyDescent="0.35">
      <c r="B60" s="10" t="s">
        <v>40</v>
      </c>
      <c r="C60" s="22"/>
      <c r="D60" s="22"/>
      <c r="E60" s="59"/>
      <c r="G60" s="59"/>
      <c r="H60" s="33">
        <f>'AAPL-3-Statements'!H132</f>
        <v>23364</v>
      </c>
      <c r="I60" s="20"/>
      <c r="J60" s="59">
        <v>4664.3609999999999</v>
      </c>
      <c r="K60" s="20"/>
      <c r="L60" s="20">
        <f>-J60</f>
        <v>-4664.3609999999999</v>
      </c>
      <c r="M60" s="20"/>
      <c r="N60" s="20">
        <f>H60+J60+L60</f>
        <v>23364</v>
      </c>
      <c r="O60" s="78"/>
    </row>
    <row r="61" spans="2:15" x14ac:dyDescent="0.35">
      <c r="B61" s="10" t="s">
        <v>107</v>
      </c>
      <c r="C61" s="22"/>
      <c r="D61" s="22"/>
      <c r="E61" s="59"/>
      <c r="G61" s="59"/>
      <c r="H61" s="33">
        <f>'AAPL-3-Statements'!H133</f>
        <v>179</v>
      </c>
      <c r="I61" s="20"/>
      <c r="J61" s="59">
        <v>-7.9630000000000001</v>
      </c>
      <c r="K61" s="20"/>
      <c r="L61" s="20">
        <f>-J61</f>
        <v>7.9630000000000001</v>
      </c>
      <c r="M61" s="20"/>
      <c r="N61" s="20">
        <f>H61+J61+L61</f>
        <v>179</v>
      </c>
      <c r="O61" s="78"/>
    </row>
    <row r="62" spans="2:15" x14ac:dyDescent="0.35">
      <c r="B62" s="4" t="s">
        <v>41</v>
      </c>
      <c r="C62" s="31"/>
      <c r="D62" s="31"/>
      <c r="E62" s="24"/>
      <c r="F62" s="31"/>
      <c r="G62" s="24"/>
      <c r="H62" s="24">
        <f>SUM(H57:H61)</f>
        <v>31905</v>
      </c>
      <c r="I62" s="24"/>
      <c r="J62" s="24">
        <f>SUM(J57:J61)</f>
        <v>6986.62</v>
      </c>
      <c r="K62" s="24"/>
      <c r="L62" s="24">
        <f>SUM(L57:L61)</f>
        <v>7363.0207</v>
      </c>
      <c r="M62" s="24"/>
      <c r="N62" s="24">
        <f>SUM(N57:N61)</f>
        <v>46254.640700000004</v>
      </c>
      <c r="O62" s="79"/>
    </row>
    <row r="63" spans="2:15" x14ac:dyDescent="0.35">
      <c r="B63" s="1"/>
      <c r="C63" s="22"/>
      <c r="D63" s="22"/>
      <c r="E63" s="22"/>
      <c r="G63" s="22"/>
      <c r="H63" s="22"/>
      <c r="I63" s="22"/>
      <c r="J63" s="22"/>
      <c r="K63" s="22"/>
      <c r="L63" s="22"/>
      <c r="M63" s="22"/>
      <c r="N63" s="22"/>
      <c r="O63" s="21"/>
    </row>
    <row r="64" spans="2:15" x14ac:dyDescent="0.35">
      <c r="B64" s="6" t="s">
        <v>16</v>
      </c>
      <c r="C64" s="23"/>
      <c r="D64" s="23"/>
      <c r="E64" s="48"/>
      <c r="F64" s="23"/>
      <c r="G64" s="48"/>
      <c r="H64" s="48">
        <f>H62+H54</f>
        <v>47766</v>
      </c>
      <c r="I64" s="48"/>
      <c r="J64" s="48">
        <f>J62+J54</f>
        <v>9224.4339999999993</v>
      </c>
      <c r="K64" s="48"/>
      <c r="L64" s="48">
        <f>L62+L54</f>
        <v>23894.050036000001</v>
      </c>
      <c r="M64" s="48"/>
      <c r="N64" s="48">
        <f>N62+N54</f>
        <v>80884.484036000009</v>
      </c>
      <c r="O64" s="83"/>
    </row>
    <row r="66" spans="2:15" x14ac:dyDescent="0.35">
      <c r="B66" s="34"/>
      <c r="G66" s="117"/>
      <c r="H66" s="117"/>
      <c r="I66" s="117"/>
      <c r="J66" s="117"/>
      <c r="K66" s="117"/>
      <c r="L66" s="117"/>
      <c r="M66" s="117"/>
      <c r="N66" s="117"/>
      <c r="O66" s="117"/>
    </row>
  </sheetData>
  <pageMargins left="0.75" right="0.75" top="1" bottom="1" header="0.3" footer="0.3"/>
  <pageSetup orientation="landscape" horizontalDpi="300" verticalDpi="300"/>
  <ignoredErrors>
    <ignoredError sqref="E14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5080-CBB9-412A-AD8F-C302A5073B04}">
  <dimension ref="B2:V168"/>
  <sheetViews>
    <sheetView topLeftCell="A3" zoomScaleNormal="100" workbookViewId="0">
      <selection activeCell="F9" sqref="F9:F10"/>
    </sheetView>
  </sheetViews>
  <sheetFormatPr defaultColWidth="8.81640625" defaultRowHeight="14.5" x14ac:dyDescent="0.35"/>
  <cols>
    <col min="1" max="1" width="2.6328125" customWidth="1"/>
    <col min="4" max="4" width="9.1796875" customWidth="1"/>
    <col min="5" max="5" width="9.6328125" customWidth="1"/>
    <col min="6" max="7" width="9.1796875" customWidth="1"/>
    <col min="8" max="8" width="10" customWidth="1"/>
    <col min="12" max="13" width="9.36328125" bestFit="1" customWidth="1"/>
    <col min="15" max="15" width="9.36328125" bestFit="1" customWidth="1"/>
  </cols>
  <sheetData>
    <row r="2" spans="2:20" x14ac:dyDescent="0.35">
      <c r="B2" s="34" t="str">
        <f>Company_Name&amp;" - Basic LBO Model"</f>
        <v>Apple Inc. - Basic LBO Model</v>
      </c>
    </row>
    <row r="3" spans="2:20" x14ac:dyDescent="0.35">
      <c r="B3" s="143" t="str">
        <f>'AAPL-3-Statements'!B3</f>
        <v>($ in Millions, Except Per Share Amounts in Dollars and Share Counts in Thousands)</v>
      </c>
    </row>
    <row r="5" spans="2:20" x14ac:dyDescent="0.35">
      <c r="B5" s="272" t="s">
        <v>260</v>
      </c>
      <c r="C5" s="37"/>
      <c r="D5" s="37"/>
      <c r="E5" s="37"/>
      <c r="F5" s="37"/>
      <c r="G5" s="37"/>
      <c r="H5" s="38"/>
      <c r="I5" s="38"/>
      <c r="J5" s="38"/>
      <c r="K5" s="38"/>
      <c r="L5" s="38"/>
      <c r="M5" s="39"/>
    </row>
    <row r="6" spans="2:20" x14ac:dyDescent="0.35">
      <c r="B6" s="1"/>
      <c r="C6" s="22"/>
      <c r="D6" s="22"/>
      <c r="E6" s="22"/>
      <c r="F6" s="22"/>
      <c r="G6" s="22"/>
      <c r="H6" s="22"/>
      <c r="I6" s="22"/>
      <c r="J6" s="22"/>
      <c r="K6" s="22"/>
      <c r="L6" s="22"/>
      <c r="M6" s="21"/>
    </row>
    <row r="7" spans="2:20" x14ac:dyDescent="0.35">
      <c r="B7" s="1" t="s">
        <v>281</v>
      </c>
      <c r="C7" s="22"/>
      <c r="D7" s="22"/>
      <c r="E7" s="22"/>
      <c r="F7" s="406">
        <f>Share_Price</f>
        <v>192.06</v>
      </c>
      <c r="G7" s="22"/>
      <c r="H7" s="22" t="s">
        <v>262</v>
      </c>
      <c r="I7" s="22"/>
      <c r="J7" s="22"/>
      <c r="K7" s="22"/>
      <c r="L7" s="70">
        <f>F17</f>
        <v>212713.42527925599</v>
      </c>
      <c r="M7" s="21"/>
    </row>
    <row r="8" spans="2:20" x14ac:dyDescent="0.35">
      <c r="B8" s="1" t="s">
        <v>332</v>
      </c>
      <c r="C8" s="22"/>
      <c r="D8" s="22"/>
      <c r="E8" s="22"/>
      <c r="F8" s="417">
        <v>0.2</v>
      </c>
      <c r="G8" s="22"/>
      <c r="H8" t="s">
        <v>120</v>
      </c>
      <c r="I8" s="22"/>
      <c r="J8" s="22"/>
      <c r="K8" s="22"/>
      <c r="L8" s="70">
        <f>F23</f>
        <v>177318.42527925599</v>
      </c>
      <c r="M8" s="21"/>
    </row>
    <row r="9" spans="2:20" x14ac:dyDescent="0.35">
      <c r="B9" s="1" t="s">
        <v>278</v>
      </c>
      <c r="C9" s="22"/>
      <c r="D9" s="22"/>
      <c r="E9" s="22"/>
      <c r="F9" s="475">
        <f>F7*(1+F8)</f>
        <v>230.47199999999998</v>
      </c>
      <c r="G9" s="22"/>
      <c r="H9" t="s">
        <v>335</v>
      </c>
      <c r="I9" s="22"/>
      <c r="J9" s="22"/>
      <c r="K9" s="22"/>
      <c r="L9" s="136">
        <f>L8/'AAPL-3-Statements'!H91</f>
        <v>13.449516480526091</v>
      </c>
      <c r="M9" s="21"/>
    </row>
    <row r="10" spans="2:20" x14ac:dyDescent="0.35">
      <c r="B10" s="1" t="s">
        <v>264</v>
      </c>
      <c r="C10" s="22"/>
      <c r="D10" s="22"/>
      <c r="E10" s="22"/>
      <c r="F10" s="417">
        <v>0.5</v>
      </c>
      <c r="G10" s="22"/>
      <c r="H10" s="22" t="s">
        <v>336</v>
      </c>
      <c r="I10" s="22"/>
      <c r="J10" s="22"/>
      <c r="K10" s="22"/>
      <c r="L10" s="70">
        <f>F10*L7</f>
        <v>106356.71263962799</v>
      </c>
      <c r="M10" s="21"/>
    </row>
    <row r="11" spans="2:20" x14ac:dyDescent="0.35">
      <c r="B11" s="1" t="s">
        <v>333</v>
      </c>
      <c r="C11" s="22"/>
      <c r="D11" s="22"/>
      <c r="E11" s="22"/>
      <c r="F11" s="476">
        <f>1-F10</f>
        <v>0.5</v>
      </c>
      <c r="G11" s="22"/>
      <c r="H11" s="381" t="s">
        <v>337</v>
      </c>
      <c r="I11" s="22"/>
      <c r="J11" s="22"/>
      <c r="K11" s="22"/>
      <c r="L11" s="70">
        <f>F11*L7</f>
        <v>106356.71263962799</v>
      </c>
      <c r="M11" s="21"/>
    </row>
    <row r="12" spans="2:20" x14ac:dyDescent="0.35">
      <c r="B12" s="1"/>
      <c r="C12" s="22"/>
      <c r="D12" s="22"/>
      <c r="E12" s="22"/>
      <c r="F12" s="476"/>
      <c r="G12" s="22"/>
      <c r="H12" s="381" t="s">
        <v>338</v>
      </c>
      <c r="I12" s="22"/>
      <c r="J12" s="22"/>
      <c r="K12" s="22"/>
      <c r="L12" s="483">
        <v>10</v>
      </c>
      <c r="M12" s="21"/>
    </row>
    <row r="13" spans="2:20" x14ac:dyDescent="0.35">
      <c r="B13" s="407" t="s">
        <v>334</v>
      </c>
      <c r="C13" s="408"/>
      <c r="D13" s="408"/>
      <c r="E13" s="408"/>
      <c r="F13" s="476"/>
      <c r="G13" s="22"/>
      <c r="M13" s="21"/>
    </row>
    <row r="14" spans="2:20" x14ac:dyDescent="0.35">
      <c r="B14" s="3" t="s">
        <v>109</v>
      </c>
      <c r="F14" s="56">
        <f>'AAPL-3-Statements'!E11</f>
        <v>900678.473</v>
      </c>
      <c r="G14" s="22"/>
      <c r="H14" s="22" t="s">
        <v>339</v>
      </c>
      <c r="I14" s="22"/>
      <c r="J14" s="22"/>
      <c r="K14" s="22"/>
      <c r="L14" s="478">
        <v>2.0000000000000001E-4</v>
      </c>
      <c r="M14" s="21"/>
      <c r="O14" s="494"/>
      <c r="P14" s="109"/>
      <c r="T14" s="494"/>
    </row>
    <row r="15" spans="2:20" x14ac:dyDescent="0.35">
      <c r="B15" s="3" t="s">
        <v>110</v>
      </c>
      <c r="F15" s="20">
        <f>F14/Units*F9</f>
        <v>207581.16902925601</v>
      </c>
      <c r="G15" s="22"/>
      <c r="H15" s="22" t="s">
        <v>340</v>
      </c>
      <c r="I15" s="22"/>
      <c r="J15" s="22"/>
      <c r="K15" s="22"/>
      <c r="L15" s="478">
        <v>5.9999999999999995E-4</v>
      </c>
      <c r="M15" s="21"/>
      <c r="O15" s="494"/>
    </row>
    <row r="16" spans="2:20" x14ac:dyDescent="0.35">
      <c r="B16" s="3" t="s">
        <v>12</v>
      </c>
      <c r="F16" s="122">
        <f>F14+K23</f>
        <v>922946.93185834284</v>
      </c>
      <c r="G16" s="22"/>
      <c r="L16" s="22"/>
      <c r="M16" s="21"/>
      <c r="O16" s="494"/>
      <c r="P16" s="494"/>
      <c r="Q16" s="494"/>
      <c r="R16" s="494"/>
      <c r="S16" s="494"/>
      <c r="T16" s="494"/>
    </row>
    <row r="17" spans="2:22" x14ac:dyDescent="0.35">
      <c r="B17" s="3" t="s">
        <v>113</v>
      </c>
      <c r="F17" s="20">
        <f>F16/Units*F9</f>
        <v>212713.42527925599</v>
      </c>
      <c r="G17" s="22"/>
      <c r="H17" s="66" t="s">
        <v>280</v>
      </c>
      <c r="I17" s="22"/>
      <c r="J17" s="22"/>
      <c r="K17" s="22"/>
      <c r="L17" s="22"/>
      <c r="M17" s="21"/>
    </row>
    <row r="18" spans="2:22" x14ac:dyDescent="0.35">
      <c r="B18" s="10" t="s">
        <v>140</v>
      </c>
      <c r="F18" s="33">
        <f>'AAPL-3-Statements'!E15</f>
        <v>35395</v>
      </c>
      <c r="G18" s="22"/>
      <c r="H18" s="22"/>
      <c r="I18" s="22"/>
      <c r="J18" s="22"/>
      <c r="K18" s="22"/>
      <c r="L18" s="22"/>
      <c r="M18" s="21"/>
      <c r="T18" s="494"/>
      <c r="V18" s="494"/>
    </row>
    <row r="19" spans="2:22" x14ac:dyDescent="0.35">
      <c r="B19" s="10" t="s">
        <v>117</v>
      </c>
      <c r="F19" s="33">
        <f>'AAPL-3-Statements'!E16</f>
        <v>0</v>
      </c>
      <c r="G19" s="22"/>
      <c r="H19" s="127"/>
      <c r="I19" s="127"/>
      <c r="J19" s="127" t="s">
        <v>128</v>
      </c>
      <c r="K19" s="127"/>
      <c r="L19" s="22"/>
      <c r="M19" s="21"/>
      <c r="T19" s="494"/>
      <c r="V19" s="494"/>
    </row>
    <row r="20" spans="2:22" x14ac:dyDescent="0.35">
      <c r="B20" s="10" t="s">
        <v>118</v>
      </c>
      <c r="C20" s="121"/>
      <c r="D20" s="133"/>
      <c r="F20" s="33">
        <f>'AAPL-3-Statements'!E17</f>
        <v>0</v>
      </c>
      <c r="G20" s="22"/>
      <c r="H20" s="128" t="s">
        <v>131</v>
      </c>
      <c r="I20" s="129" t="s">
        <v>127</v>
      </c>
      <c r="J20" s="129" t="s">
        <v>129</v>
      </c>
      <c r="K20" s="128" t="s">
        <v>130</v>
      </c>
      <c r="L20" s="22"/>
      <c r="M20" s="21"/>
    </row>
    <row r="21" spans="2:22" x14ac:dyDescent="0.35">
      <c r="B21" s="10" t="s">
        <v>119</v>
      </c>
      <c r="C21" s="121"/>
      <c r="D21" s="133"/>
      <c r="F21" s="33">
        <f>'AAPL-3-Statements'!E18</f>
        <v>0</v>
      </c>
      <c r="G21" s="22"/>
      <c r="H21" s="130" t="s">
        <v>132</v>
      </c>
      <c r="I21" s="56">
        <f>'AAPL-3-Statements'!H15</f>
        <v>34375</v>
      </c>
      <c r="J21" s="406">
        <f>'AAPL-3-Statements'!I15</f>
        <v>81.17</v>
      </c>
      <c r="K21" s="122">
        <f>IF(J21&gt;F9,0,I21-I21*J21/F9)</f>
        <v>22268.458858342878</v>
      </c>
      <c r="L21" s="22"/>
      <c r="M21" s="21"/>
      <c r="T21" s="495"/>
      <c r="V21" s="495"/>
    </row>
    <row r="22" spans="2:22" x14ac:dyDescent="0.35">
      <c r="B22" s="10" t="s">
        <v>139</v>
      </c>
      <c r="F22" s="33">
        <f>'AAPL-3-Statements'!E19</f>
        <v>0</v>
      </c>
      <c r="G22" s="22"/>
      <c r="H22" s="130" t="s">
        <v>133</v>
      </c>
      <c r="I22" s="121"/>
      <c r="J22" s="133"/>
      <c r="K22" s="122"/>
      <c r="L22" s="22"/>
      <c r="M22" s="21"/>
    </row>
    <row r="23" spans="2:22" x14ac:dyDescent="0.35">
      <c r="B23" s="6" t="s">
        <v>120</v>
      </c>
      <c r="C23" s="23"/>
      <c r="D23" s="23"/>
      <c r="E23" s="23"/>
      <c r="F23" s="449">
        <f>F17-F18+F19+F20+F21+F22</f>
        <v>177318.42527925599</v>
      </c>
      <c r="G23" s="23"/>
      <c r="H23" s="411" t="s">
        <v>135</v>
      </c>
      <c r="I23" s="401"/>
      <c r="J23" s="401"/>
      <c r="K23" s="477">
        <f>SUM(K21:K22)</f>
        <v>22268.458858342878</v>
      </c>
      <c r="L23" s="23"/>
      <c r="M23" s="378"/>
    </row>
    <row r="25" spans="2:22" x14ac:dyDescent="0.35">
      <c r="B25" s="272" t="s">
        <v>341</v>
      </c>
      <c r="C25" s="37"/>
      <c r="D25" s="37"/>
      <c r="E25" s="37"/>
      <c r="F25" s="37"/>
      <c r="G25" s="37"/>
      <c r="H25" s="38"/>
      <c r="I25" s="38"/>
      <c r="J25" s="38"/>
      <c r="K25" s="38"/>
      <c r="L25" s="38"/>
      <c r="M25" s="39"/>
    </row>
    <row r="26" spans="2:22" x14ac:dyDescent="0.35">
      <c r="B26" s="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1"/>
    </row>
    <row r="27" spans="2:22" x14ac:dyDescent="0.35">
      <c r="B27" s="1" t="s">
        <v>342</v>
      </c>
      <c r="C27" s="22"/>
      <c r="D27" s="22"/>
      <c r="E27" s="22"/>
      <c r="F27" s="493">
        <f>F10</f>
        <v>0.5</v>
      </c>
      <c r="G27" s="22"/>
      <c r="H27" s="22" t="s">
        <v>336</v>
      </c>
      <c r="I27" s="22"/>
      <c r="J27" s="22"/>
      <c r="K27" s="22"/>
      <c r="L27" s="70">
        <f>L10</f>
        <v>106356.71263962799</v>
      </c>
      <c r="M27" s="21"/>
    </row>
    <row r="28" spans="2:22" x14ac:dyDescent="0.35">
      <c r="B28" s="1" t="s">
        <v>343</v>
      </c>
      <c r="C28" s="22"/>
      <c r="D28" s="22"/>
      <c r="E28" s="22"/>
      <c r="F28" s="417">
        <v>0.75</v>
      </c>
      <c r="G28" s="22"/>
      <c r="H28" s="22" t="s">
        <v>347</v>
      </c>
      <c r="I28" s="22"/>
      <c r="J28" s="22"/>
      <c r="K28" s="22"/>
      <c r="L28" s="70">
        <f>F28*L27</f>
        <v>79767.534479720998</v>
      </c>
      <c r="M28" s="21"/>
    </row>
    <row r="29" spans="2:22" x14ac:dyDescent="0.35">
      <c r="B29" s="1" t="s">
        <v>344</v>
      </c>
      <c r="C29" s="22"/>
      <c r="D29" s="22"/>
      <c r="E29" s="22"/>
      <c r="F29" s="476">
        <f>1-F28</f>
        <v>0.25</v>
      </c>
      <c r="G29" s="22"/>
      <c r="H29" s="22" t="s">
        <v>348</v>
      </c>
      <c r="I29" s="22"/>
      <c r="J29" s="22"/>
      <c r="K29" s="22"/>
      <c r="L29" s="70">
        <f>F29*L27</f>
        <v>26589.178159906998</v>
      </c>
      <c r="M29" s="21"/>
    </row>
    <row r="30" spans="2:22" x14ac:dyDescent="0.35">
      <c r="B30" s="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1"/>
    </row>
    <row r="31" spans="2:22" x14ac:dyDescent="0.35">
      <c r="B31" s="1" t="s">
        <v>345</v>
      </c>
      <c r="C31" s="22"/>
      <c r="D31" s="22"/>
      <c r="E31" s="22"/>
      <c r="F31" s="417">
        <v>0.08</v>
      </c>
      <c r="G31" s="22"/>
      <c r="H31" s="22" t="s">
        <v>349</v>
      </c>
      <c r="I31" s="22"/>
      <c r="J31" s="22"/>
      <c r="K31" s="22"/>
      <c r="L31" s="417">
        <v>0.1</v>
      </c>
      <c r="M31" s="21"/>
    </row>
    <row r="32" spans="2:22" x14ac:dyDescent="0.35">
      <c r="B32" s="65" t="s">
        <v>346</v>
      </c>
      <c r="C32" s="23"/>
      <c r="D32" s="23"/>
      <c r="E32" s="23"/>
      <c r="F32" s="423">
        <v>0.11</v>
      </c>
      <c r="G32" s="23"/>
      <c r="H32" s="23" t="s">
        <v>350</v>
      </c>
      <c r="I32" s="23"/>
      <c r="J32" s="23"/>
      <c r="K32" s="23"/>
      <c r="L32" s="423">
        <v>0</v>
      </c>
      <c r="M32" s="378"/>
    </row>
    <row r="34" spans="2:13" x14ac:dyDescent="0.35">
      <c r="B34" s="272" t="s">
        <v>351</v>
      </c>
      <c r="C34" s="37"/>
      <c r="D34" s="37"/>
      <c r="E34" s="37"/>
      <c r="F34" s="37"/>
      <c r="G34" s="37"/>
      <c r="H34" s="38"/>
      <c r="I34" s="38"/>
      <c r="J34" s="38"/>
      <c r="K34" s="38"/>
      <c r="L34" s="38"/>
      <c r="M34" s="39"/>
    </row>
    <row r="35" spans="2:13" x14ac:dyDescent="0.35">
      <c r="B35" s="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1"/>
    </row>
    <row r="36" spans="2:13" x14ac:dyDescent="0.35">
      <c r="B36" s="32" t="s">
        <v>352</v>
      </c>
      <c r="C36" s="5"/>
      <c r="D36" s="5"/>
      <c r="E36" s="5"/>
      <c r="F36" s="5"/>
      <c r="G36" s="22"/>
      <c r="H36" s="49" t="s">
        <v>355</v>
      </c>
      <c r="I36" s="5"/>
      <c r="J36" s="5"/>
      <c r="K36" s="5"/>
      <c r="L36" s="5"/>
      <c r="M36" s="21"/>
    </row>
    <row r="37" spans="2:13" x14ac:dyDescent="0.35">
      <c r="B37" s="1" t="s">
        <v>347</v>
      </c>
      <c r="C37" s="22"/>
      <c r="D37" s="22"/>
      <c r="E37" s="22"/>
      <c r="F37" s="70">
        <f>L28</f>
        <v>79767.534479720998</v>
      </c>
      <c r="G37" s="22"/>
      <c r="H37" s="22" t="s">
        <v>356</v>
      </c>
      <c r="I37" s="22"/>
      <c r="J37" s="22"/>
      <c r="K37" s="22"/>
      <c r="L37" s="70">
        <f>L7</f>
        <v>212713.42527925599</v>
      </c>
      <c r="M37" s="21"/>
    </row>
    <row r="38" spans="2:13" x14ac:dyDescent="0.35">
      <c r="B38" s="1" t="s">
        <v>348</v>
      </c>
      <c r="C38" s="22"/>
      <c r="D38" s="22"/>
      <c r="E38" s="22"/>
      <c r="F38" s="70">
        <f>L29</f>
        <v>26589.178159906998</v>
      </c>
      <c r="G38" s="22"/>
      <c r="H38" s="22" t="s">
        <v>357</v>
      </c>
      <c r="I38" s="22"/>
      <c r="J38" s="22"/>
      <c r="K38" s="22"/>
      <c r="L38" s="70">
        <f>L14*L7</f>
        <v>42.542685055851202</v>
      </c>
      <c r="M38" s="21"/>
    </row>
    <row r="39" spans="2:13" x14ac:dyDescent="0.35">
      <c r="B39" s="1" t="s">
        <v>353</v>
      </c>
      <c r="C39" s="22"/>
      <c r="D39" s="22"/>
      <c r="E39" s="22"/>
      <c r="F39" s="70">
        <f>L40-SUM(F37:F38)</f>
        <v>106463.06935226762</v>
      </c>
      <c r="G39" s="22"/>
      <c r="H39" s="381" t="s">
        <v>358</v>
      </c>
      <c r="I39" s="22"/>
      <c r="J39" s="22"/>
      <c r="K39" s="22"/>
      <c r="L39" s="70">
        <f>L15*L10</f>
        <v>63.814027583776792</v>
      </c>
      <c r="M39" s="21"/>
    </row>
    <row r="40" spans="2:13" x14ac:dyDescent="0.35">
      <c r="B40" s="479" t="s">
        <v>354</v>
      </c>
      <c r="C40" s="401"/>
      <c r="D40" s="401"/>
      <c r="E40" s="401"/>
      <c r="F40" s="449">
        <f>SUM(F37:F39)</f>
        <v>212819.78199189561</v>
      </c>
      <c r="G40" s="23"/>
      <c r="H40" s="411" t="s">
        <v>359</v>
      </c>
      <c r="I40" s="401"/>
      <c r="J40" s="401"/>
      <c r="K40" s="401"/>
      <c r="L40" s="449">
        <f>SUM(L37:L39)</f>
        <v>212819.78199189561</v>
      </c>
      <c r="M40" s="378"/>
    </row>
    <row r="42" spans="2:13" x14ac:dyDescent="0.35">
      <c r="B42" s="272" t="s">
        <v>65</v>
      </c>
      <c r="C42" s="37"/>
      <c r="D42" s="37"/>
      <c r="E42" s="37"/>
      <c r="F42" s="37"/>
      <c r="G42" s="37"/>
      <c r="H42" s="38"/>
      <c r="I42" s="38"/>
      <c r="J42" s="38"/>
      <c r="K42" s="38"/>
      <c r="L42" s="38"/>
      <c r="M42" s="39"/>
    </row>
    <row r="43" spans="2:13" x14ac:dyDescent="0.35">
      <c r="B43" s="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1"/>
    </row>
    <row r="44" spans="2:13" x14ac:dyDescent="0.35">
      <c r="B44" s="1" t="s">
        <v>360</v>
      </c>
      <c r="C44" s="22"/>
      <c r="D44" s="22"/>
      <c r="E44" s="22"/>
      <c r="F44" s="33">
        <f>'AAPL-3-Statements'!H99</f>
        <v>6559</v>
      </c>
      <c r="G44" s="22"/>
      <c r="H44" s="22"/>
      <c r="I44" s="22"/>
      <c r="J44" s="22"/>
      <c r="K44" s="22"/>
      <c r="L44" s="22"/>
      <c r="M44" s="21"/>
    </row>
    <row r="45" spans="2:13" x14ac:dyDescent="0.35">
      <c r="B45" s="1" t="s">
        <v>361</v>
      </c>
      <c r="C45" s="22"/>
      <c r="D45" s="22"/>
      <c r="E45" s="22"/>
      <c r="F45" s="59">
        <v>5000</v>
      </c>
      <c r="G45" s="22"/>
      <c r="H45" s="22"/>
      <c r="I45" s="22"/>
      <c r="J45" s="22"/>
      <c r="K45" s="22"/>
      <c r="L45" s="22"/>
      <c r="M45" s="21"/>
    </row>
    <row r="46" spans="2:13" x14ac:dyDescent="0.35">
      <c r="B46" s="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1"/>
    </row>
    <row r="47" spans="2:13" x14ac:dyDescent="0.35">
      <c r="B47" s="1"/>
      <c r="C47" s="22"/>
      <c r="D47" s="22"/>
      <c r="E47" s="22"/>
      <c r="F47" s="89" t="str">
        <f>'AAPL-3-Statements'!F22</f>
        <v>Historical</v>
      </c>
      <c r="G47" s="90"/>
      <c r="H47" s="93"/>
      <c r="I47" s="91" t="str">
        <f>'AAPL-3-Statements'!I22</f>
        <v>Projections</v>
      </c>
      <c r="J47" s="91"/>
      <c r="K47" s="91"/>
      <c r="L47" s="91"/>
      <c r="M47" s="92"/>
    </row>
    <row r="48" spans="2:13" x14ac:dyDescent="0.35">
      <c r="B48" s="1"/>
      <c r="C48" s="22"/>
      <c r="D48" s="22"/>
      <c r="E48" s="22"/>
      <c r="F48" s="35" t="str">
        <f>'AAPL-3-Statements'!F24</f>
        <v>FY 2007</v>
      </c>
      <c r="G48" s="35" t="str">
        <f>'AAPL-3-Statements'!G24</f>
        <v>FY 2008</v>
      </c>
      <c r="H48" s="36" t="str">
        <f>'AAPL-3-Statements'!H24</f>
        <v>FY 2009</v>
      </c>
      <c r="I48" s="35" t="str">
        <f>'AAPL-3-Statements'!I24</f>
        <v>FY 2010E</v>
      </c>
      <c r="J48" s="35" t="str">
        <f>'AAPL-3-Statements'!J24</f>
        <v>FY 2011E</v>
      </c>
      <c r="K48" s="35" t="str">
        <f>'AAPL-3-Statements'!K24</f>
        <v>FY 2012E</v>
      </c>
      <c r="L48" s="35" t="str">
        <f>'AAPL-3-Statements'!L24</f>
        <v>FY 2013E</v>
      </c>
      <c r="M48" s="36" t="str">
        <f>'AAPL-3-Statements'!M24</f>
        <v>FY 2014E</v>
      </c>
    </row>
    <row r="49" spans="2:13" x14ac:dyDescent="0.35">
      <c r="B49" s="1"/>
      <c r="C49" s="22"/>
      <c r="D49" s="22"/>
      <c r="E49" s="22"/>
      <c r="F49" s="22"/>
      <c r="G49" s="22"/>
      <c r="H49" s="21"/>
      <c r="I49" s="22"/>
      <c r="J49" s="22"/>
      <c r="K49" s="22"/>
      <c r="L49" s="22"/>
      <c r="M49" s="21"/>
    </row>
    <row r="50" spans="2:13" x14ac:dyDescent="0.35">
      <c r="B50" s="1" t="s">
        <v>102</v>
      </c>
      <c r="C50" s="22"/>
      <c r="D50" s="22"/>
      <c r="E50" s="22"/>
      <c r="F50" s="469">
        <f>'AAPL-3-Statements'!F39</f>
        <v>0.27248252653378202</v>
      </c>
      <c r="G50" s="469">
        <f>'AAPL-3-Statements'!G39</f>
        <v>0.52538855887378966</v>
      </c>
      <c r="H50" s="470">
        <f>'AAPL-3-Statements'!H39</f>
        <v>0.14440799125123371</v>
      </c>
      <c r="I50" s="471">
        <f>'AAPL-3-Statements'!I39</f>
        <v>0.25</v>
      </c>
      <c r="J50" s="469">
        <f>'AAPL-3-Statements'!J39</f>
        <v>0.17</v>
      </c>
      <c r="K50" s="469">
        <f>'AAPL-3-Statements'!K39</f>
        <v>0.11</v>
      </c>
      <c r="L50" s="469">
        <f>'AAPL-3-Statements'!L39</f>
        <v>0.09</v>
      </c>
      <c r="M50" s="470">
        <f>'AAPL-3-Statements'!M39</f>
        <v>7.0000000000000007E-2</v>
      </c>
    </row>
    <row r="51" spans="2:13" x14ac:dyDescent="0.35">
      <c r="B51" s="1" t="s">
        <v>69</v>
      </c>
      <c r="C51" s="22"/>
      <c r="D51" s="22"/>
      <c r="E51" s="22"/>
      <c r="F51" s="469">
        <f>'AAPL-3-Statements'!F40</f>
        <v>0.66246236471641307</v>
      </c>
      <c r="G51" s="469">
        <f>'AAPL-3-Statements'!G40</f>
        <v>0.64145172619206392</v>
      </c>
      <c r="H51" s="470">
        <f>'AAPL-3-Statements'!H40</f>
        <v>0.59024200753602918</v>
      </c>
      <c r="I51" s="471">
        <f>'AAPL-3-Statements'!I40</f>
        <v>0.59024200753602918</v>
      </c>
      <c r="J51" s="469">
        <f>'AAPL-3-Statements'!J40</f>
        <v>0.59024200753602918</v>
      </c>
      <c r="K51" s="469">
        <f>'AAPL-3-Statements'!K40</f>
        <v>0.59024200753602918</v>
      </c>
      <c r="L51" s="469">
        <f>'AAPL-3-Statements'!L40</f>
        <v>0.59024200753602918</v>
      </c>
      <c r="M51" s="470">
        <f>'AAPL-3-Statements'!M40</f>
        <v>0.59024200753602918</v>
      </c>
    </row>
    <row r="52" spans="2:13" x14ac:dyDescent="0.35">
      <c r="B52" s="1" t="s">
        <v>73</v>
      </c>
      <c r="C52" s="22"/>
      <c r="D52" s="22"/>
      <c r="E52" s="22"/>
      <c r="F52" s="469">
        <f>'AAPL-3-Statements'!F41</f>
        <v>2.4249328667914394E-2</v>
      </c>
      <c r="G52" s="469">
        <f>'AAPL-3-Statements'!G41</f>
        <v>2.0235967743369519E-2</v>
      </c>
      <c r="H52" s="470">
        <f>'AAPL-3-Statements'!H41</f>
        <v>1.9352833780056717E-2</v>
      </c>
      <c r="I52" s="471">
        <f>'AAPL-3-Statements'!I41</f>
        <v>1.9352833780056717E-2</v>
      </c>
      <c r="J52" s="469">
        <f>'AAPL-3-Statements'!J41</f>
        <v>1.9352833780056717E-2</v>
      </c>
      <c r="K52" s="469">
        <f>'AAPL-3-Statements'!K41</f>
        <v>1.9352833780056717E-2</v>
      </c>
      <c r="L52" s="469">
        <f>'AAPL-3-Statements'!L41</f>
        <v>1.9352833780056717E-2</v>
      </c>
      <c r="M52" s="470">
        <f>'AAPL-3-Statements'!M41</f>
        <v>1.9352833780056717E-2</v>
      </c>
    </row>
    <row r="53" spans="2:13" x14ac:dyDescent="0.35">
      <c r="B53" s="1" t="s">
        <v>74</v>
      </c>
      <c r="C53" s="22"/>
      <c r="D53" s="22"/>
      <c r="E53" s="22"/>
      <c r="F53" s="469">
        <f>'AAPL-3-Statements'!F42</f>
        <v>0.11083082431442753</v>
      </c>
      <c r="G53" s="469">
        <f>'AAPL-3-Statements'!G42</f>
        <v>8.9212522116419044E-2</v>
      </c>
      <c r="H53" s="470">
        <f>'AAPL-3-Statements'!H42</f>
        <v>8.312162529619703E-2</v>
      </c>
      <c r="I53" s="471">
        <f>'AAPL-3-Statements'!I42</f>
        <v>8.312162529619703E-2</v>
      </c>
      <c r="J53" s="469">
        <f>'AAPL-3-Statements'!J42</f>
        <v>8.312162529619703E-2</v>
      </c>
      <c r="K53" s="469">
        <f>'AAPL-3-Statements'!K42</f>
        <v>8.312162529619703E-2</v>
      </c>
      <c r="L53" s="469">
        <f>'AAPL-3-Statements'!L42</f>
        <v>8.312162529619703E-2</v>
      </c>
      <c r="M53" s="470">
        <f>'AAPL-3-Statements'!M42</f>
        <v>8.312162529619703E-2</v>
      </c>
    </row>
    <row r="54" spans="2:13" x14ac:dyDescent="0.35">
      <c r="B54" s="1"/>
      <c r="C54" s="22"/>
      <c r="D54" s="22"/>
      <c r="E54" s="22"/>
      <c r="F54" s="94"/>
      <c r="G54" s="94"/>
      <c r="H54" s="96"/>
      <c r="I54" s="100"/>
      <c r="J54" s="94"/>
      <c r="K54" s="94"/>
      <c r="L54" s="94"/>
      <c r="M54" s="96"/>
    </row>
    <row r="55" spans="2:13" x14ac:dyDescent="0.35">
      <c r="B55" s="1" t="s">
        <v>88</v>
      </c>
      <c r="C55" s="22"/>
      <c r="D55" s="22"/>
      <c r="E55" s="22"/>
      <c r="F55" s="469">
        <f>'AAPL-3-Statements'!F44</f>
        <v>9.8462039222068521E-3</v>
      </c>
      <c r="G55" s="469">
        <f>'AAPL-3-Statements'!G44</f>
        <v>1.3763303192766264E-2</v>
      </c>
      <c r="H55" s="470">
        <f>'AAPL-3-Statements'!H44</f>
        <v>1.6548187856893135E-2</v>
      </c>
      <c r="I55" s="471">
        <f>'AAPL-3-Statements'!I44</f>
        <v>1.6548187856893135E-2</v>
      </c>
      <c r="J55" s="469">
        <f>'AAPL-3-Statements'!J44</f>
        <v>1.6548187856893135E-2</v>
      </c>
      <c r="K55" s="469">
        <f>'AAPL-3-Statements'!K44</f>
        <v>1.6548187856893135E-2</v>
      </c>
      <c r="L55" s="469">
        <f>'AAPL-3-Statements'!L44</f>
        <v>1.6548187856893135E-2</v>
      </c>
      <c r="M55" s="470">
        <f>'AAPL-3-Statements'!M44</f>
        <v>1.6548187856893135E-2</v>
      </c>
    </row>
    <row r="56" spans="2:13" x14ac:dyDescent="0.35">
      <c r="B56" s="1" t="s">
        <v>101</v>
      </c>
      <c r="C56" s="22"/>
      <c r="D56" s="22"/>
      <c r="E56" s="22"/>
      <c r="F56" s="469">
        <f>'AAPL-3-Statements'!F45</f>
        <v>1.3304581332899341E-2</v>
      </c>
      <c r="G56" s="469">
        <f>'AAPL-3-Statements'!G45</f>
        <v>1.3229841828705556E-2</v>
      </c>
      <c r="H56" s="470">
        <f>'AAPL-3-Statements'!H45</f>
        <v>1.7107563221069804E-2</v>
      </c>
      <c r="I56" s="471">
        <f>'AAPL-3-Statements'!I45</f>
        <v>1.7107563221069804E-2</v>
      </c>
      <c r="J56" s="469">
        <f>'AAPL-3-Statements'!J45</f>
        <v>1.7107563221069804E-2</v>
      </c>
      <c r="K56" s="469">
        <f>'AAPL-3-Statements'!K45</f>
        <v>1.7107563221069804E-2</v>
      </c>
      <c r="L56" s="469">
        <f>'AAPL-3-Statements'!L45</f>
        <v>1.7107563221069804E-2</v>
      </c>
      <c r="M56" s="470">
        <f>'AAPL-3-Statements'!M45</f>
        <v>1.7107563221069804E-2</v>
      </c>
    </row>
    <row r="57" spans="2:13" x14ac:dyDescent="0.35">
      <c r="B57" s="1" t="s">
        <v>92</v>
      </c>
      <c r="C57" s="22"/>
      <c r="D57" s="22"/>
      <c r="E57" s="22"/>
      <c r="F57" s="469">
        <f>'AAPL-3-Statements'!F46</f>
        <v>5.2699999999999997E-2</v>
      </c>
      <c r="G57" s="469">
        <f>'AAPL-3-Statements'!G46</f>
        <v>3.44E-2</v>
      </c>
      <c r="H57" s="470">
        <f>'AAPL-3-Statements'!H46</f>
        <v>1.43E-2</v>
      </c>
      <c r="I57" s="469">
        <f>'AAPL-3-Statements'!I46</f>
        <v>0.01</v>
      </c>
      <c r="J57" s="469">
        <f>'AAPL-3-Statements'!J46</f>
        <v>0.01</v>
      </c>
      <c r="K57" s="469">
        <f>'AAPL-3-Statements'!K46</f>
        <v>0.02</v>
      </c>
      <c r="L57" s="469">
        <f>'AAPL-3-Statements'!L46</f>
        <v>0.02</v>
      </c>
      <c r="M57" s="470">
        <f>'AAPL-3-Statements'!M46</f>
        <v>0.03</v>
      </c>
    </row>
    <row r="58" spans="2:13" x14ac:dyDescent="0.35">
      <c r="B58" s="1" t="s">
        <v>93</v>
      </c>
      <c r="C58" s="22"/>
      <c r="D58" s="22"/>
      <c r="E58" s="22"/>
      <c r="F58" s="469">
        <f>'AAPL-3-Statements'!F48</f>
        <v>0.3018377946464243</v>
      </c>
      <c r="G58" s="469">
        <f>'AAPL-3-Statements'!G48</f>
        <v>0.3160836034424947</v>
      </c>
      <c r="H58" s="470">
        <f>'AAPL-3-Statements'!H48</f>
        <v>0.31750372948781702</v>
      </c>
      <c r="I58" s="471">
        <f>'AAPL-3-Statements'!I48</f>
        <v>0.3</v>
      </c>
      <c r="J58" s="469">
        <f>'AAPL-3-Statements'!J48</f>
        <v>0.3</v>
      </c>
      <c r="K58" s="469">
        <f>'AAPL-3-Statements'!K48</f>
        <v>0.3</v>
      </c>
      <c r="L58" s="469">
        <f>'AAPL-3-Statements'!L48</f>
        <v>0.3</v>
      </c>
      <c r="M58" s="470">
        <f>'AAPL-3-Statements'!M48</f>
        <v>0.3</v>
      </c>
    </row>
    <row r="59" spans="2:13" x14ac:dyDescent="0.35">
      <c r="B59" s="1"/>
      <c r="C59" s="22"/>
      <c r="D59" s="22"/>
      <c r="E59" s="22"/>
      <c r="F59" s="22"/>
      <c r="G59" s="22"/>
      <c r="H59" s="21"/>
      <c r="I59" s="1"/>
      <c r="J59" s="22"/>
      <c r="K59" s="22"/>
      <c r="L59" s="22"/>
      <c r="M59" s="21"/>
    </row>
    <row r="60" spans="2:13" x14ac:dyDescent="0.35">
      <c r="B60" s="1" t="s">
        <v>96</v>
      </c>
      <c r="C60" s="22"/>
      <c r="D60" s="22"/>
      <c r="E60" s="22"/>
      <c r="F60" s="59"/>
      <c r="G60" s="59"/>
      <c r="H60" s="58"/>
      <c r="I60" s="33">
        <f>'AAPL-3-Statements'!I53</f>
        <v>40</v>
      </c>
      <c r="J60" s="33">
        <f>'AAPL-3-Statements'!J53</f>
        <v>37</v>
      </c>
      <c r="K60" s="33">
        <f>'AAPL-3-Statements'!K53</f>
        <v>28</v>
      </c>
      <c r="L60" s="33">
        <f>'AAPL-3-Statements'!L53</f>
        <v>13</v>
      </c>
      <c r="M60" s="391">
        <f>'AAPL-3-Statements'!M53</f>
        <v>10</v>
      </c>
    </row>
    <row r="61" spans="2:13" x14ac:dyDescent="0.35">
      <c r="B61" s="1" t="s">
        <v>362</v>
      </c>
      <c r="C61" s="22"/>
      <c r="D61" s="22"/>
      <c r="E61" s="22"/>
      <c r="F61" s="239">
        <f>SUM('AAPL-3-Statements'!F150:F156)/'AAPL-3-Statements'!F66</f>
        <v>5.3747253641467978E-2</v>
      </c>
      <c r="G61" s="239">
        <f>SUM('AAPL-3-Statements'!G150:G156)/'AAPL-3-Statements'!G66</f>
        <v>5.4546424475207383E-2</v>
      </c>
      <c r="H61" s="240">
        <f>SUM('AAPL-3-Statements'!H150:H156)/'AAPL-3-Statements'!H66</f>
        <v>1.6548187856893135E-2</v>
      </c>
      <c r="I61" s="238">
        <f>SUM('AAPL-3-Statements'!I150:I156)/'AAPL-3-Statements'!I66</f>
        <v>3.9822864468010706E-2</v>
      </c>
      <c r="J61" s="239">
        <f>SUM('AAPL-3-Statements'!J150:J156)/'AAPL-3-Statements'!J66</f>
        <v>2.8931140852828302E-2</v>
      </c>
      <c r="K61" s="239">
        <f>SUM('AAPL-3-Statements'!K150:K156)/'AAPL-3-Statements'!K66</f>
        <v>1.9732049961626943E-2</v>
      </c>
      <c r="L61" s="239">
        <f>SUM('AAPL-3-Statements'!L150:L156)/'AAPL-3-Statements'!L66</f>
        <v>1.6440632119820966E-2</v>
      </c>
      <c r="M61" s="240">
        <f>SUM('AAPL-3-Statements'!M150:M156)/'AAPL-3-Statements'!M66</f>
        <v>1.3026170620377307E-2</v>
      </c>
    </row>
    <row r="62" spans="2:13" x14ac:dyDescent="0.35">
      <c r="B62" s="65" t="s">
        <v>89</v>
      </c>
      <c r="C62" s="23"/>
      <c r="D62" s="23"/>
      <c r="E62" s="23"/>
      <c r="F62" s="472">
        <f>'AAPL-3-Statements'!F61</f>
        <v>2.9904792904223289E-2</v>
      </c>
      <c r="G62" s="472">
        <f>'AAPL-3-Statements'!G61</f>
        <v>2.9100317409511616E-2</v>
      </c>
      <c r="H62" s="473">
        <f>'AAPL-3-Statements'!H61</f>
        <v>2.6663559025754575E-2</v>
      </c>
      <c r="I62" s="474">
        <f>'AAPL-3-Statements'!I61</f>
        <v>2.6663559025754575E-2</v>
      </c>
      <c r="J62" s="472">
        <f>'AAPL-3-Statements'!J61</f>
        <v>2.6663559025754575E-2</v>
      </c>
      <c r="K62" s="472">
        <f>'AAPL-3-Statements'!K61</f>
        <v>2.6663559025754575E-2</v>
      </c>
      <c r="L62" s="472">
        <f>'AAPL-3-Statements'!L61</f>
        <v>2.6663559025754575E-2</v>
      </c>
      <c r="M62" s="473">
        <f>'AAPL-3-Statements'!M61</f>
        <v>2.6663559025754575E-2</v>
      </c>
    </row>
    <row r="64" spans="2:13" x14ac:dyDescent="0.35">
      <c r="B64" s="272" t="s">
        <v>18</v>
      </c>
      <c r="C64" s="37"/>
      <c r="D64" s="37"/>
      <c r="E64" s="37"/>
      <c r="F64" s="37"/>
      <c r="G64" s="37"/>
      <c r="H64" s="38"/>
      <c r="I64" s="38"/>
      <c r="J64" s="38"/>
      <c r="K64" s="38"/>
      <c r="L64" s="38"/>
      <c r="M64" s="39"/>
    </row>
    <row r="65" spans="2:15" x14ac:dyDescent="0.35">
      <c r="B65" s="1"/>
      <c r="C65" s="22"/>
      <c r="F65" s="35" t="str">
        <f>$F$48</f>
        <v>FY 2007</v>
      </c>
      <c r="G65" s="35" t="str">
        <f>$G$48</f>
        <v>FY 2008</v>
      </c>
      <c r="H65" s="36" t="str">
        <f>$H$48</f>
        <v>FY 2009</v>
      </c>
      <c r="I65" s="35" t="str">
        <f>$I$48</f>
        <v>FY 2010E</v>
      </c>
      <c r="J65" s="35" t="str">
        <f>$J$48</f>
        <v>FY 2011E</v>
      </c>
      <c r="K65" s="35" t="str">
        <f>$K$48</f>
        <v>FY 2012E</v>
      </c>
      <c r="L65" s="35" t="str">
        <f>$L$48</f>
        <v>FY 2013E</v>
      </c>
      <c r="M65" s="36" t="str">
        <f>$M$48</f>
        <v>FY 2014E</v>
      </c>
    </row>
    <row r="66" spans="2:15" x14ac:dyDescent="0.35">
      <c r="B66" s="1"/>
      <c r="C66" s="22"/>
      <c r="H66" s="29"/>
      <c r="I66" s="22"/>
      <c r="M66" s="29"/>
    </row>
    <row r="67" spans="2:15" x14ac:dyDescent="0.35">
      <c r="B67" s="3" t="s">
        <v>70</v>
      </c>
      <c r="F67" s="41">
        <f>'AAPL-3-Statements'!F66</f>
        <v>24578</v>
      </c>
      <c r="G67" s="41">
        <f>'AAPL-3-Statements'!G66</f>
        <v>37491</v>
      </c>
      <c r="H67" s="77">
        <f>'AAPL-3-Statements'!H66</f>
        <v>42905</v>
      </c>
      <c r="I67" s="19">
        <f>H67*(1+I50)</f>
        <v>53631.25</v>
      </c>
      <c r="J67" s="19">
        <f>I67*(1+J50)</f>
        <v>62748.562499999993</v>
      </c>
      <c r="K67" s="19">
        <f>J67*(1+K50)</f>
        <v>69650.904374999998</v>
      </c>
      <c r="L67" s="19">
        <f>K67*(1+L50)</f>
        <v>75919.485768750004</v>
      </c>
      <c r="M67" s="80">
        <f>L67*(1+M50)</f>
        <v>81233.849772562506</v>
      </c>
      <c r="O67" s="118"/>
    </row>
    <row r="68" spans="2:15" x14ac:dyDescent="0.35">
      <c r="B68" s="1" t="s">
        <v>71</v>
      </c>
      <c r="F68" s="33">
        <f>'AAPL-3-Statements'!F67</f>
        <v>16282</v>
      </c>
      <c r="G68" s="33">
        <f>'AAPL-3-Statements'!G67</f>
        <v>24048.666666666668</v>
      </c>
      <c r="H68" s="391">
        <f>'AAPL-3-Statements'!H67</f>
        <v>25324.333333333332</v>
      </c>
      <c r="I68" s="20">
        <f>I67*I51</f>
        <v>31655.416666666664</v>
      </c>
      <c r="J68" s="20">
        <f>J67*J51</f>
        <v>37036.837499999994</v>
      </c>
      <c r="K68" s="20">
        <f>K67*K51</f>
        <v>41110.889624999996</v>
      </c>
      <c r="L68" s="20">
        <f>L67*L51</f>
        <v>44810.869691250002</v>
      </c>
      <c r="M68" s="78">
        <f>M67*M51</f>
        <v>47947.630569637498</v>
      </c>
    </row>
    <row r="69" spans="2:15" x14ac:dyDescent="0.35">
      <c r="B69" s="12" t="s">
        <v>0</v>
      </c>
      <c r="F69" s="28">
        <f t="shared" ref="F69:M69" si="0">F67-F68</f>
        <v>8296</v>
      </c>
      <c r="G69" s="28">
        <f t="shared" si="0"/>
        <v>13442.333333333332</v>
      </c>
      <c r="H69" s="16">
        <f t="shared" si="0"/>
        <v>17580.666666666668</v>
      </c>
      <c r="I69" s="108">
        <f t="shared" si="0"/>
        <v>21975.833333333336</v>
      </c>
      <c r="J69" s="28">
        <f t="shared" si="0"/>
        <v>25711.724999999999</v>
      </c>
      <c r="K69" s="28">
        <f t="shared" si="0"/>
        <v>28540.014750000002</v>
      </c>
      <c r="L69" s="28">
        <f t="shared" si="0"/>
        <v>31108.616077500003</v>
      </c>
      <c r="M69" s="16">
        <f t="shared" si="0"/>
        <v>33286.219202925007</v>
      </c>
    </row>
    <row r="70" spans="2:15" x14ac:dyDescent="0.35">
      <c r="B70" s="1" t="s">
        <v>1</v>
      </c>
      <c r="F70" s="22"/>
      <c r="G70" s="22"/>
      <c r="H70" s="21"/>
      <c r="I70" s="22"/>
      <c r="J70" s="22"/>
      <c r="K70" s="22"/>
      <c r="L70" s="22"/>
      <c r="M70" s="21"/>
    </row>
    <row r="71" spans="2:15" x14ac:dyDescent="0.35">
      <c r="B71" s="10" t="s">
        <v>13</v>
      </c>
      <c r="F71" s="33">
        <f>'AAPL-3-Statements'!F70</f>
        <v>596</v>
      </c>
      <c r="G71" s="33">
        <f>'AAPL-3-Statements'!G70</f>
        <v>758.66666666666663</v>
      </c>
      <c r="H71" s="391">
        <f>'AAPL-3-Statements'!H70</f>
        <v>830.33333333333337</v>
      </c>
      <c r="I71" s="20">
        <f>I67*I52</f>
        <v>1037.9166666666667</v>
      </c>
      <c r="J71" s="20">
        <f>J67*J52</f>
        <v>1214.3625</v>
      </c>
      <c r="K71" s="20">
        <f>K67*K52</f>
        <v>1347.9423750000001</v>
      </c>
      <c r="L71" s="20">
        <f>L67*L52</f>
        <v>1469.2571887500003</v>
      </c>
      <c r="M71" s="78">
        <f>M67*M52</f>
        <v>1572.1051919625004</v>
      </c>
    </row>
    <row r="72" spans="2:15" x14ac:dyDescent="0.35">
      <c r="B72" s="10" t="s">
        <v>72</v>
      </c>
      <c r="F72" s="33">
        <f>'AAPL-3-Statements'!F71</f>
        <v>2724</v>
      </c>
      <c r="G72" s="33">
        <f>'AAPL-3-Statements'!G71</f>
        <v>3344.6666666666665</v>
      </c>
      <c r="H72" s="391">
        <f>'AAPL-3-Statements'!H71</f>
        <v>3566.3333333333335</v>
      </c>
      <c r="I72" s="20">
        <f>I67*I53</f>
        <v>4457.916666666667</v>
      </c>
      <c r="J72" s="20">
        <f>J67*J53</f>
        <v>5215.7624999999998</v>
      </c>
      <c r="K72" s="20">
        <f>K67*K53</f>
        <v>5789.4963750000006</v>
      </c>
      <c r="L72" s="20">
        <f>L67*L53</f>
        <v>6310.5510487500005</v>
      </c>
      <c r="M72" s="78">
        <f>M67*M53</f>
        <v>6752.2896221625006</v>
      </c>
    </row>
    <row r="73" spans="2:15" x14ac:dyDescent="0.35">
      <c r="B73" s="14" t="s">
        <v>2</v>
      </c>
      <c r="C73" s="31"/>
      <c r="D73" s="31"/>
      <c r="E73" s="31"/>
      <c r="F73" s="53">
        <f t="shared" ref="F73:M73" si="1">SUM(F71:F72)</f>
        <v>3320</v>
      </c>
      <c r="G73" s="53">
        <f t="shared" si="1"/>
        <v>4103.333333333333</v>
      </c>
      <c r="H73" s="42">
        <f t="shared" si="1"/>
        <v>4396.666666666667</v>
      </c>
      <c r="I73" s="53">
        <f t="shared" si="1"/>
        <v>5495.8333333333339</v>
      </c>
      <c r="J73" s="53">
        <f t="shared" si="1"/>
        <v>6430.125</v>
      </c>
      <c r="K73" s="53">
        <f t="shared" si="1"/>
        <v>7137.4387500000012</v>
      </c>
      <c r="L73" s="53">
        <f t="shared" si="1"/>
        <v>7779.8082375000013</v>
      </c>
      <c r="M73" s="42">
        <f t="shared" si="1"/>
        <v>8324.3948141250003</v>
      </c>
    </row>
    <row r="74" spans="2:15" x14ac:dyDescent="0.35">
      <c r="B74" s="13"/>
      <c r="C74" s="22"/>
      <c r="D74" s="22"/>
      <c r="F74" s="52"/>
      <c r="G74" s="52"/>
      <c r="H74" s="8"/>
      <c r="I74" s="52"/>
      <c r="J74" s="52"/>
      <c r="K74" s="52"/>
      <c r="L74" s="52"/>
      <c r="M74" s="8"/>
    </row>
    <row r="75" spans="2:15" x14ac:dyDescent="0.35">
      <c r="B75" s="10" t="s">
        <v>98</v>
      </c>
      <c r="C75" s="22"/>
      <c r="D75" s="22"/>
      <c r="F75" s="33">
        <f>'AAPL-3-Statements'!F74</f>
        <v>327</v>
      </c>
      <c r="G75" s="33">
        <f>'AAPL-3-Statements'!G74</f>
        <v>496</v>
      </c>
      <c r="H75" s="391">
        <f>'AAPL-3-Statements'!H74</f>
        <v>734</v>
      </c>
      <c r="I75" s="20">
        <f>I67*I56</f>
        <v>917.49999999999989</v>
      </c>
      <c r="J75" s="20">
        <f>J67*J56</f>
        <v>1073.4749999999997</v>
      </c>
      <c r="K75" s="20">
        <f>K67*K56</f>
        <v>1191.5572499999998</v>
      </c>
      <c r="L75" s="20">
        <f>L67*L56</f>
        <v>1298.7974024999999</v>
      </c>
      <c r="M75" s="78">
        <f>M67*M56</f>
        <v>1389.713220675</v>
      </c>
    </row>
    <row r="76" spans="2:15" x14ac:dyDescent="0.35">
      <c r="B76" s="10" t="s">
        <v>96</v>
      </c>
      <c r="C76" s="22"/>
      <c r="D76" s="22"/>
      <c r="F76" s="33">
        <f>'AAPL-3-Statements'!F75</f>
        <v>0</v>
      </c>
      <c r="G76" s="33">
        <f>'AAPL-3-Statements'!G75</f>
        <v>0</v>
      </c>
      <c r="H76" s="391">
        <f>'AAPL-3-Statements'!H75</f>
        <v>0</v>
      </c>
      <c r="I76" s="20">
        <f>I60</f>
        <v>40</v>
      </c>
      <c r="J76" s="20">
        <f>J60</f>
        <v>37</v>
      </c>
      <c r="K76" s="20">
        <f>K60</f>
        <v>28</v>
      </c>
      <c r="L76" s="20">
        <f>L60</f>
        <v>13</v>
      </c>
      <c r="M76" s="78">
        <f>M60</f>
        <v>10</v>
      </c>
    </row>
    <row r="77" spans="2:15" x14ac:dyDescent="0.35">
      <c r="B77" s="107" t="s">
        <v>44</v>
      </c>
      <c r="C77" s="22"/>
      <c r="D77" s="22"/>
      <c r="F77" s="33">
        <f>'AAPL-3-Statements'!F76</f>
        <v>242</v>
      </c>
      <c r="G77" s="33">
        <f>'AAPL-3-Statements'!G76</f>
        <v>516</v>
      </c>
      <c r="H77" s="391">
        <f>'AAPL-3-Statements'!H76</f>
        <v>710</v>
      </c>
      <c r="I77" s="20">
        <f>I67*I55</f>
        <v>887.5</v>
      </c>
      <c r="J77" s="20">
        <f>J67*J55</f>
        <v>1038.3749999999998</v>
      </c>
      <c r="K77" s="20">
        <f>K67*K55</f>
        <v>1152.5962499999998</v>
      </c>
      <c r="L77" s="20">
        <f>L67*L55</f>
        <v>1256.3299125000001</v>
      </c>
      <c r="M77" s="78">
        <f>M67*M55</f>
        <v>1344.273006375</v>
      </c>
    </row>
    <row r="78" spans="2:15" x14ac:dyDescent="0.35">
      <c r="B78" s="13"/>
      <c r="C78" s="22"/>
      <c r="D78" s="22"/>
      <c r="F78" s="52"/>
      <c r="G78" s="52"/>
      <c r="H78" s="8"/>
      <c r="I78" s="52"/>
      <c r="J78" s="52"/>
      <c r="K78" s="52"/>
      <c r="L78" s="52"/>
      <c r="M78" s="8"/>
    </row>
    <row r="79" spans="2:15" x14ac:dyDescent="0.35">
      <c r="B79" s="13" t="s">
        <v>3</v>
      </c>
      <c r="F79" s="28">
        <f t="shared" ref="F79:M79" si="2">F69-F73-F75-F76-F77</f>
        <v>4407</v>
      </c>
      <c r="G79" s="28">
        <f t="shared" si="2"/>
        <v>8327</v>
      </c>
      <c r="H79" s="16">
        <f t="shared" si="2"/>
        <v>11740</v>
      </c>
      <c r="I79" s="108">
        <f t="shared" si="2"/>
        <v>14635</v>
      </c>
      <c r="J79" s="28">
        <f t="shared" si="2"/>
        <v>17132.75</v>
      </c>
      <c r="K79" s="28">
        <f t="shared" si="2"/>
        <v>19030.422500000004</v>
      </c>
      <c r="L79" s="28">
        <f t="shared" si="2"/>
        <v>20760.680525</v>
      </c>
      <c r="M79" s="16">
        <f t="shared" si="2"/>
        <v>22217.838161750009</v>
      </c>
    </row>
    <row r="80" spans="2:15" x14ac:dyDescent="0.35">
      <c r="B80" s="10" t="s">
        <v>291</v>
      </c>
      <c r="F80" s="20">
        <f>SUM('AAPL-3-Statements'!F79:F81)</f>
        <v>599</v>
      </c>
      <c r="G80" s="20">
        <f>SUM('AAPL-3-Statements'!G79:G81)</f>
        <v>620</v>
      </c>
      <c r="H80" s="78">
        <f>SUM('AAPL-3-Statements'!H79:H81)</f>
        <v>326</v>
      </c>
      <c r="I80" s="69">
        <f ca="1">I128</f>
        <v>-8627.4561275385277</v>
      </c>
      <c r="J80" s="69">
        <f ca="1">J128</f>
        <v>-7953.9993818000085</v>
      </c>
      <c r="K80" s="69">
        <f ca="1">K128</f>
        <v>-6850.372766965439</v>
      </c>
      <c r="L80" s="69">
        <f ca="1">L128</f>
        <v>-5947.3017451548067</v>
      </c>
      <c r="M80" s="85">
        <f ca="1">M128</f>
        <v>-4562.6960963977799</v>
      </c>
    </row>
    <row r="81" spans="2:14" x14ac:dyDescent="0.35">
      <c r="B81" s="14" t="s">
        <v>4</v>
      </c>
      <c r="C81" s="31"/>
      <c r="D81" s="31"/>
      <c r="E81" s="31"/>
      <c r="F81" s="53">
        <f t="shared" ref="F81:M81" si="3">SUM(F79:F80)</f>
        <v>5006</v>
      </c>
      <c r="G81" s="53">
        <f t="shared" si="3"/>
        <v>8947</v>
      </c>
      <c r="H81" s="42">
        <f t="shared" si="3"/>
        <v>12066</v>
      </c>
      <c r="I81" s="53">
        <f t="shared" ca="1" si="3"/>
        <v>6007.5438724614723</v>
      </c>
      <c r="J81" s="53">
        <f t="shared" ca="1" si="3"/>
        <v>9178.7506181999925</v>
      </c>
      <c r="K81" s="53">
        <f t="shared" ca="1" si="3"/>
        <v>12180.049733034564</v>
      </c>
      <c r="L81" s="53">
        <f t="shared" ca="1" si="3"/>
        <v>14813.378779845192</v>
      </c>
      <c r="M81" s="42">
        <f t="shared" ca="1" si="3"/>
        <v>17655.142065352229</v>
      </c>
    </row>
    <row r="82" spans="2:14" x14ac:dyDescent="0.35">
      <c r="B82" s="11" t="s">
        <v>5</v>
      </c>
      <c r="F82" s="33">
        <f>'AAPL-3-Statements'!F83</f>
        <v>1511</v>
      </c>
      <c r="G82" s="33">
        <f>'AAPL-3-Statements'!G83</f>
        <v>2828</v>
      </c>
      <c r="H82" s="391">
        <f>'AAPL-3-Statements'!H83</f>
        <v>3831</v>
      </c>
      <c r="I82" s="69">
        <f ca="1">I81*I58</f>
        <v>1802.2631617384416</v>
      </c>
      <c r="J82" s="69">
        <f ca="1">J81*J58</f>
        <v>2753.6251854599977</v>
      </c>
      <c r="K82" s="69">
        <f ca="1">K81*K58</f>
        <v>3654.0149199103694</v>
      </c>
      <c r="L82" s="69">
        <f ca="1">L81*L58</f>
        <v>4444.0136339535575</v>
      </c>
      <c r="M82" s="85">
        <f ca="1">M81*M58</f>
        <v>5296.5426196056687</v>
      </c>
    </row>
    <row r="83" spans="2:14" x14ac:dyDescent="0.35">
      <c r="B83" s="10"/>
      <c r="F83" s="22"/>
      <c r="G83" s="22"/>
      <c r="H83" s="21"/>
      <c r="I83" s="22"/>
      <c r="J83" s="22"/>
      <c r="K83" s="22"/>
      <c r="L83" s="22"/>
      <c r="M83" s="21"/>
    </row>
    <row r="84" spans="2:14" x14ac:dyDescent="0.35">
      <c r="B84" s="13" t="s">
        <v>10</v>
      </c>
      <c r="F84" s="28">
        <f t="shared" ref="F84:M84" si="4">F81-F82</f>
        <v>3495</v>
      </c>
      <c r="G84" s="28">
        <f t="shared" si="4"/>
        <v>6119</v>
      </c>
      <c r="H84" s="16">
        <f t="shared" si="4"/>
        <v>8235</v>
      </c>
      <c r="I84" s="28">
        <f t="shared" ca="1" si="4"/>
        <v>4205.280710723031</v>
      </c>
      <c r="J84" s="28">
        <f t="shared" ca="1" si="4"/>
        <v>6425.1254327399947</v>
      </c>
      <c r="K84" s="28">
        <f t="shared" ca="1" si="4"/>
        <v>8526.0348131241954</v>
      </c>
      <c r="L84" s="28">
        <f t="shared" ca="1" si="4"/>
        <v>10369.365145891636</v>
      </c>
      <c r="M84" s="16">
        <f t="shared" ca="1" si="4"/>
        <v>12358.59944574656</v>
      </c>
    </row>
    <row r="85" spans="2:14" x14ac:dyDescent="0.35">
      <c r="B85" s="125" t="s">
        <v>112</v>
      </c>
      <c r="C85" s="40"/>
      <c r="D85" s="40"/>
      <c r="E85" s="23"/>
      <c r="F85" s="71">
        <f t="shared" ref="F85:M85" si="5">F79+F77+F76+F75</f>
        <v>4976</v>
      </c>
      <c r="G85" s="71">
        <f t="shared" si="5"/>
        <v>9339</v>
      </c>
      <c r="H85" s="88">
        <f t="shared" si="5"/>
        <v>13184</v>
      </c>
      <c r="I85" s="463">
        <f t="shared" si="5"/>
        <v>16480</v>
      </c>
      <c r="J85" s="71">
        <f t="shared" si="5"/>
        <v>19281.599999999999</v>
      </c>
      <c r="K85" s="71">
        <f t="shared" si="5"/>
        <v>21402.576000000001</v>
      </c>
      <c r="L85" s="71">
        <f t="shared" si="5"/>
        <v>23328.807840000001</v>
      </c>
      <c r="M85" s="88">
        <f t="shared" si="5"/>
        <v>24961.824388800007</v>
      </c>
    </row>
    <row r="87" spans="2:14" x14ac:dyDescent="0.35">
      <c r="B87" s="272" t="s">
        <v>42</v>
      </c>
      <c r="C87" s="37"/>
      <c r="D87" s="37"/>
      <c r="E87" s="38"/>
      <c r="F87" s="38"/>
      <c r="G87" s="38"/>
      <c r="H87" s="38"/>
      <c r="I87" s="38"/>
      <c r="J87" s="38"/>
      <c r="K87" s="38"/>
      <c r="L87" s="38"/>
      <c r="M87" s="39"/>
    </row>
    <row r="88" spans="2:14" x14ac:dyDescent="0.35">
      <c r="B88" s="1"/>
      <c r="C88" s="22"/>
      <c r="F88" s="35" t="str">
        <f>$F$48</f>
        <v>FY 2007</v>
      </c>
      <c r="G88" s="35" t="str">
        <f>$G$48</f>
        <v>FY 2008</v>
      </c>
      <c r="H88" s="36" t="str">
        <f>$H$48</f>
        <v>FY 2009</v>
      </c>
      <c r="I88" s="35" t="str">
        <f>$I$48</f>
        <v>FY 2010E</v>
      </c>
      <c r="J88" s="35" t="str">
        <f>$J$48</f>
        <v>FY 2011E</v>
      </c>
      <c r="K88" s="35" t="str">
        <f>$K$48</f>
        <v>FY 2012E</v>
      </c>
      <c r="L88" s="35" t="str">
        <f>$L$48</f>
        <v>FY 2013E</v>
      </c>
      <c r="M88" s="36" t="str">
        <f>$M$48</f>
        <v>FY 2014E</v>
      </c>
    </row>
    <row r="89" spans="2:14" x14ac:dyDescent="0.35">
      <c r="B89" s="32" t="s">
        <v>43</v>
      </c>
      <c r="C89" s="49"/>
      <c r="D89" s="50"/>
      <c r="E89" s="50"/>
      <c r="H89" s="84"/>
      <c r="M89" s="21"/>
    </row>
    <row r="90" spans="2:14" x14ac:dyDescent="0.35">
      <c r="B90" s="3" t="s">
        <v>10</v>
      </c>
      <c r="F90" s="19"/>
      <c r="G90" s="19"/>
      <c r="H90" s="19"/>
      <c r="I90" s="110">
        <f ca="1">I84</f>
        <v>4205.280710723031</v>
      </c>
      <c r="J90" s="19">
        <f ca="1">J84</f>
        <v>6425.1254327399947</v>
      </c>
      <c r="K90" s="19">
        <f ca="1">K84</f>
        <v>8526.0348131241954</v>
      </c>
      <c r="L90" s="19">
        <f ca="1">L84</f>
        <v>10369.365145891636</v>
      </c>
      <c r="M90" s="19">
        <f ca="1">M84</f>
        <v>12358.59944574656</v>
      </c>
      <c r="N90" s="1"/>
    </row>
    <row r="91" spans="2:14" x14ac:dyDescent="0.35">
      <c r="B91" s="10" t="s">
        <v>98</v>
      </c>
      <c r="C91" s="22"/>
      <c r="D91" s="22"/>
      <c r="E91" s="33"/>
      <c r="F91" s="20"/>
      <c r="G91" s="20"/>
      <c r="H91" s="20"/>
      <c r="I91" s="111">
        <f>I75</f>
        <v>917.49999999999989</v>
      </c>
      <c r="J91" s="20">
        <f>J75</f>
        <v>1073.4749999999997</v>
      </c>
      <c r="K91" s="20">
        <f>K75</f>
        <v>1191.5572499999998</v>
      </c>
      <c r="L91" s="20">
        <f>L75</f>
        <v>1298.7974024999999</v>
      </c>
      <c r="M91" s="20">
        <f>M75</f>
        <v>1389.713220675</v>
      </c>
      <c r="N91" s="1"/>
    </row>
    <row r="92" spans="2:14" x14ac:dyDescent="0.35">
      <c r="B92" s="10" t="s">
        <v>96</v>
      </c>
      <c r="C92" s="22"/>
      <c r="D92" s="22"/>
      <c r="E92" s="33"/>
      <c r="F92" s="20"/>
      <c r="G92" s="20"/>
      <c r="H92" s="20"/>
      <c r="I92" s="111">
        <f t="shared" ref="I92:M93" si="6">I76</f>
        <v>40</v>
      </c>
      <c r="J92" s="20">
        <f t="shared" si="6"/>
        <v>37</v>
      </c>
      <c r="K92" s="20">
        <f t="shared" si="6"/>
        <v>28</v>
      </c>
      <c r="L92" s="20">
        <f t="shared" si="6"/>
        <v>13</v>
      </c>
      <c r="M92" s="20">
        <f t="shared" si="6"/>
        <v>10</v>
      </c>
      <c r="N92" s="1"/>
    </row>
    <row r="93" spans="2:14" x14ac:dyDescent="0.35">
      <c r="B93" s="107" t="s">
        <v>44</v>
      </c>
      <c r="C93" s="22"/>
      <c r="D93" s="22"/>
      <c r="E93" s="28"/>
      <c r="F93" s="20"/>
      <c r="G93" s="20"/>
      <c r="H93" s="20"/>
      <c r="I93" s="111">
        <f t="shared" si="6"/>
        <v>887.5</v>
      </c>
      <c r="J93" s="20">
        <f t="shared" si="6"/>
        <v>1038.3749999999998</v>
      </c>
      <c r="K93" s="20">
        <f t="shared" si="6"/>
        <v>1152.5962499999998</v>
      </c>
      <c r="L93" s="20">
        <f t="shared" si="6"/>
        <v>1256.3299125000001</v>
      </c>
      <c r="M93" s="20">
        <f t="shared" si="6"/>
        <v>1344.273006375</v>
      </c>
      <c r="N93" s="1"/>
    </row>
    <row r="94" spans="2:14" x14ac:dyDescent="0.35">
      <c r="B94" s="10" t="s">
        <v>363</v>
      </c>
      <c r="C94" s="22"/>
      <c r="D94" s="22"/>
      <c r="E94" s="28"/>
      <c r="F94" s="20"/>
      <c r="G94" s="20"/>
      <c r="H94" s="78"/>
      <c r="I94" s="20">
        <f>I67*I61</f>
        <v>2135.7499999999991</v>
      </c>
      <c r="J94" s="20">
        <f>J67*J61</f>
        <v>1815.3874999999998</v>
      </c>
      <c r="K94" s="20">
        <f>K67*K61</f>
        <v>1374.3551250000005</v>
      </c>
      <c r="L94" s="20">
        <f>L67*L61</f>
        <v>1248.164336250002</v>
      </c>
      <c r="M94" s="78">
        <f>M67*M61</f>
        <v>1058.1659872874975</v>
      </c>
      <c r="N94" s="22"/>
    </row>
    <row r="95" spans="2:14" x14ac:dyDescent="0.35">
      <c r="B95" s="14" t="s">
        <v>49</v>
      </c>
      <c r="C95" s="31"/>
      <c r="D95" s="31"/>
      <c r="E95" s="31"/>
      <c r="F95" s="53"/>
      <c r="G95" s="53"/>
      <c r="H95" s="42"/>
      <c r="I95" s="53">
        <f ca="1">SUM(I90:I94)</f>
        <v>8186.0307107230301</v>
      </c>
      <c r="J95" s="53">
        <f ca="1">SUM(J90:J94)</f>
        <v>10389.362932739994</v>
      </c>
      <c r="K95" s="53">
        <f ca="1">SUM(K90:K94)</f>
        <v>12272.543438124196</v>
      </c>
      <c r="L95" s="53">
        <f ca="1">SUM(L90:L94)</f>
        <v>14185.656797141637</v>
      </c>
      <c r="M95" s="42">
        <f ca="1">SUM(M90:M94)</f>
        <v>16160.751660084057</v>
      </c>
    </row>
    <row r="96" spans="2:14" x14ac:dyDescent="0.35">
      <c r="B96" s="11"/>
      <c r="C96" s="22"/>
      <c r="D96" s="22"/>
      <c r="E96" s="33"/>
      <c r="F96" s="59"/>
      <c r="G96" s="59"/>
      <c r="H96" s="58"/>
      <c r="I96" s="112"/>
      <c r="J96" s="113"/>
      <c r="K96" s="113"/>
      <c r="L96" s="113"/>
      <c r="M96" s="86"/>
    </row>
    <row r="97" spans="2:13" x14ac:dyDescent="0.35">
      <c r="B97" s="10" t="s">
        <v>54</v>
      </c>
      <c r="C97" s="22"/>
      <c r="D97" s="22"/>
      <c r="E97" s="22"/>
      <c r="H97" s="21"/>
      <c r="I97" s="115">
        <f>-I67*I62</f>
        <v>-1430</v>
      </c>
      <c r="J97" s="70">
        <f>-J67*J62</f>
        <v>-1673.1</v>
      </c>
      <c r="K97" s="70">
        <f>-K67*K62</f>
        <v>-1857.1410000000001</v>
      </c>
      <c r="L97" s="70">
        <f>-L67*L62</f>
        <v>-2024.2836900000002</v>
      </c>
      <c r="M97" s="86">
        <f>-M67*M62</f>
        <v>-2165.9835483000002</v>
      </c>
    </row>
    <row r="98" spans="2:13" x14ac:dyDescent="0.35">
      <c r="B98" s="10"/>
      <c r="C98" s="22"/>
      <c r="D98" s="22"/>
      <c r="E98" s="22"/>
      <c r="H98" s="21"/>
      <c r="I98" s="113"/>
      <c r="M98" s="21"/>
    </row>
    <row r="99" spans="2:13" x14ac:dyDescent="0.35">
      <c r="B99" s="13" t="s">
        <v>364</v>
      </c>
      <c r="C99" s="22"/>
      <c r="D99" s="22"/>
      <c r="E99" s="22"/>
      <c r="H99" s="21"/>
      <c r="I99" s="110">
        <f ca="1">I95+I97</f>
        <v>6756.0307107230301</v>
      </c>
      <c r="J99" s="19">
        <f ca="1">J95+J97</f>
        <v>8716.2629327399936</v>
      </c>
      <c r="K99" s="19">
        <f ca="1">K95+K97</f>
        <v>10415.402438124196</v>
      </c>
      <c r="L99" s="19">
        <f ca="1">L95+L97</f>
        <v>12161.373107141637</v>
      </c>
      <c r="M99" s="80">
        <f ca="1">M95+M97</f>
        <v>13994.768111784057</v>
      </c>
    </row>
    <row r="100" spans="2:13" x14ac:dyDescent="0.35">
      <c r="B100" s="10"/>
      <c r="C100" s="22"/>
      <c r="D100" s="22"/>
      <c r="E100" s="22"/>
      <c r="H100" s="21"/>
      <c r="I100" s="113"/>
      <c r="M100" s="21"/>
    </row>
    <row r="101" spans="2:13" x14ac:dyDescent="0.35">
      <c r="B101" s="10" t="s">
        <v>365</v>
      </c>
      <c r="C101" s="22"/>
      <c r="D101" s="22"/>
      <c r="E101" s="22"/>
      <c r="H101" s="21"/>
      <c r="I101" s="113">
        <f>F44</f>
        <v>6559</v>
      </c>
      <c r="J101" s="113">
        <f ca="1">I110</f>
        <v>5000.0000000000009</v>
      </c>
      <c r="K101" s="113">
        <f ca="1">J110</f>
        <v>5000.0000000000009</v>
      </c>
      <c r="L101" s="113">
        <f ca="1">K110</f>
        <v>5000.0000000000009</v>
      </c>
      <c r="M101" s="86">
        <f ca="1">L110</f>
        <v>5000.0000000000009</v>
      </c>
    </row>
    <row r="102" spans="2:13" x14ac:dyDescent="0.35">
      <c r="B102" s="10" t="s">
        <v>366</v>
      </c>
      <c r="C102" s="22"/>
      <c r="D102" s="22"/>
      <c r="E102" s="22"/>
      <c r="H102" s="21"/>
      <c r="I102" s="113">
        <f ca="1">I99</f>
        <v>6756.0307107230301</v>
      </c>
      <c r="J102" s="113">
        <f ca="1">J99</f>
        <v>8716.2629327399936</v>
      </c>
      <c r="K102" s="113">
        <f ca="1">K99</f>
        <v>10415.402438124196</v>
      </c>
      <c r="L102" s="113">
        <f ca="1">L99</f>
        <v>12161.373107141637</v>
      </c>
      <c r="M102" s="86">
        <f ca="1">M99</f>
        <v>13994.768111784057</v>
      </c>
    </row>
    <row r="103" spans="2:13" x14ac:dyDescent="0.35">
      <c r="B103" s="10" t="s">
        <v>367</v>
      </c>
      <c r="C103" s="22"/>
      <c r="D103" s="22"/>
      <c r="E103" s="22"/>
      <c r="H103" s="21"/>
      <c r="I103" s="113">
        <f>-$F$45</f>
        <v>-5000</v>
      </c>
      <c r="J103" s="113">
        <f>-$F$45</f>
        <v>-5000</v>
      </c>
      <c r="K103" s="113">
        <f>-$F$45</f>
        <v>-5000</v>
      </c>
      <c r="L103" s="113">
        <f>-$F$45</f>
        <v>-5000</v>
      </c>
      <c r="M103" s="86">
        <f>-$F$45</f>
        <v>-5000</v>
      </c>
    </row>
    <row r="104" spans="2:13" x14ac:dyDescent="0.35">
      <c r="B104" s="10"/>
      <c r="C104" s="22"/>
      <c r="D104" s="22"/>
      <c r="E104" s="22"/>
      <c r="H104" s="21"/>
      <c r="I104" s="113"/>
      <c r="J104" s="113"/>
      <c r="K104" s="113"/>
      <c r="L104" s="113"/>
      <c r="M104" s="86"/>
    </row>
    <row r="105" spans="2:13" x14ac:dyDescent="0.35">
      <c r="B105" s="11" t="s">
        <v>368</v>
      </c>
      <c r="C105" s="22"/>
      <c r="D105" s="22"/>
      <c r="E105" s="22"/>
      <c r="H105" s="21"/>
      <c r="I105" s="113">
        <f ca="1">I101+I102+I103</f>
        <v>8315.0307107230292</v>
      </c>
      <c r="J105" s="113">
        <f ca="1">J101+J102+J103</f>
        <v>8716.2629327399954</v>
      </c>
      <c r="K105" s="113">
        <f ca="1">K101+K102+K103</f>
        <v>10415.402438124198</v>
      </c>
      <c r="L105" s="113">
        <f ca="1">L101+L102+L103</f>
        <v>12161.373107141637</v>
      </c>
      <c r="M105" s="86">
        <f ca="1">M101+M102+M103</f>
        <v>13994.768111784058</v>
      </c>
    </row>
    <row r="106" spans="2:13" x14ac:dyDescent="0.35">
      <c r="B106" s="11" t="s">
        <v>369</v>
      </c>
      <c r="C106" s="22"/>
      <c r="D106" s="22"/>
      <c r="E106" s="22"/>
      <c r="H106" s="21"/>
      <c r="I106" s="113">
        <f ca="1">I116+I117+I121+I122</f>
        <v>-8315.0307107230292</v>
      </c>
      <c r="J106" s="113">
        <f ca="1">J116+J117+J121+J122</f>
        <v>-8716.2629327399954</v>
      </c>
      <c r="K106" s="113">
        <f ca="1">K116+K117+K121+K122</f>
        <v>-10415.402438124198</v>
      </c>
      <c r="L106" s="113">
        <f ca="1">L116+L117+L121+L122</f>
        <v>-12161.373107141637</v>
      </c>
      <c r="M106" s="86">
        <f ca="1">M116+M117+M121+M122</f>
        <v>-13994.768111784058</v>
      </c>
    </row>
    <row r="107" spans="2:13" x14ac:dyDescent="0.35">
      <c r="B107" s="10"/>
      <c r="C107" s="22"/>
      <c r="D107" s="22"/>
      <c r="E107" s="22"/>
      <c r="H107" s="21"/>
      <c r="I107" s="113"/>
      <c r="J107" s="113"/>
      <c r="K107" s="113"/>
      <c r="L107" s="113"/>
      <c r="M107" s="86"/>
    </row>
    <row r="108" spans="2:13" x14ac:dyDescent="0.35">
      <c r="B108" s="10" t="s">
        <v>365</v>
      </c>
      <c r="C108" s="22"/>
      <c r="D108" s="22"/>
      <c r="E108" s="22"/>
      <c r="H108" s="21"/>
      <c r="I108" s="113">
        <f>I101</f>
        <v>6559</v>
      </c>
      <c r="J108" s="113">
        <f ca="1">J101</f>
        <v>5000.0000000000009</v>
      </c>
      <c r="K108" s="113">
        <f ca="1">K101</f>
        <v>5000.0000000000009</v>
      </c>
      <c r="L108" s="113">
        <f ca="1">L101</f>
        <v>5000.0000000000009</v>
      </c>
      <c r="M108" s="86">
        <f ca="1">M101</f>
        <v>5000.0000000000009</v>
      </c>
    </row>
    <row r="109" spans="2:13" x14ac:dyDescent="0.35">
      <c r="B109" s="10" t="s">
        <v>370</v>
      </c>
      <c r="C109" s="22"/>
      <c r="D109" s="22"/>
      <c r="E109" s="22"/>
      <c r="H109" s="21"/>
      <c r="I109" s="113">
        <f ca="1">I106+I102</f>
        <v>-1558.9999999999991</v>
      </c>
      <c r="J109" s="113">
        <f ca="1">J106+J102</f>
        <v>0</v>
      </c>
      <c r="K109" s="113">
        <f ca="1">K106+K102</f>
        <v>0</v>
      </c>
      <c r="L109" s="113">
        <f ca="1">L106+L102</f>
        <v>0</v>
      </c>
      <c r="M109" s="86">
        <f ca="1">M106+M102</f>
        <v>0</v>
      </c>
    </row>
    <row r="110" spans="2:13" x14ac:dyDescent="0.35">
      <c r="B110" s="480" t="s">
        <v>371</v>
      </c>
      <c r="C110" s="401"/>
      <c r="D110" s="401"/>
      <c r="E110" s="401"/>
      <c r="F110" s="401"/>
      <c r="G110" s="401"/>
      <c r="H110" s="481"/>
      <c r="I110" s="449">
        <f ca="1">SUM(I108:I109)</f>
        <v>5000.0000000000009</v>
      </c>
      <c r="J110" s="449">
        <f ca="1">SUM(J108:J109)</f>
        <v>5000.0000000000009</v>
      </c>
      <c r="K110" s="449">
        <f ca="1">SUM(K108:K109)</f>
        <v>5000.0000000000009</v>
      </c>
      <c r="L110" s="449">
        <f ca="1">SUM(L108:L109)</f>
        <v>5000.0000000000009</v>
      </c>
      <c r="M110" s="482">
        <f ca="1">SUM(M108:M109)</f>
        <v>5000.0000000000009</v>
      </c>
    </row>
    <row r="112" spans="2:13" x14ac:dyDescent="0.35">
      <c r="B112" s="272" t="s">
        <v>372</v>
      </c>
      <c r="C112" s="37"/>
      <c r="D112" s="37"/>
      <c r="E112" s="38"/>
      <c r="F112" s="38"/>
      <c r="G112" s="38"/>
      <c r="H112" s="38"/>
      <c r="I112" s="38"/>
      <c r="J112" s="38"/>
      <c r="K112" s="38"/>
      <c r="L112" s="38"/>
      <c r="M112" s="39"/>
    </row>
    <row r="113" spans="2:13" x14ac:dyDescent="0.35">
      <c r="B113" s="1"/>
      <c r="C113" s="22"/>
      <c r="D113" s="22"/>
      <c r="E113" s="22"/>
      <c r="F113" s="35" t="str">
        <f>$F$48</f>
        <v>FY 2007</v>
      </c>
      <c r="G113" s="35" t="str">
        <f>$G$48</f>
        <v>FY 2008</v>
      </c>
      <c r="H113" s="36" t="str">
        <f>$H$48</f>
        <v>FY 2009</v>
      </c>
      <c r="I113" s="35" t="str">
        <f>$I$48</f>
        <v>FY 2010E</v>
      </c>
      <c r="J113" s="35" t="str">
        <f>$J$48</f>
        <v>FY 2011E</v>
      </c>
      <c r="K113" s="35" t="str">
        <f>$K$48</f>
        <v>FY 2012E</v>
      </c>
      <c r="L113" s="35" t="str">
        <f>$L$48</f>
        <v>FY 2013E</v>
      </c>
      <c r="M113" s="36" t="str">
        <f>$M$48</f>
        <v>FY 2014E</v>
      </c>
    </row>
    <row r="114" spans="2:13" x14ac:dyDescent="0.35">
      <c r="B114" s="1"/>
      <c r="C114" s="22"/>
      <c r="D114" s="22"/>
      <c r="E114" s="22"/>
      <c r="F114" s="68"/>
      <c r="G114" s="68"/>
      <c r="H114" s="467"/>
      <c r="I114" s="68"/>
      <c r="J114" s="68"/>
      <c r="K114" s="68"/>
      <c r="L114" s="68"/>
      <c r="M114" s="135"/>
    </row>
    <row r="115" spans="2:13" x14ac:dyDescent="0.35">
      <c r="B115" s="1" t="s">
        <v>373</v>
      </c>
      <c r="C115" s="22"/>
      <c r="D115" s="22"/>
      <c r="E115" s="22"/>
      <c r="F115" s="22"/>
      <c r="G115" s="22"/>
      <c r="H115" s="465"/>
      <c r="I115" s="70">
        <f>L28</f>
        <v>79767.534479720998</v>
      </c>
      <c r="J115" s="70">
        <f ca="1">I118</f>
        <v>71452.503768997965</v>
      </c>
      <c r="K115" s="70">
        <f ca="1">J118</f>
        <v>62736.240836257974</v>
      </c>
      <c r="L115" s="70">
        <f ca="1">K118</f>
        <v>52320.838398133776</v>
      </c>
      <c r="M115" s="86">
        <f ca="1">L118</f>
        <v>40159.465290992142</v>
      </c>
    </row>
    <row r="116" spans="2:13" x14ac:dyDescent="0.35">
      <c r="B116" s="10" t="s">
        <v>374</v>
      </c>
      <c r="C116" s="22"/>
      <c r="D116" s="22"/>
      <c r="E116" s="22"/>
      <c r="F116" s="22"/>
      <c r="G116" s="22"/>
      <c r="H116" s="465"/>
      <c r="I116" s="70">
        <f>-MIN($L$31*$L$28,I115)</f>
        <v>-7976.7534479720998</v>
      </c>
      <c r="J116" s="70">
        <f ca="1">-MIN($L$31*$L$28,J115)</f>
        <v>-7976.7534479720998</v>
      </c>
      <c r="K116" s="70">
        <f ca="1">-MIN($L$31*$L$28,K115)</f>
        <v>-7976.7534479720998</v>
      </c>
      <c r="L116" s="70">
        <f ca="1">-MIN($L$31*$L$28,L115)</f>
        <v>-7976.7534479720998</v>
      </c>
      <c r="M116" s="86">
        <f ca="1">-MIN($L$31*$L$28,M115)</f>
        <v>-7976.7534479720998</v>
      </c>
    </row>
    <row r="117" spans="2:13" x14ac:dyDescent="0.35">
      <c r="B117" s="10" t="s">
        <v>375</v>
      </c>
      <c r="C117" s="22"/>
      <c r="D117" s="22"/>
      <c r="E117" s="22"/>
      <c r="F117" s="22"/>
      <c r="G117" s="22"/>
      <c r="H117" s="465"/>
      <c r="I117" s="70">
        <f ca="1">-MIN(I105+I116,I115+I116)</f>
        <v>-338.27726275092937</v>
      </c>
      <c r="J117" s="70">
        <f ca="1">-MIN(J105+J116,J115+J116)</f>
        <v>-739.50948476789563</v>
      </c>
      <c r="K117" s="70">
        <f ca="1">-MIN(K105+K116,K115+K116)</f>
        <v>-2438.6489901520981</v>
      </c>
      <c r="L117" s="70">
        <f ca="1">-MIN(L105+L116,L115+L116)</f>
        <v>-4184.619659169537</v>
      </c>
      <c r="M117" s="86">
        <f ca="1">-MIN(M105+M116,M115+M116)</f>
        <v>-6018.0146638119586</v>
      </c>
    </row>
    <row r="118" spans="2:13" x14ac:dyDescent="0.35">
      <c r="B118" s="4" t="s">
        <v>376</v>
      </c>
      <c r="C118" s="31"/>
      <c r="D118" s="31"/>
      <c r="E118" s="31"/>
      <c r="F118" s="31"/>
      <c r="G118" s="31"/>
      <c r="H118" s="464"/>
      <c r="I118" s="116">
        <f ca="1">SUM(I115:I117)</f>
        <v>71452.503768997965</v>
      </c>
      <c r="J118" s="53">
        <f ca="1">SUM(J115:J117)</f>
        <v>62736.240836257974</v>
      </c>
      <c r="K118" s="53">
        <f ca="1">SUM(K115:K117)</f>
        <v>52320.838398133776</v>
      </c>
      <c r="L118" s="53">
        <f ca="1">SUM(L115:L117)</f>
        <v>40159.465290992142</v>
      </c>
      <c r="M118" s="42">
        <f ca="1">SUM(M115:M117)</f>
        <v>26164.697179208084</v>
      </c>
    </row>
    <row r="119" spans="2:13" x14ac:dyDescent="0.35">
      <c r="B119" s="1"/>
      <c r="C119" s="22"/>
      <c r="D119" s="22"/>
      <c r="E119" s="22"/>
      <c r="F119" s="22"/>
      <c r="G119" s="22"/>
      <c r="H119" s="465"/>
      <c r="I119" s="22"/>
      <c r="J119" s="22"/>
      <c r="K119" s="22"/>
      <c r="L119" s="22"/>
      <c r="M119" s="21"/>
    </row>
    <row r="120" spans="2:13" x14ac:dyDescent="0.35">
      <c r="B120" s="1" t="s">
        <v>377</v>
      </c>
      <c r="C120" s="22"/>
      <c r="D120" s="22"/>
      <c r="E120" s="22"/>
      <c r="F120" s="22"/>
      <c r="G120" s="22"/>
      <c r="H120" s="465"/>
      <c r="I120" s="70">
        <f>L29</f>
        <v>26589.178159906998</v>
      </c>
      <c r="J120" s="70">
        <f>I123</f>
        <v>26589.178159906998</v>
      </c>
      <c r="K120" s="70">
        <f>J123</f>
        <v>26589.178159906998</v>
      </c>
      <c r="L120" s="70">
        <f>K123</f>
        <v>26589.178159906998</v>
      </c>
      <c r="M120" s="86">
        <f>L123</f>
        <v>26589.178159906998</v>
      </c>
    </row>
    <row r="121" spans="2:13" x14ac:dyDescent="0.35">
      <c r="B121" s="10" t="s">
        <v>374</v>
      </c>
      <c r="C121" s="22"/>
      <c r="D121" s="22"/>
      <c r="E121" s="22"/>
      <c r="F121" s="22"/>
      <c r="G121" s="22"/>
      <c r="H121" s="465"/>
      <c r="I121" s="70">
        <f>-MIN($L$29*$L$32,I120)</f>
        <v>0</v>
      </c>
      <c r="J121" s="70">
        <f>-MIN($L$29*$L$32,J120)</f>
        <v>0</v>
      </c>
      <c r="K121" s="70">
        <f>-MIN($L$29*$L$32,K120)</f>
        <v>0</v>
      </c>
      <c r="L121" s="70">
        <f>-MIN($L$29*$L$32,L120)</f>
        <v>0</v>
      </c>
      <c r="M121" s="86">
        <f>-MIN($L$29*$L$32,M120)</f>
        <v>0</v>
      </c>
    </row>
    <row r="122" spans="2:13" x14ac:dyDescent="0.35">
      <c r="B122" s="10" t="s">
        <v>375</v>
      </c>
      <c r="C122" s="22"/>
      <c r="D122" s="22"/>
      <c r="E122" s="22"/>
      <c r="F122" s="22"/>
      <c r="G122" s="22"/>
      <c r="H122" s="465"/>
      <c r="I122" s="59">
        <v>0</v>
      </c>
      <c r="J122" s="20">
        <f>I122</f>
        <v>0</v>
      </c>
      <c r="K122" s="20">
        <f>J122</f>
        <v>0</v>
      </c>
      <c r="L122" s="20">
        <f>K122</f>
        <v>0</v>
      </c>
      <c r="M122" s="78">
        <f>L122</f>
        <v>0</v>
      </c>
    </row>
    <row r="123" spans="2:13" x14ac:dyDescent="0.35">
      <c r="B123" s="4" t="s">
        <v>378</v>
      </c>
      <c r="C123" s="31"/>
      <c r="D123" s="31"/>
      <c r="E123" s="31"/>
      <c r="F123" s="31"/>
      <c r="G123" s="31"/>
      <c r="H123" s="464"/>
      <c r="I123" s="53">
        <f>SUM(I120:I122)</f>
        <v>26589.178159906998</v>
      </c>
      <c r="J123" s="53">
        <f>SUM(J120:J122)</f>
        <v>26589.178159906998</v>
      </c>
      <c r="K123" s="53">
        <f>SUM(K120:K122)</f>
        <v>26589.178159906998</v>
      </c>
      <c r="L123" s="53">
        <f>SUM(L120:L122)</f>
        <v>26589.178159906998</v>
      </c>
      <c r="M123" s="42">
        <f>SUM(M120:M122)</f>
        <v>26589.178159906998</v>
      </c>
    </row>
    <row r="124" spans="2:13" x14ac:dyDescent="0.35">
      <c r="B124" s="1"/>
      <c r="C124" s="22"/>
      <c r="D124" s="22"/>
      <c r="E124" s="22"/>
      <c r="F124" s="22"/>
      <c r="G124" s="22"/>
      <c r="H124" s="465"/>
      <c r="I124" s="22"/>
      <c r="J124" s="22"/>
      <c r="K124" s="22"/>
      <c r="L124" s="22"/>
      <c r="M124" s="21"/>
    </row>
    <row r="125" spans="2:13" x14ac:dyDescent="0.35">
      <c r="B125" s="1" t="s">
        <v>379</v>
      </c>
      <c r="C125" s="22"/>
      <c r="D125" s="22"/>
      <c r="E125" s="22"/>
      <c r="F125" s="22"/>
      <c r="G125" s="22"/>
      <c r="H125" s="465"/>
      <c r="I125" s="70">
        <f ca="1">-AVERAGE(I115,I118)*$F$31-AVERAGE(I120,I123)*$F$32</f>
        <v>-8973.6111275385283</v>
      </c>
      <c r="J125" s="70">
        <f ca="1">-AVERAGE(J115,J118)*$F$31-AVERAGE(J120,J123)*$F$32</f>
        <v>-8292.3593818000081</v>
      </c>
      <c r="K125" s="70">
        <f ca="1">-AVERAGE(K115,K118)*$F$31-AVERAGE(K120,K123)*$F$32</f>
        <v>-7527.0927669654393</v>
      </c>
      <c r="L125" s="70">
        <f ca="1">-AVERAGE(L115,L118)*$F$31-AVERAGE(L120,L123)*$F$32</f>
        <v>-6624.0217451548069</v>
      </c>
      <c r="M125" s="86">
        <f ca="1">-AVERAGE(M115,M118)*$F$31-AVERAGE(M120,M123)*$F$32</f>
        <v>-5577.7760963977798</v>
      </c>
    </row>
    <row r="126" spans="2:13" x14ac:dyDescent="0.35">
      <c r="B126" s="1" t="s">
        <v>380</v>
      </c>
      <c r="C126" s="22"/>
      <c r="D126" s="22"/>
      <c r="E126" s="22"/>
      <c r="F126" s="22"/>
      <c r="G126" s="22"/>
      <c r="H126" s="465"/>
      <c r="I126" s="70">
        <f ca="1">AVERAGE(I108,I110)*I57+AVERAGE('AAPL-3-Statements'!H100+'AAPL-3-Statements'!H108,'AAPL-3-Statements'!I100+'AAPL-3-Statements'!I108)*LBO!I57</f>
        <v>346.15500000000003</v>
      </c>
      <c r="J126" s="70">
        <f ca="1">AVERAGE(J108,J110)*J57+AVERAGE('AAPL-3-Statements'!I100+'AAPL-3-Statements'!I108,'AAPL-3-Statements'!J100+'AAPL-3-Statements'!J108)*LBO!J57</f>
        <v>338.36</v>
      </c>
      <c r="K126" s="70">
        <f ca="1">AVERAGE(K108,K110)*K57+AVERAGE('AAPL-3-Statements'!J100+'AAPL-3-Statements'!J108,'AAPL-3-Statements'!K100+'AAPL-3-Statements'!K108)*LBO!K57</f>
        <v>676.72</v>
      </c>
      <c r="L126" s="70">
        <f ca="1">AVERAGE(L108,L110)*L57+AVERAGE('AAPL-3-Statements'!K100+'AAPL-3-Statements'!K108,'AAPL-3-Statements'!L100+'AAPL-3-Statements'!L108)*LBO!L57</f>
        <v>676.72</v>
      </c>
      <c r="M126" s="86">
        <f ca="1">AVERAGE(M108,M110)*M57+AVERAGE('AAPL-3-Statements'!L100+'AAPL-3-Statements'!L108,'AAPL-3-Statements'!M100+'AAPL-3-Statements'!M108)*LBO!M57</f>
        <v>1015.0799999999999</v>
      </c>
    </row>
    <row r="127" spans="2:13" x14ac:dyDescent="0.35">
      <c r="B127" s="1"/>
      <c r="C127" s="22"/>
      <c r="D127" s="22"/>
      <c r="E127" s="22"/>
      <c r="F127" s="22"/>
      <c r="G127" s="22"/>
      <c r="H127" s="465"/>
      <c r="I127" s="22"/>
      <c r="J127" s="22"/>
      <c r="K127" s="22"/>
      <c r="L127" s="22"/>
      <c r="M127" s="21"/>
    </row>
    <row r="128" spans="2:13" x14ac:dyDescent="0.35">
      <c r="B128" s="6" t="s">
        <v>381</v>
      </c>
      <c r="C128" s="23"/>
      <c r="D128" s="23"/>
      <c r="E128" s="23"/>
      <c r="F128" s="23"/>
      <c r="G128" s="23"/>
      <c r="H128" s="466"/>
      <c r="I128" s="71">
        <f ca="1">I126+I125</f>
        <v>-8627.4561275385277</v>
      </c>
      <c r="J128" s="71">
        <f ca="1">J126+J125</f>
        <v>-7953.9993818000085</v>
      </c>
      <c r="K128" s="71">
        <f ca="1">K126+K125</f>
        <v>-6850.372766965439</v>
      </c>
      <c r="L128" s="71">
        <f ca="1">L126+L125</f>
        <v>-5947.3017451548067</v>
      </c>
      <c r="M128" s="88">
        <f ca="1">M126+M125</f>
        <v>-4562.6960963977799</v>
      </c>
    </row>
    <row r="130" spans="2:13" x14ac:dyDescent="0.35">
      <c r="B130" s="272" t="s">
        <v>382</v>
      </c>
      <c r="C130" s="37"/>
      <c r="D130" s="37"/>
      <c r="E130" s="38"/>
      <c r="F130" s="38"/>
      <c r="G130" s="38"/>
      <c r="H130" s="38"/>
      <c r="I130" s="38"/>
      <c r="J130" s="38"/>
      <c r="K130" s="38"/>
      <c r="L130" s="38"/>
      <c r="M130" s="39"/>
    </row>
    <row r="131" spans="2:13" x14ac:dyDescent="0.35">
      <c r="B131" s="468"/>
      <c r="C131" s="31"/>
      <c r="D131" s="31"/>
      <c r="E131" s="31"/>
      <c r="F131" s="35" t="str">
        <f>$F$48</f>
        <v>FY 2007</v>
      </c>
      <c r="G131" s="35" t="str">
        <f>$G$48</f>
        <v>FY 2008</v>
      </c>
      <c r="H131" s="36" t="str">
        <f>$H$48</f>
        <v>FY 2009</v>
      </c>
      <c r="I131" s="35" t="str">
        <f>$I$48</f>
        <v>FY 2010E</v>
      </c>
      <c r="J131" s="35" t="str">
        <f>$J$48</f>
        <v>FY 2011E</v>
      </c>
      <c r="K131" s="35" t="str">
        <f>$K$48</f>
        <v>FY 2012E</v>
      </c>
      <c r="L131" s="35" t="str">
        <f>$L$48</f>
        <v>FY 2013E</v>
      </c>
      <c r="M131" s="36" t="str">
        <f>$M$48</f>
        <v>FY 2014E</v>
      </c>
    </row>
    <row r="132" spans="2:13" x14ac:dyDescent="0.35">
      <c r="B132" s="1"/>
      <c r="C132" s="22"/>
      <c r="D132" s="22"/>
      <c r="E132" s="22"/>
      <c r="F132" s="22"/>
      <c r="G132" s="22"/>
      <c r="H132" s="67"/>
      <c r="I132" s="22"/>
      <c r="J132" s="22"/>
      <c r="K132" s="22"/>
      <c r="L132" s="22"/>
      <c r="M132" s="21"/>
    </row>
    <row r="133" spans="2:13" x14ac:dyDescent="0.35">
      <c r="B133" s="1" t="s">
        <v>112</v>
      </c>
      <c r="C133" s="22"/>
      <c r="D133" s="22"/>
      <c r="E133" s="22"/>
      <c r="F133" s="22"/>
      <c r="G133" s="22"/>
      <c r="H133" s="86">
        <f>H85</f>
        <v>13184</v>
      </c>
      <c r="I133" s="22"/>
      <c r="J133" s="22"/>
      <c r="K133" s="22"/>
      <c r="L133" s="22"/>
      <c r="M133" s="86">
        <f>M85</f>
        <v>24961.824388800007</v>
      </c>
    </row>
    <row r="134" spans="2:13" x14ac:dyDescent="0.35">
      <c r="B134" s="1" t="s">
        <v>383</v>
      </c>
      <c r="C134" s="22"/>
      <c r="D134" s="22"/>
      <c r="E134" s="22"/>
      <c r="F134" s="22"/>
      <c r="G134" s="22"/>
      <c r="H134" s="137">
        <f>H135/H133</f>
        <v>13.449516480526091</v>
      </c>
      <c r="I134" s="22"/>
      <c r="J134" s="22"/>
      <c r="K134" s="22"/>
      <c r="L134" s="22"/>
      <c r="M134" s="484">
        <f>L12</f>
        <v>10</v>
      </c>
    </row>
    <row r="135" spans="2:13" x14ac:dyDescent="0.35">
      <c r="B135" s="1" t="s">
        <v>120</v>
      </c>
      <c r="C135" s="22"/>
      <c r="D135" s="22"/>
      <c r="E135" s="22"/>
      <c r="F135" s="22"/>
      <c r="G135" s="22"/>
      <c r="H135" s="86">
        <f>L8</f>
        <v>177318.42527925599</v>
      </c>
      <c r="I135" s="22"/>
      <c r="J135" s="22"/>
      <c r="K135" s="22"/>
      <c r="L135" s="22"/>
      <c r="M135" s="86">
        <f>M133*M134</f>
        <v>249618.24388800008</v>
      </c>
    </row>
    <row r="136" spans="2:13" x14ac:dyDescent="0.35">
      <c r="B136" s="1" t="s">
        <v>353</v>
      </c>
      <c r="C136" s="22"/>
      <c r="D136" s="22"/>
      <c r="E136" s="22"/>
      <c r="F136" s="22"/>
      <c r="G136" s="22"/>
      <c r="H136" s="86">
        <f>-F39</f>
        <v>-106463.06935226762</v>
      </c>
      <c r="I136" s="59">
        <v>0</v>
      </c>
      <c r="J136" s="59">
        <v>0</v>
      </c>
      <c r="K136" s="59">
        <v>0</v>
      </c>
      <c r="L136" s="59">
        <v>0</v>
      </c>
      <c r="M136" s="86">
        <f ca="1">M135+M110+'AAPL-3-Statements'!M100+'AAPL-3-Statements'!M108-M118-M123</f>
        <v>230700.36854888502</v>
      </c>
    </row>
    <row r="137" spans="2:13" x14ac:dyDescent="0.35">
      <c r="B137" s="1"/>
      <c r="C137" s="22"/>
      <c r="D137" s="22"/>
      <c r="E137" s="22"/>
      <c r="F137" s="22"/>
      <c r="G137" s="22"/>
      <c r="H137" s="21"/>
      <c r="I137" s="22"/>
      <c r="J137" s="22"/>
      <c r="K137" s="22"/>
      <c r="L137" s="22"/>
      <c r="M137" s="21"/>
    </row>
    <row r="138" spans="2:13" x14ac:dyDescent="0.35">
      <c r="B138" s="6" t="s">
        <v>384</v>
      </c>
      <c r="C138" s="23"/>
      <c r="D138" s="23"/>
      <c r="E138" s="23"/>
      <c r="F138" s="23"/>
      <c r="G138" s="23"/>
      <c r="H138" s="485">
        <f ca="1">IRR(H136:M136)</f>
        <v>0.16726606847215231</v>
      </c>
      <c r="I138" s="23"/>
      <c r="J138" s="23"/>
      <c r="K138" s="23"/>
      <c r="L138" s="23"/>
      <c r="M138" s="378"/>
    </row>
    <row r="140" spans="2:13" x14ac:dyDescent="0.35">
      <c r="B140" s="34" t="s">
        <v>385</v>
      </c>
      <c r="C140" s="143"/>
      <c r="D140" s="143"/>
      <c r="E140" s="143"/>
      <c r="F140" s="143"/>
      <c r="G140" s="143"/>
      <c r="H140" s="143"/>
      <c r="I140" s="143"/>
      <c r="J140" s="143"/>
      <c r="K140" s="143"/>
      <c r="L140" s="143"/>
    </row>
    <row r="141" spans="2:13" x14ac:dyDescent="0.35">
      <c r="B141" s="143"/>
      <c r="C141" s="143"/>
      <c r="D141" s="143"/>
      <c r="E141" s="143"/>
      <c r="F141" s="143"/>
      <c r="G141" s="143"/>
      <c r="H141" s="143"/>
      <c r="I141" s="143"/>
      <c r="J141" s="143"/>
      <c r="K141" s="143"/>
      <c r="L141" s="143"/>
    </row>
    <row r="142" spans="2:13" x14ac:dyDescent="0.35">
      <c r="B142" s="430"/>
      <c r="C142" s="431"/>
      <c r="D142" s="431"/>
      <c r="E142" s="432" t="s">
        <v>388</v>
      </c>
      <c r="F142" s="432"/>
      <c r="G142" s="432"/>
      <c r="H142" s="432"/>
      <c r="I142" s="432"/>
      <c r="J142" s="432"/>
      <c r="K142" s="432"/>
      <c r="L142" s="432"/>
      <c r="M142" s="433"/>
    </row>
    <row r="143" spans="2:13" x14ac:dyDescent="0.35">
      <c r="B143" s="434"/>
      <c r="C143" s="435"/>
      <c r="D143" s="486">
        <f ca="1">$H$138</f>
        <v>0.16726606847215231</v>
      </c>
      <c r="E143" s="490">
        <v>6</v>
      </c>
      <c r="F143" s="490">
        <f>E143+1</f>
        <v>7</v>
      </c>
      <c r="G143" s="490">
        <f t="shared" ref="G143:M143" si="7">F143+1</f>
        <v>8</v>
      </c>
      <c r="H143" s="490">
        <f t="shared" si="7"/>
        <v>9</v>
      </c>
      <c r="I143" s="490">
        <f t="shared" si="7"/>
        <v>10</v>
      </c>
      <c r="J143" s="490">
        <f t="shared" si="7"/>
        <v>11</v>
      </c>
      <c r="K143" s="490">
        <f t="shared" si="7"/>
        <v>12</v>
      </c>
      <c r="L143" s="490">
        <f t="shared" si="7"/>
        <v>13</v>
      </c>
      <c r="M143" s="490">
        <f t="shared" si="7"/>
        <v>14</v>
      </c>
    </row>
    <row r="144" spans="2:13" x14ac:dyDescent="0.35">
      <c r="B144" s="499" t="s">
        <v>387</v>
      </c>
      <c r="C144" s="438">
        <f t="shared" ref="C144:C152" si="8">(1+D144)*$F$7</f>
        <v>278.48699999999997</v>
      </c>
      <c r="D144" s="489">
        <f t="shared" ref="D144:D151" si="9">D145+5%</f>
        <v>0.44999999999999996</v>
      </c>
      <c r="E144" s="439">
        <f t="dataTable" ref="E144:M153" dt2D="1" dtr="0" r1="L12" r2="F8" ca="1"/>
        <v>-4.8666598981382259E-2</v>
      </c>
      <c r="F144" s="440">
        <v>-5.4943724695672991E-3</v>
      </c>
      <c r="G144" s="440">
        <v>3.1268498641898068E-2</v>
      </c>
      <c r="H144" s="440">
        <v>6.3432255604304988E-2</v>
      </c>
      <c r="I144" s="440">
        <v>9.2118434676983885E-2</v>
      </c>
      <c r="J144" s="440">
        <v>0.11807336410233438</v>
      </c>
      <c r="K144" s="440">
        <v>0.14182050855557105</v>
      </c>
      <c r="L144" s="440">
        <v>0.16374215805228487</v>
      </c>
      <c r="M144" s="441">
        <v>0.18412659588884117</v>
      </c>
    </row>
    <row r="145" spans="2:13" x14ac:dyDescent="0.35">
      <c r="B145" s="499"/>
      <c r="C145" s="438">
        <f t="shared" si="8"/>
        <v>268.88400000000001</v>
      </c>
      <c r="D145" s="489">
        <f t="shared" si="9"/>
        <v>0.39999999999999997</v>
      </c>
      <c r="E145" s="442">
        <v>-3.0572619916899746E-2</v>
      </c>
      <c r="F145" s="443">
        <v>1.1109620652146157E-2</v>
      </c>
      <c r="G145" s="443">
        <v>4.6872990236890288E-2</v>
      </c>
      <c r="H145" s="443">
        <v>7.8327136604833925E-2</v>
      </c>
      <c r="I145" s="443">
        <v>0.10648913619679057</v>
      </c>
      <c r="J145" s="443">
        <v>0.13204549640537788</v>
      </c>
      <c r="K145" s="443">
        <v>0.15548294263224749</v>
      </c>
      <c r="L145" s="443">
        <v>0.17715995533928397</v>
      </c>
      <c r="M145" s="444">
        <v>0.19734871529151232</v>
      </c>
    </row>
    <row r="146" spans="2:13" x14ac:dyDescent="0.35">
      <c r="B146" s="499"/>
      <c r="C146" s="438">
        <f t="shared" si="8"/>
        <v>259.28100000000001</v>
      </c>
      <c r="D146" s="489">
        <f t="shared" si="9"/>
        <v>0.35</v>
      </c>
      <c r="E146" s="442">
        <v>-1.2520326270129889E-2</v>
      </c>
      <c r="F146" s="443">
        <v>2.7819694103333514E-2</v>
      </c>
      <c r="G146" s="443">
        <v>6.2670167599822024E-2</v>
      </c>
      <c r="H146" s="443">
        <v>9.3470587530912308E-2</v>
      </c>
      <c r="I146" s="443">
        <v>0.1211471137727147</v>
      </c>
      <c r="J146" s="443">
        <v>0.14633321918580888</v>
      </c>
      <c r="K146" s="443">
        <v>0.16948260281559202</v>
      </c>
      <c r="L146" s="443">
        <v>0.1909321097160992</v>
      </c>
      <c r="M146" s="444">
        <v>0.21093916214325903</v>
      </c>
    </row>
    <row r="147" spans="2:13" x14ac:dyDescent="0.35">
      <c r="B147" s="499"/>
      <c r="C147" s="438">
        <f t="shared" si="8"/>
        <v>249.678</v>
      </c>
      <c r="D147" s="489">
        <f t="shared" si="9"/>
        <v>0.3</v>
      </c>
      <c r="E147" s="442">
        <v>5.5642307298080507E-3</v>
      </c>
      <c r="F147" s="443">
        <v>4.4691442024337391E-2</v>
      </c>
      <c r="G147" s="443">
        <v>7.8707058691866338E-2</v>
      </c>
      <c r="H147" s="443">
        <v>0.10890520855054864</v>
      </c>
      <c r="I147" s="443">
        <v>0.1361325289243307</v>
      </c>
      <c r="J147" s="443">
        <v>0.1609753042171016</v>
      </c>
      <c r="K147" s="443">
        <v>0.18385746407325598</v>
      </c>
      <c r="L147" s="443">
        <v>0.20509615296714689</v>
      </c>
      <c r="M147" s="444">
        <v>0.22493524494097206</v>
      </c>
    </row>
    <row r="148" spans="2:13" x14ac:dyDescent="0.35">
      <c r="B148" s="499"/>
      <c r="C148" s="438">
        <f t="shared" si="8"/>
        <v>240.07499999999999</v>
      </c>
      <c r="D148" s="489">
        <f t="shared" si="9"/>
        <v>0.25</v>
      </c>
      <c r="E148" s="442">
        <v>2.3753098854315091E-2</v>
      </c>
      <c r="F148" s="443">
        <v>6.1781855919230466E-2</v>
      </c>
      <c r="G148" s="443">
        <v>9.5033452797280704E-2</v>
      </c>
      <c r="H148" s="443">
        <v>0.1246770243405293</v>
      </c>
      <c r="I148" s="443">
        <v>0.15148933429457556</v>
      </c>
      <c r="J148" s="443">
        <v>0.17601454010030748</v>
      </c>
      <c r="K148" s="443">
        <v>0.19864967058528804</v>
      </c>
      <c r="L148" s="443">
        <v>0.21969389737424261</v>
      </c>
      <c r="M148" s="444">
        <v>0.23937863941742243</v>
      </c>
    </row>
    <row r="149" spans="2:13" x14ac:dyDescent="0.35">
      <c r="B149" s="499"/>
      <c r="C149" s="438">
        <f t="shared" si="8"/>
        <v>230.47199999999998</v>
      </c>
      <c r="D149" s="489">
        <f t="shared" si="9"/>
        <v>0.2</v>
      </c>
      <c r="E149" s="442">
        <v>4.2118215982330565E-2</v>
      </c>
      <c r="F149" s="443">
        <v>7.9150454361201161E-2</v>
      </c>
      <c r="G149" s="443">
        <v>0.11170281097848145</v>
      </c>
      <c r="H149" s="443">
        <v>0.14083631174145572</v>
      </c>
      <c r="I149" s="443">
        <v>0.16726606847215231</v>
      </c>
      <c r="J149" s="443">
        <v>0.19149851494107084</v>
      </c>
      <c r="K149" s="443">
        <v>0.21390631564284335</v>
      </c>
      <c r="L149" s="443">
        <v>0.23477221735143083</v>
      </c>
      <c r="M149" s="444">
        <v>0.25431617417762031</v>
      </c>
    </row>
    <row r="150" spans="2:13" x14ac:dyDescent="0.35">
      <c r="B150" s="499"/>
      <c r="C150" s="438">
        <f t="shared" si="8"/>
        <v>220.86899999999997</v>
      </c>
      <c r="D150" s="489">
        <f t="shared" si="9"/>
        <v>0.15000000000000002</v>
      </c>
      <c r="E150" s="442">
        <v>6.0733119892593335E-2</v>
      </c>
      <c r="F150" s="443">
        <v>9.6860496076199398E-2</v>
      </c>
      <c r="G150" s="443">
        <v>0.12877330960100286</v>
      </c>
      <c r="H150" s="443">
        <v>0.15743857939671746</v>
      </c>
      <c r="I150" s="443">
        <v>0.18351681168022216</v>
      </c>
      <c r="J150" s="443">
        <v>0.20748056496836798</v>
      </c>
      <c r="K150" s="443">
        <v>0.22968039091809245</v>
      </c>
      <c r="L150" s="443">
        <v>0.2503840030921114</v>
      </c>
      <c r="M150" s="444">
        <v>0.26980079056653183</v>
      </c>
    </row>
    <row r="151" spans="2:13" x14ac:dyDescent="0.35">
      <c r="B151" s="499"/>
      <c r="C151" s="438">
        <f t="shared" si="8"/>
        <v>211.26600000000002</v>
      </c>
      <c r="D151" s="489">
        <f t="shared" si="9"/>
        <v>0.1</v>
      </c>
      <c r="E151" s="442">
        <v>7.9674681427197136E-2</v>
      </c>
      <c r="F151" s="443">
        <v>0.1149803379395693</v>
      </c>
      <c r="G151" s="443">
        <v>0.14630906811553723</v>
      </c>
      <c r="H151" s="443">
        <v>0.17454574781348953</v>
      </c>
      <c r="I151" s="443">
        <v>0.20030235016061226</v>
      </c>
      <c r="J151" s="443">
        <v>0.22402093700646941</v>
      </c>
      <c r="K151" s="443">
        <v>0.24603195335520023</v>
      </c>
      <c r="L151" s="443">
        <v>0.26658933490297954</v>
      </c>
      <c r="M151" s="444">
        <v>0.28589272589434644</v>
      </c>
    </row>
    <row r="152" spans="2:13" x14ac:dyDescent="0.35">
      <c r="B152" s="499"/>
      <c r="C152" s="438">
        <f t="shared" si="8"/>
        <v>201.66300000000001</v>
      </c>
      <c r="D152" s="489">
        <f>D153+5%</f>
        <v>0.05</v>
      </c>
      <c r="E152" s="442">
        <v>9.9024963801430665E-2</v>
      </c>
      <c r="F152" s="443">
        <v>0.13358501071053408</v>
      </c>
      <c r="G152" s="443">
        <v>0.164381626674452</v>
      </c>
      <c r="H152" s="443">
        <v>0.19222759366577358</v>
      </c>
      <c r="I152" s="443">
        <v>0.21769161292272243</v>
      </c>
      <c r="J152" s="443">
        <v>0.24118822884957747</v>
      </c>
      <c r="K152" s="443">
        <v>0.26302957429031615</v>
      </c>
      <c r="L152" s="443">
        <v>0.28345694345374062</v>
      </c>
      <c r="M152" s="444">
        <v>0.30266098588694779</v>
      </c>
    </row>
    <row r="153" spans="2:13" x14ac:dyDescent="0.35">
      <c r="B153" s="500"/>
      <c r="C153" s="487">
        <f>(1+D153)*$F$7</f>
        <v>192.06</v>
      </c>
      <c r="D153" s="488">
        <v>0</v>
      </c>
      <c r="E153" s="446">
        <v>0.11887332017175134</v>
      </c>
      <c r="F153" s="447">
        <v>0.15275810396954981</v>
      </c>
      <c r="G153" s="447">
        <v>0.18307176018130922</v>
      </c>
      <c r="H153" s="447">
        <v>0.21056354407702527</v>
      </c>
      <c r="I153" s="447">
        <v>0.2357634669301496</v>
      </c>
      <c r="J153" s="447">
        <v>0.25906119434163677</v>
      </c>
      <c r="K153" s="447">
        <v>0.2807521584643109</v>
      </c>
      <c r="L153" s="447">
        <v>0.30106604449851226</v>
      </c>
      <c r="M153" s="448">
        <v>0.32018519579986848</v>
      </c>
    </row>
    <row r="155" spans="2:13" x14ac:dyDescent="0.35">
      <c r="B155" s="34" t="s">
        <v>386</v>
      </c>
    </row>
    <row r="157" spans="2:13" x14ac:dyDescent="0.35">
      <c r="B157" s="430"/>
      <c r="C157" s="431"/>
      <c r="D157" s="431"/>
      <c r="E157" s="432" t="s">
        <v>264</v>
      </c>
      <c r="F157" s="432"/>
      <c r="G157" s="432"/>
      <c r="H157" s="432"/>
      <c r="I157" s="432"/>
      <c r="J157" s="432"/>
      <c r="K157" s="432"/>
      <c r="L157" s="432"/>
      <c r="M157" s="433"/>
    </row>
    <row r="158" spans="2:13" x14ac:dyDescent="0.35">
      <c r="B158" s="434"/>
      <c r="C158" s="435"/>
      <c r="D158" s="486">
        <f ca="1">$H$138</f>
        <v>0.16726606847215231</v>
      </c>
      <c r="E158" s="491">
        <v>0.3</v>
      </c>
      <c r="F158" s="491">
        <f>E158+5%</f>
        <v>0.35</v>
      </c>
      <c r="G158" s="491">
        <f t="shared" ref="G158:M158" si="10">F158+5%</f>
        <v>0.39999999999999997</v>
      </c>
      <c r="H158" s="491">
        <f t="shared" si="10"/>
        <v>0.44999999999999996</v>
      </c>
      <c r="I158" s="491">
        <f t="shared" si="10"/>
        <v>0.49999999999999994</v>
      </c>
      <c r="J158" s="491">
        <f t="shared" si="10"/>
        <v>0.54999999999999993</v>
      </c>
      <c r="K158" s="491">
        <f t="shared" si="10"/>
        <v>0.6</v>
      </c>
      <c r="L158" s="491">
        <f t="shared" si="10"/>
        <v>0.65</v>
      </c>
      <c r="M158" s="492">
        <f t="shared" si="10"/>
        <v>0.70000000000000007</v>
      </c>
    </row>
    <row r="159" spans="2:13" x14ac:dyDescent="0.35">
      <c r="B159" s="499" t="s">
        <v>387</v>
      </c>
      <c r="C159" s="438">
        <f t="shared" ref="C159:D168" si="11">C144</f>
        <v>278.48699999999997</v>
      </c>
      <c r="D159" s="489">
        <f t="shared" si="11"/>
        <v>0.44999999999999996</v>
      </c>
      <c r="E159" s="439">
        <f t="dataTable" ref="E159:M168" dt2D="1" dtr="0" r1="F10" r2="F8" ca="1"/>
        <v>8.3918581090998368E-2</v>
      </c>
      <c r="F159" s="440">
        <v>8.5582880601480227E-2</v>
      </c>
      <c r="G159" s="440">
        <v>8.7414601064693009E-2</v>
      </c>
      <c r="H159" s="440">
        <v>8.9563091868906319E-2</v>
      </c>
      <c r="I159" s="440">
        <v>9.2118434772586966E-2</v>
      </c>
      <c r="J159" s="440">
        <v>9.5208510977639493E-2</v>
      </c>
      <c r="K159" s="440">
        <v>9.9021198842714098E-2</v>
      </c>
      <c r="L159" s="440">
        <v>0.10384434371646445</v>
      </c>
      <c r="M159" s="441">
        <v>0.11014272271457992</v>
      </c>
    </row>
    <row r="160" spans="2:13" x14ac:dyDescent="0.35">
      <c r="B160" s="499"/>
      <c r="C160" s="438">
        <f t="shared" si="11"/>
        <v>268.88400000000001</v>
      </c>
      <c r="D160" s="489">
        <f t="shared" si="11"/>
        <v>0.39999999999999997</v>
      </c>
      <c r="E160" s="442">
        <v>9.4528063780197735E-2</v>
      </c>
      <c r="F160" s="443">
        <v>9.6970673060710944E-2</v>
      </c>
      <c r="G160" s="443">
        <v>9.9648585365231579E-2</v>
      </c>
      <c r="H160" s="443">
        <v>0.10277943129580103</v>
      </c>
      <c r="I160" s="443">
        <v>0.10648913628752266</v>
      </c>
      <c r="J160" s="443">
        <v>0.11095526604038786</v>
      </c>
      <c r="K160" s="443">
        <v>0.11643665350597732</v>
      </c>
      <c r="L160" s="443">
        <v>0.12332619229721842</v>
      </c>
      <c r="M160" s="444">
        <v>0.13225126250394736</v>
      </c>
    </row>
    <row r="161" spans="2:13" x14ac:dyDescent="0.35">
      <c r="B161" s="499"/>
      <c r="C161" s="438">
        <f t="shared" si="11"/>
        <v>259.28100000000001</v>
      </c>
      <c r="D161" s="489">
        <f t="shared" si="11"/>
        <v>0.35</v>
      </c>
      <c r="E161" s="442">
        <v>0.10549176968374985</v>
      </c>
      <c r="F161" s="443">
        <v>0.10870648826291385</v>
      </c>
      <c r="G161" s="443">
        <v>0.11221925687373591</v>
      </c>
      <c r="H161" s="443">
        <v>0.11631339496344495</v>
      </c>
      <c r="I161" s="443">
        <v>0.12114711385879429</v>
      </c>
      <c r="J161" s="443">
        <v>0.12694216020602611</v>
      </c>
      <c r="K161" s="443">
        <v>0.13401953304425573</v>
      </c>
      <c r="L161" s="443">
        <v>0.14286258760790771</v>
      </c>
      <c r="M161" s="444">
        <v>0.15423591483720678</v>
      </c>
    </row>
    <row r="162" spans="2:13" x14ac:dyDescent="0.35">
      <c r="B162" s="499"/>
      <c r="C162" s="438">
        <f t="shared" si="11"/>
        <v>249.678</v>
      </c>
      <c r="D162" s="489">
        <f t="shared" si="11"/>
        <v>0.3</v>
      </c>
      <c r="E162" s="442">
        <v>0.11684150349805922</v>
      </c>
      <c r="F162" s="443">
        <v>0.12079173881229144</v>
      </c>
      <c r="G162" s="443">
        <v>0.12516105653690723</v>
      </c>
      <c r="H162" s="443">
        <v>0.13020167310148389</v>
      </c>
      <c r="I162" s="443">
        <v>0.13613252900595785</v>
      </c>
      <c r="J162" s="443">
        <v>0.14321489846439261</v>
      </c>
      <c r="K162" s="443">
        <v>0.15182468981936492</v>
      </c>
      <c r="L162" s="443">
        <v>0.16252400620269447</v>
      </c>
      <c r="M162" s="444">
        <v>0.17619492402803383</v>
      </c>
    </row>
    <row r="163" spans="2:13" x14ac:dyDescent="0.35">
      <c r="B163" s="499"/>
      <c r="C163" s="438">
        <f t="shared" si="11"/>
        <v>240.07499999999999</v>
      </c>
      <c r="D163" s="489">
        <f t="shared" si="11"/>
        <v>0.25</v>
      </c>
      <c r="E163" s="442">
        <v>0.12859202823474059</v>
      </c>
      <c r="F163" s="443">
        <v>0.13327495190382144</v>
      </c>
      <c r="G163" s="443">
        <v>0.13851243434344451</v>
      </c>
      <c r="H163" s="443">
        <v>0.14448491808920294</v>
      </c>
      <c r="I163" s="443">
        <v>0.15148933437193457</v>
      </c>
      <c r="J163" s="443">
        <v>0.15982254824514741</v>
      </c>
      <c r="K163" s="443">
        <v>0.16990937235586423</v>
      </c>
      <c r="L163" s="443">
        <v>0.18238120934587254</v>
      </c>
      <c r="M163" s="444">
        <v>0.19822217969322731</v>
      </c>
    </row>
    <row r="164" spans="2:13" x14ac:dyDescent="0.35">
      <c r="B164" s="499"/>
      <c r="C164" s="438">
        <f t="shared" si="11"/>
        <v>230.47199999999998</v>
      </c>
      <c r="D164" s="489">
        <f t="shared" si="11"/>
        <v>0.2</v>
      </c>
      <c r="E164" s="442">
        <v>0.14073983304357962</v>
      </c>
      <c r="F164" s="443">
        <v>0.14621807527291053</v>
      </c>
      <c r="G164" s="443">
        <v>0.1523165727629503</v>
      </c>
      <c r="H164" s="443">
        <v>0.15920849394404812</v>
      </c>
      <c r="I164" s="443">
        <v>0.16726606854541304</v>
      </c>
      <c r="J164" s="443">
        <v>0.17681842360906619</v>
      </c>
      <c r="K164" s="443">
        <v>0.1883343022787185</v>
      </c>
      <c r="L164" s="443">
        <v>0.20250676340277129</v>
      </c>
      <c r="M164" s="444">
        <v>0.22040981497485879</v>
      </c>
    </row>
    <row r="165" spans="2:13" x14ac:dyDescent="0.35">
      <c r="B165" s="499"/>
      <c r="C165" s="438">
        <f t="shared" si="11"/>
        <v>220.86899999999997</v>
      </c>
      <c r="D165" s="489">
        <f t="shared" si="11"/>
        <v>0.15000000000000002</v>
      </c>
      <c r="E165" s="442">
        <v>0.15339592393930324</v>
      </c>
      <c r="F165" s="443">
        <v>0.15966821525589525</v>
      </c>
      <c r="G165" s="443">
        <v>0.1666024072958785</v>
      </c>
      <c r="H165" s="443">
        <v>0.17442338753852438</v>
      </c>
      <c r="I165" s="443">
        <v>0.18351681174954115</v>
      </c>
      <c r="J165" s="443">
        <v>0.19426112227945991</v>
      </c>
      <c r="K165" s="443">
        <v>0.20716487551838747</v>
      </c>
      <c r="L165" s="443">
        <v>0.22297659686263249</v>
      </c>
      <c r="M165" s="444">
        <v>0.24285057920104447</v>
      </c>
    </row>
    <row r="166" spans="2:13" x14ac:dyDescent="0.35">
      <c r="B166" s="499"/>
      <c r="C166" s="438">
        <f t="shared" si="11"/>
        <v>211.26600000000002</v>
      </c>
      <c r="D166" s="489">
        <f t="shared" si="11"/>
        <v>0.1</v>
      </c>
      <c r="E166" s="442">
        <v>0.16661261416653939</v>
      </c>
      <c r="F166" s="443">
        <v>0.17367910736936709</v>
      </c>
      <c r="G166" s="443">
        <v>0.18140374005073245</v>
      </c>
      <c r="H166" s="443">
        <v>0.19018732777620051</v>
      </c>
      <c r="I166" s="443">
        <v>0.2003023502261343</v>
      </c>
      <c r="J166" s="443">
        <v>0.21221576657407559</v>
      </c>
      <c r="K166" s="443">
        <v>0.2264725471011042</v>
      </c>
      <c r="L166" s="443">
        <v>0.24387167772990348</v>
      </c>
      <c r="M166" s="444">
        <v>0.26564014731754315</v>
      </c>
    </row>
    <row r="167" spans="2:13" x14ac:dyDescent="0.35">
      <c r="B167" s="499"/>
      <c r="C167" s="438">
        <f t="shared" si="11"/>
        <v>201.66300000000001</v>
      </c>
      <c r="D167" s="489">
        <f t="shared" si="11"/>
        <v>0.05</v>
      </c>
      <c r="E167" s="442">
        <v>0.18045005166954131</v>
      </c>
      <c r="F167" s="443">
        <v>0.18824081421401395</v>
      </c>
      <c r="G167" s="443">
        <v>0.19682627201923286</v>
      </c>
      <c r="H167" s="443">
        <v>0.20656617460873639</v>
      </c>
      <c r="I167" s="443">
        <v>0.21769161298458117</v>
      </c>
      <c r="J167" s="443">
        <v>0.23075551503061753</v>
      </c>
      <c r="K167" s="443">
        <v>0.24633647328538499</v>
      </c>
      <c r="L167" s="443">
        <v>0.26527990357015074</v>
      </c>
      <c r="M167" s="444">
        <v>0.28887951312958871</v>
      </c>
    </row>
    <row r="168" spans="2:13" x14ac:dyDescent="0.35">
      <c r="B168" s="500"/>
      <c r="C168" s="487">
        <f t="shared" si="11"/>
        <v>192.06</v>
      </c>
      <c r="D168" s="488">
        <f t="shared" si="11"/>
        <v>0</v>
      </c>
      <c r="E168" s="446">
        <v>0.19497785775961218</v>
      </c>
      <c r="F168" s="447">
        <v>0.20346315997510733</v>
      </c>
      <c r="G168" s="447">
        <v>0.21294319473394174</v>
      </c>
      <c r="H168" s="447">
        <v>0.22358040346763386</v>
      </c>
      <c r="I168" s="447">
        <v>0.23576346698846873</v>
      </c>
      <c r="J168" s="447">
        <v>0.24996343407361876</v>
      </c>
      <c r="K168" s="447">
        <v>0.26684550666876405</v>
      </c>
      <c r="L168" s="447">
        <v>0.28729831456561383</v>
      </c>
      <c r="M168" s="448">
        <v>0.31267761624166202</v>
      </c>
    </row>
  </sheetData>
  <mergeCells count="2">
    <mergeCell ref="B144:B153"/>
    <mergeCell ref="B159:B168"/>
  </mergeCells>
  <pageMargins left="0.75" right="0.75" top="1" bottom="1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15</vt:i4>
      </vt:variant>
    </vt:vector>
  </HeadingPairs>
  <TitlesOfParts>
    <vt:vector size="25" baseType="lpstr">
      <vt:lpstr>AAPL-3-Statements</vt:lpstr>
      <vt:lpstr>ValSum</vt:lpstr>
      <vt:lpstr>Valuation Graph</vt:lpstr>
      <vt:lpstr>Public Comps</vt:lpstr>
      <vt:lpstr>M&amp;A-Comps</vt:lpstr>
      <vt:lpstr>DCF</vt:lpstr>
      <vt:lpstr>WACC</vt:lpstr>
      <vt:lpstr>Merger-Model</vt:lpstr>
      <vt:lpstr>Merger-Shares-BS</vt:lpstr>
      <vt:lpstr>LBO</vt:lpstr>
      <vt:lpstr>Company_Name</vt:lpstr>
      <vt:lpstr>Date</vt:lpstr>
      <vt:lpstr>Days_In_Year</vt:lpstr>
      <vt:lpstr>Debt_Amount</vt:lpstr>
      <vt:lpstr>Debt_Date</vt:lpstr>
      <vt:lpstr>Diluted_Shares</vt:lpstr>
      <vt:lpstr>Enterprise_Value</vt:lpstr>
      <vt:lpstr>Equity_Value</vt:lpstr>
      <vt:lpstr>Hist_Year</vt:lpstr>
      <vt:lpstr>Purchase_Price</vt:lpstr>
      <vt:lpstr>Seller_Name</vt:lpstr>
      <vt:lpstr>Seller_Share_Price</vt:lpstr>
      <vt:lpstr>Share_Price</vt:lpstr>
      <vt:lpstr>Tax_Rate</vt:lpstr>
      <vt:lpstr>Units</vt:lpstr>
    </vt:vector>
  </TitlesOfParts>
  <Company>LENOVO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John Klein</cp:lastModifiedBy>
  <cp:lastPrinted>2010-03-28T17:16:56Z</cp:lastPrinted>
  <dcterms:created xsi:type="dcterms:W3CDTF">2009-06-26T05:31:17Z</dcterms:created>
  <dcterms:modified xsi:type="dcterms:W3CDTF">2024-11-16T03:52:07Z</dcterms:modified>
</cp:coreProperties>
</file>